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Share'!$B$5:$O$50</definedName>
    <definedName name="Page_1" localSheetId="3">Footnotes!$A$3:$S$99</definedName>
    <definedName name="Page_2" localSheetId="3">Footnotes!$A$101:$S$112</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J'!$A$3:$AI$57</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Footnotes!$A$2:$P$87</definedName>
    <definedName name="_xlnm.Print_Area" localSheetId="36">'HCRA '!$A$3:$Z$62</definedName>
    <definedName name="_xlnm.Print_Area" localSheetId="37">'HCRA PROG DISB'!$A$3:$M$100</definedName>
    <definedName name="_xlnm.Print_Area" localSheetId="39">'Medicaid Disp Share'!$B$2:$M$53</definedName>
    <definedName name="_xlnm.Print_Area" localSheetId="38">'Public Goods '!$A$3:$M$54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'!$B$3:$V$45</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I42" i="27" l="1"/>
  <c r="AG42" i="27" l="1"/>
  <c r="AG40" i="27"/>
  <c r="S37" i="5"/>
  <c r="S36" i="5"/>
  <c r="AK117" i="19"/>
  <c r="AN56" i="23" l="1"/>
  <c r="AL56" i="24"/>
  <c r="T12" i="37" l="1"/>
  <c r="U93" i="16" l="1"/>
  <c r="M94" i="38" l="1"/>
  <c r="M93" i="38"/>
  <c r="M92" i="38"/>
  <c r="M91" i="38"/>
  <c r="K90" i="38"/>
  <c r="K95" i="38" s="1"/>
  <c r="J90" i="38"/>
  <c r="J95" i="38" s="1"/>
  <c r="I90" i="38"/>
  <c r="I95" i="38" s="1"/>
  <c r="H90" i="38"/>
  <c r="H95" i="38" s="1"/>
  <c r="G90" i="38"/>
  <c r="G95" i="38" s="1"/>
  <c r="F90" i="38"/>
  <c r="F95" i="38" s="1"/>
  <c r="E90" i="38"/>
  <c r="E95" i="38" s="1"/>
  <c r="C90" i="38"/>
  <c r="C95" i="38" s="1"/>
  <c r="M89" i="38"/>
  <c r="M87" i="38"/>
  <c r="M86" i="38"/>
  <c r="M85" i="38"/>
  <c r="M84" i="38"/>
  <c r="M82" i="38"/>
  <c r="M80" i="38"/>
  <c r="M78" i="38"/>
  <c r="M77" i="38"/>
  <c r="M76" i="38"/>
  <c r="M75" i="38"/>
  <c r="M74" i="38"/>
  <c r="M73" i="38"/>
  <c r="M72" i="38"/>
  <c r="M71" i="38"/>
  <c r="M70" i="38"/>
  <c r="M69" i="38"/>
  <c r="M68" i="38"/>
  <c r="M67" i="38"/>
  <c r="M66" i="38"/>
  <c r="M65"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2" i="38"/>
  <c r="M30" i="38"/>
  <c r="M28" i="38"/>
  <c r="M26" i="38"/>
  <c r="M25" i="38"/>
  <c r="M24" i="38"/>
  <c r="M23" i="38"/>
  <c r="M22" i="38"/>
  <c r="M21" i="38"/>
  <c r="M20" i="38"/>
  <c r="M19" i="38"/>
  <c r="M18" i="38"/>
  <c r="M17" i="38"/>
  <c r="M16" i="38"/>
  <c r="M15" i="38"/>
  <c r="M14" i="38"/>
  <c r="M13" i="38"/>
  <c r="M12" i="38"/>
  <c r="M11" i="38"/>
  <c r="M10" i="38"/>
  <c r="M90" i="38" l="1"/>
  <c r="M95" i="38" s="1"/>
  <c r="J37" i="40" l="1"/>
  <c r="J23" i="40"/>
  <c r="J17" i="40"/>
  <c r="J25" i="40" s="1"/>
  <c r="H37" i="40"/>
  <c r="H23" i="40"/>
  <c r="H17" i="40"/>
  <c r="H25" i="40" s="1"/>
  <c r="J28" i="39"/>
  <c r="J22" i="39"/>
  <c r="J30" i="39" s="1"/>
  <c r="H38" i="39"/>
  <c r="H28" i="39"/>
  <c r="H22" i="39"/>
  <c r="H30" i="39" s="1"/>
  <c r="H50" i="2" l="1"/>
  <c r="H52" i="3"/>
  <c r="H51" i="3"/>
  <c r="T21" i="26" l="1"/>
  <c r="V91" i="18" l="1"/>
  <c r="V115" i="19" l="1"/>
  <c r="V114" i="19"/>
  <c r="H49" i="2" s="1"/>
  <c r="V106" i="19"/>
  <c r="V105" i="19"/>
  <c r="V104" i="19"/>
  <c r="V103" i="19"/>
  <c r="V100" i="19"/>
  <c r="V99" i="19"/>
  <c r="V98" i="19"/>
  <c r="V97" i="19"/>
  <c r="V96" i="19"/>
  <c r="V95" i="19"/>
  <c r="V93" i="19"/>
  <c r="V92" i="19"/>
  <c r="V91" i="19"/>
  <c r="V85" i="19"/>
  <c r="V82" i="19"/>
  <c r="V81" i="19"/>
  <c r="V80" i="19"/>
  <c r="V79" i="19"/>
  <c r="V78" i="19"/>
  <c r="V77" i="19"/>
  <c r="V76" i="19"/>
  <c r="V75" i="19"/>
  <c r="V74" i="19"/>
  <c r="V73" i="19"/>
  <c r="V72" i="19"/>
  <c r="V70" i="19"/>
  <c r="V69" i="19"/>
  <c r="V68" i="19"/>
  <c r="V67" i="19"/>
  <c r="V66" i="19"/>
  <c r="V65" i="19"/>
  <c r="V63" i="19"/>
  <c r="V62" i="19"/>
  <c r="V61" i="19"/>
  <c r="V60" i="19"/>
  <c r="V58" i="19"/>
  <c r="V57" i="19"/>
  <c r="V56" i="19"/>
  <c r="V55" i="19"/>
  <c r="V54" i="19"/>
  <c r="V53" i="19"/>
  <c r="V52" i="19"/>
  <c r="V50" i="19"/>
  <c r="V49" i="19"/>
  <c r="V48" i="19"/>
  <c r="V47" i="19"/>
  <c r="V45" i="19"/>
  <c r="V38" i="19"/>
  <c r="V39" i="19" s="1"/>
  <c r="V35" i="19"/>
  <c r="V34" i="19"/>
  <c r="V33" i="19"/>
  <c r="V32" i="19"/>
  <c r="V31" i="19"/>
  <c r="V28" i="19"/>
  <c r="V27" i="19"/>
  <c r="V26" i="19"/>
  <c r="V25" i="19"/>
  <c r="V24" i="19"/>
  <c r="V23" i="19"/>
  <c r="V22" i="19"/>
  <c r="V21" i="19"/>
  <c r="V29" i="19" s="1"/>
  <c r="V18" i="19"/>
  <c r="V100" i="20"/>
  <c r="V107" i="20" s="1"/>
  <c r="V82" i="20"/>
  <c r="V38" i="20"/>
  <c r="V35" i="20"/>
  <c r="V28" i="20"/>
  <c r="V85" i="21"/>
  <c r="V69" i="21"/>
  <c r="V76" i="21" s="1"/>
  <c r="V51" i="21"/>
  <c r="V55" i="21" s="1"/>
  <c r="V101" i="19" l="1"/>
  <c r="V108" i="19" s="1"/>
  <c r="V36" i="19"/>
  <c r="V83" i="19"/>
  <c r="V41" i="19"/>
  <c r="V87" i="19" s="1"/>
  <c r="V40" i="20"/>
  <c r="V86" i="20" s="1"/>
  <c r="V110" i="20" s="1"/>
  <c r="V79" i="21"/>
  <c r="V89" i="21" s="1"/>
  <c r="V91" i="21" s="1"/>
  <c r="H15" i="32"/>
  <c r="F15" i="32"/>
  <c r="F22" i="32"/>
  <c r="F21" i="32"/>
  <c r="L21" i="32"/>
  <c r="H21" i="32"/>
  <c r="V111" i="19" l="1"/>
  <c r="O253" i="42"/>
  <c r="O250" i="42"/>
  <c r="O205" i="42"/>
  <c r="O195" i="42"/>
  <c r="O181" i="42"/>
  <c r="O100" i="42"/>
  <c r="O11" i="42"/>
  <c r="K250" i="42"/>
  <c r="K205" i="42"/>
  <c r="K200" i="42"/>
  <c r="K195" i="42"/>
  <c r="K181" i="42"/>
  <c r="K100" i="42"/>
  <c r="K11" i="42"/>
  <c r="K253" i="42" s="1"/>
  <c r="I250" i="42"/>
  <c r="G250" i="42"/>
  <c r="I205" i="42"/>
  <c r="G205" i="42"/>
  <c r="I200" i="42"/>
  <c r="G200" i="42"/>
  <c r="I195" i="42"/>
  <c r="G195" i="42"/>
  <c r="I181" i="42"/>
  <c r="G181" i="42"/>
  <c r="I100" i="42"/>
  <c r="I253" i="42" s="1"/>
  <c r="G100" i="42"/>
  <c r="G253" i="42" s="1"/>
  <c r="I11" i="42"/>
  <c r="G11" i="42"/>
  <c r="T12" i="43" l="1"/>
  <c r="W94" i="23" l="1"/>
  <c r="W93" i="23"/>
  <c r="W92" i="23"/>
  <c r="W84" i="23"/>
  <c r="W83" i="23"/>
  <c r="W82" i="23"/>
  <c r="W81" i="23"/>
  <c r="W78" i="23"/>
  <c r="W77" i="23"/>
  <c r="W76" i="23"/>
  <c r="W75" i="23"/>
  <c r="W74" i="23"/>
  <c r="W73" i="23"/>
  <c r="W71" i="23"/>
  <c r="W70" i="23"/>
  <c r="W69" i="23"/>
  <c r="W63" i="23"/>
  <c r="W60" i="23"/>
  <c r="W59" i="23"/>
  <c r="W58" i="23"/>
  <c r="W57" i="23"/>
  <c r="W56" i="23"/>
  <c r="W55" i="23"/>
  <c r="W54" i="23"/>
  <c r="W52" i="23"/>
  <c r="W51" i="23"/>
  <c r="W50" i="23"/>
  <c r="W49" i="23"/>
  <c r="W48" i="23"/>
  <c r="W46" i="23"/>
  <c r="W45" i="23"/>
  <c r="W44" i="23"/>
  <c r="W43" i="23"/>
  <c r="W42" i="23"/>
  <c r="W41" i="23"/>
  <c r="W39" i="23"/>
  <c r="W37" i="23"/>
  <c r="W30" i="23"/>
  <c r="W27" i="23"/>
  <c r="W26" i="23"/>
  <c r="W22" i="23"/>
  <c r="W21" i="23"/>
  <c r="W20" i="23"/>
  <c r="M16" i="34" l="1"/>
  <c r="M19" i="34"/>
  <c r="M20" i="34"/>
  <c r="M21" i="34"/>
  <c r="M22" i="34"/>
  <c r="M23" i="34"/>
  <c r="M26" i="34"/>
  <c r="M29" i="34"/>
  <c r="M30" i="34"/>
  <c r="M31" i="34"/>
  <c r="M34" i="34"/>
  <c r="M35" i="34"/>
  <c r="M38" i="34"/>
  <c r="M39" i="34"/>
  <c r="M41" i="34"/>
  <c r="M43" i="34"/>
  <c r="M45" i="34"/>
  <c r="M48" i="34"/>
  <c r="M49" i="34"/>
  <c r="M50" i="34"/>
  <c r="M51" i="34"/>
  <c r="M52" i="34"/>
  <c r="M53" i="34"/>
  <c r="M56" i="34"/>
  <c r="M57" i="34"/>
  <c r="M59" i="34"/>
  <c r="M62" i="34"/>
  <c r="M63" i="34"/>
  <c r="T13" i="29" l="1"/>
  <c r="T13" i="28"/>
  <c r="T14" i="27"/>
  <c r="F44" i="5" s="1"/>
  <c r="T16" i="26"/>
  <c r="B44" i="5" s="1"/>
  <c r="W15" i="24"/>
  <c r="T12" i="22"/>
  <c r="V13" i="21"/>
  <c r="V13" i="20"/>
  <c r="V14" i="19"/>
  <c r="V14" i="18"/>
  <c r="U135" i="17"/>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5" i="17"/>
  <c r="U34" i="17"/>
  <c r="U33" i="17"/>
  <c r="U32" i="17"/>
  <c r="U29" i="17"/>
  <c r="U28" i="17"/>
  <c r="U27" i="17"/>
  <c r="U25" i="17"/>
  <c r="U24" i="17"/>
  <c r="U23" i="17"/>
  <c r="U22" i="17"/>
  <c r="U21" i="17"/>
  <c r="U16" i="17"/>
  <c r="U126" i="16"/>
  <c r="U125" i="16"/>
  <c r="U123" i="16"/>
  <c r="U122" i="16"/>
  <c r="U121" i="16"/>
  <c r="U118" i="16"/>
  <c r="U117" i="16"/>
  <c r="U116" i="16"/>
  <c r="U115" i="16"/>
  <c r="U114" i="16"/>
  <c r="U113" i="16"/>
  <c r="U111" i="16"/>
  <c r="U110" i="16"/>
  <c r="U109" i="16"/>
  <c r="U103" i="16"/>
  <c r="U100" i="16"/>
  <c r="U99" i="16"/>
  <c r="U98" i="16"/>
  <c r="U97" i="16"/>
  <c r="U96" i="16"/>
  <c r="U95" i="16"/>
  <c r="U94" i="16"/>
  <c r="U92" i="16"/>
  <c r="U91" i="16"/>
  <c r="U90" i="16"/>
  <c r="U88" i="16"/>
  <c r="U87" i="16"/>
  <c r="U86" i="16"/>
  <c r="U85" i="16"/>
  <c r="U84" i="16"/>
  <c r="U83" i="16"/>
  <c r="U81" i="16"/>
  <c r="U80" i="16"/>
  <c r="U79" i="16"/>
  <c r="U78" i="16"/>
  <c r="U76" i="16"/>
  <c r="U75" i="16"/>
  <c r="U74" i="16"/>
  <c r="U73" i="16"/>
  <c r="U72" i="16"/>
  <c r="U71" i="16"/>
  <c r="U70" i="16"/>
  <c r="U69" i="16"/>
  <c r="U67" i="16"/>
  <c r="U66" i="16"/>
  <c r="U65" i="16"/>
  <c r="U64" i="16"/>
  <c r="U62" i="16"/>
  <c r="U61" i="16"/>
  <c r="U54" i="16"/>
  <c r="U53" i="16"/>
  <c r="U52" i="16"/>
  <c r="U51" i="16"/>
  <c r="U50" i="16"/>
  <c r="U49" i="16"/>
  <c r="U46" i="16"/>
  <c r="U45" i="16"/>
  <c r="U44" i="16"/>
  <c r="U43" i="16"/>
  <c r="U42" i="16"/>
  <c r="U39" i="16"/>
  <c r="U38" i="16"/>
  <c r="U37" i="16"/>
  <c r="U36" i="16"/>
  <c r="U35" i="16"/>
  <c r="U34" i="16"/>
  <c r="U33" i="16"/>
  <c r="U32" i="16"/>
  <c r="U29" i="16"/>
  <c r="U28" i="16"/>
  <c r="U27" i="16"/>
  <c r="U25" i="16"/>
  <c r="U24" i="16"/>
  <c r="U23" i="16"/>
  <c r="U22" i="16"/>
  <c r="U21" i="16"/>
  <c r="F41" i="6"/>
  <c r="F33" i="6"/>
  <c r="F32" i="6"/>
  <c r="F25" i="6"/>
  <c r="F24" i="6"/>
  <c r="F23" i="6"/>
  <c r="F18" i="6"/>
  <c r="B41" i="6"/>
  <c r="B33" i="6"/>
  <c r="B32" i="6"/>
  <c r="B25" i="6"/>
  <c r="B24" i="6"/>
  <c r="B23" i="6"/>
  <c r="B18" i="6"/>
  <c r="F36" i="5"/>
  <c r="F35" i="5"/>
  <c r="F27" i="5"/>
  <c r="F26" i="5"/>
  <c r="F25" i="5"/>
  <c r="F18" i="5"/>
  <c r="B36" i="5"/>
  <c r="B35" i="5"/>
  <c r="B28" i="5"/>
  <c r="B27" i="5"/>
  <c r="B26" i="5"/>
  <c r="B25" i="5"/>
  <c r="B20" i="5"/>
  <c r="B19" i="5"/>
  <c r="B18" i="5"/>
  <c r="H59" i="3"/>
  <c r="H44" i="3"/>
  <c r="H41" i="3"/>
  <c r="H40" i="3"/>
  <c r="H39" i="3"/>
  <c r="H36" i="3"/>
  <c r="H35" i="3"/>
  <c r="H34" i="3"/>
  <c r="H33" i="3"/>
  <c r="H32" i="3"/>
  <c r="H31" i="3"/>
  <c r="H29" i="3"/>
  <c r="H28" i="3"/>
  <c r="H27" i="3"/>
  <c r="H22" i="3"/>
  <c r="H21" i="3"/>
  <c r="H20" i="3"/>
  <c r="H19" i="3"/>
  <c r="H18" i="3"/>
  <c r="H17" i="3"/>
  <c r="P50" i="2"/>
  <c r="P49" i="2"/>
  <c r="P48" i="2"/>
  <c r="P41" i="2"/>
  <c r="P40" i="2"/>
  <c r="P38" i="2"/>
  <c r="P37" i="2"/>
  <c r="P36" i="2"/>
  <c r="P33" i="2"/>
  <c r="P32" i="2"/>
  <c r="P31" i="2"/>
  <c r="P30" i="2"/>
  <c r="P29" i="2"/>
  <c r="P28" i="2"/>
  <c r="P26" i="2"/>
  <c r="P25" i="2"/>
  <c r="P24" i="2"/>
  <c r="P19" i="2"/>
  <c r="L50" i="2"/>
  <c r="L49" i="2"/>
  <c r="L40" i="2"/>
  <c r="L37" i="2"/>
  <c r="L19" i="2"/>
  <c r="L14" i="2"/>
  <c r="H41" i="2"/>
  <c r="H40" i="2"/>
  <c r="H38" i="2"/>
  <c r="H37" i="2"/>
  <c r="H36" i="2"/>
  <c r="H33" i="2"/>
  <c r="H32" i="2"/>
  <c r="H31" i="2"/>
  <c r="H30" i="2"/>
  <c r="H29" i="2"/>
  <c r="H28" i="2"/>
  <c r="H26" i="2"/>
  <c r="H25" i="2"/>
  <c r="H24" i="2"/>
  <c r="H19" i="2"/>
  <c r="H18" i="2"/>
  <c r="H17" i="2"/>
  <c r="H16" i="2"/>
  <c r="H15" i="2"/>
  <c r="H14" i="2"/>
  <c r="D50" i="2"/>
  <c r="D49" i="2"/>
  <c r="D38" i="2"/>
  <c r="D37" i="2"/>
  <c r="D36" i="2"/>
  <c r="D33" i="2"/>
  <c r="D32" i="2"/>
  <c r="D31" i="2"/>
  <c r="D30" i="2"/>
  <c r="D29" i="2"/>
  <c r="D28" i="2"/>
  <c r="D26" i="2"/>
  <c r="D25" i="2"/>
  <c r="D24" i="2"/>
  <c r="D19" i="2"/>
  <c r="AC122" i="18" l="1"/>
  <c r="V49" i="2"/>
  <c r="U135" i="16" s="1"/>
  <c r="R19" i="37" l="1"/>
  <c r="R31" i="37" l="1"/>
  <c r="R29" i="37"/>
  <c r="R28" i="37"/>
  <c r="R20" i="37"/>
  <c r="R21" i="37"/>
  <c r="R17" i="37"/>
  <c r="R12" i="37"/>
  <c r="AC19" i="18" l="1"/>
  <c r="M41" i="40" l="1"/>
  <c r="M40" i="40"/>
  <c r="M36" i="40"/>
  <c r="M35" i="40"/>
  <c r="M34" i="40"/>
  <c r="M33" i="40"/>
  <c r="M32" i="40"/>
  <c r="M30" i="40"/>
  <c r="M29" i="40"/>
  <c r="M22" i="40"/>
  <c r="M21" i="40"/>
  <c r="M20" i="40"/>
  <c r="M16" i="40"/>
  <c r="M15" i="39"/>
  <c r="T14" i="18" l="1"/>
  <c r="T115" i="19" l="1"/>
  <c r="T114" i="19"/>
  <c r="T106" i="19"/>
  <c r="T105" i="19"/>
  <c r="T104" i="19"/>
  <c r="T103" i="19"/>
  <c r="T100" i="19"/>
  <c r="T99" i="19"/>
  <c r="T98" i="19"/>
  <c r="T97" i="19"/>
  <c r="T96" i="19"/>
  <c r="T95" i="19"/>
  <c r="T93" i="19"/>
  <c r="T92" i="19"/>
  <c r="T91" i="19"/>
  <c r="T85" i="19"/>
  <c r="T82" i="19"/>
  <c r="T81" i="19"/>
  <c r="T80" i="19"/>
  <c r="T79" i="19"/>
  <c r="T78" i="19"/>
  <c r="T77" i="19"/>
  <c r="T76" i="19"/>
  <c r="T75" i="19"/>
  <c r="T74" i="19"/>
  <c r="T73" i="19"/>
  <c r="T72" i="19"/>
  <c r="T70" i="19"/>
  <c r="T69" i="19"/>
  <c r="T68" i="19"/>
  <c r="T67" i="19"/>
  <c r="T66" i="19"/>
  <c r="T65" i="19"/>
  <c r="T63" i="19"/>
  <c r="T62" i="19"/>
  <c r="T61" i="19"/>
  <c r="T60" i="19"/>
  <c r="T58" i="19"/>
  <c r="T57" i="19"/>
  <c r="T56" i="19"/>
  <c r="T55" i="19"/>
  <c r="T54" i="19"/>
  <c r="T53" i="19"/>
  <c r="T52" i="19"/>
  <c r="T50" i="19"/>
  <c r="T49" i="19"/>
  <c r="T48" i="19"/>
  <c r="T47" i="19"/>
  <c r="T45" i="19"/>
  <c r="T39" i="19"/>
  <c r="T38" i="19"/>
  <c r="T35" i="19"/>
  <c r="T34" i="19"/>
  <c r="T33" i="19"/>
  <c r="T32" i="19"/>
  <c r="T31" i="19"/>
  <c r="T28" i="19"/>
  <c r="T27" i="19"/>
  <c r="T26" i="19"/>
  <c r="T25" i="19"/>
  <c r="T24" i="19"/>
  <c r="T23" i="19"/>
  <c r="T22" i="19"/>
  <c r="T21" i="19"/>
  <c r="T18" i="19"/>
  <c r="T14" i="19"/>
  <c r="T13" i="20"/>
  <c r="T13" i="21"/>
  <c r="T36" i="19" l="1"/>
  <c r="T29" i="19"/>
  <c r="T83" i="19"/>
  <c r="T101" i="19"/>
  <c r="T108" i="19" s="1"/>
  <c r="R12" i="22"/>
  <c r="T41" i="19" l="1"/>
  <c r="T87" i="19" s="1"/>
  <c r="T111" i="19" s="1"/>
  <c r="R16" i="26"/>
  <c r="R14" i="27" l="1"/>
  <c r="H22" i="32" l="1"/>
  <c r="R13" i="29"/>
  <c r="R12" i="43" l="1"/>
  <c r="U94" i="23" l="1"/>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S33" i="23"/>
  <c r="U30" i="23"/>
  <c r="U31" i="23" s="1"/>
  <c r="U27" i="23"/>
  <c r="U26" i="23"/>
  <c r="U25" i="23"/>
  <c r="U28" i="23" s="1"/>
  <c r="U22" i="23"/>
  <c r="U21" i="23"/>
  <c r="U20" i="23"/>
  <c r="U15" i="25"/>
  <c r="U23" i="23" l="1"/>
  <c r="U33" i="23" s="1"/>
  <c r="U61" i="23"/>
  <c r="U15" i="24"/>
  <c r="R13" i="28" l="1"/>
  <c r="S135" i="17" l="1"/>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6" i="17"/>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AC111" i="18" l="1"/>
  <c r="R71" i="20" l="1"/>
  <c r="V42" i="15" l="1"/>
  <c r="J44" i="40" l="1"/>
  <c r="J47" i="39"/>
  <c r="J38" i="39"/>
  <c r="J47" i="40" l="1"/>
  <c r="J50" i="39"/>
  <c r="P12" i="37" l="1"/>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R39" i="19" s="1"/>
  <c r="R35" i="19"/>
  <c r="R34" i="19"/>
  <c r="R33" i="19"/>
  <c r="R32" i="19"/>
  <c r="R31" i="19"/>
  <c r="R28" i="19"/>
  <c r="R27" i="19"/>
  <c r="R26" i="19"/>
  <c r="R25" i="19"/>
  <c r="R24" i="19"/>
  <c r="R23" i="19"/>
  <c r="R22" i="19"/>
  <c r="R21" i="19"/>
  <c r="R18" i="19"/>
  <c r="R100" i="20"/>
  <c r="R107" i="20" s="1"/>
  <c r="R82" i="20"/>
  <c r="R38" i="20"/>
  <c r="R35" i="20"/>
  <c r="R28" i="20"/>
  <c r="R113" i="18"/>
  <c r="R108" i="18"/>
  <c r="R106" i="18"/>
  <c r="R105" i="18"/>
  <c r="R104" i="18"/>
  <c r="R103" i="18"/>
  <c r="R99" i="18"/>
  <c r="R117" i="19" l="1"/>
  <c r="R36" i="19"/>
  <c r="R41" i="19" s="1"/>
  <c r="R29" i="19"/>
  <c r="R101" i="19"/>
  <c r="R108" i="19" s="1"/>
  <c r="R83" i="19"/>
  <c r="R40" i="20"/>
  <c r="R86" i="20" s="1"/>
  <c r="R110" i="20" s="1"/>
  <c r="R87" i="19" l="1"/>
  <c r="R111" i="19" s="1"/>
  <c r="R121" i="19" s="1"/>
  <c r="Q103" i="23" l="1"/>
  <c r="S94" i="23"/>
  <c r="S93" i="23"/>
  <c r="S92" i="23"/>
  <c r="S84" i="23"/>
  <c r="S83" i="23"/>
  <c r="S82" i="23"/>
  <c r="S81" i="23"/>
  <c r="S78" i="23"/>
  <c r="S77" i="23"/>
  <c r="S76" i="23"/>
  <c r="S75" i="23"/>
  <c r="S74" i="23"/>
  <c r="S73" i="23"/>
  <c r="S71" i="23"/>
  <c r="S70" i="23"/>
  <c r="S69" i="23"/>
  <c r="S63" i="23"/>
  <c r="S60" i="23"/>
  <c r="S59" i="23"/>
  <c r="S58" i="23"/>
  <c r="S57" i="23"/>
  <c r="S56" i="23"/>
  <c r="S55" i="23"/>
  <c r="S54" i="23"/>
  <c r="S52" i="23"/>
  <c r="S51" i="23"/>
  <c r="S50" i="23"/>
  <c r="S49" i="23"/>
  <c r="S48" i="23"/>
  <c r="S46" i="23"/>
  <c r="S45" i="23"/>
  <c r="S44" i="23"/>
  <c r="S43" i="23"/>
  <c r="S42" i="23"/>
  <c r="S41" i="23"/>
  <c r="S39" i="23"/>
  <c r="S37" i="23"/>
  <c r="S30" i="23"/>
  <c r="S31" i="23" s="1"/>
  <c r="S27" i="23"/>
  <c r="S26" i="23"/>
  <c r="S25" i="23"/>
  <c r="S22" i="23"/>
  <c r="S21" i="23"/>
  <c r="S20" i="23"/>
  <c r="S96" i="23" l="1"/>
  <c r="S79" i="23"/>
  <c r="S86" i="23" s="1"/>
  <c r="S28" i="23"/>
  <c r="S23" i="23"/>
  <c r="AF20" i="23"/>
  <c r="AF77" i="23"/>
  <c r="AD20" i="24"/>
  <c r="P12" i="43" l="1"/>
  <c r="P13" i="29" l="1"/>
  <c r="P13" i="28"/>
  <c r="S15" i="25"/>
  <c r="S15" i="24"/>
  <c r="S15" i="23"/>
  <c r="P12" i="22"/>
  <c r="R13" i="21"/>
  <c r="R13" i="20"/>
  <c r="R14" i="19"/>
  <c r="Q135" i="17"/>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26" i="16"/>
  <c r="Q125" i="16"/>
  <c r="Q123" i="16"/>
  <c r="Q122" i="16"/>
  <c r="Q121" i="16"/>
  <c r="Q118" i="16"/>
  <c r="Q117" i="16"/>
  <c r="Q116" i="16"/>
  <c r="Q115" i="16"/>
  <c r="Q114" i="16"/>
  <c r="Q113" i="16"/>
  <c r="Q111" i="16"/>
  <c r="Q110" i="16"/>
  <c r="Q109" i="16"/>
  <c r="Q103" i="16"/>
  <c r="Q100" i="16"/>
  <c r="Q99" i="16"/>
  <c r="Q98" i="16"/>
  <c r="Q97" i="16"/>
  <c r="Q96" i="16"/>
  <c r="Q95" i="16"/>
  <c r="Q94" i="16"/>
  <c r="Q93" i="16"/>
  <c r="Q92" i="16"/>
  <c r="Q91" i="16"/>
  <c r="Q90" i="16"/>
  <c r="Q88" i="16"/>
  <c r="Q87" i="16"/>
  <c r="Q86" i="16"/>
  <c r="Q85" i="16"/>
  <c r="Q84" i="16"/>
  <c r="Q83" i="16"/>
  <c r="Q81" i="16"/>
  <c r="Q80" i="16"/>
  <c r="Q79" i="16"/>
  <c r="Q78" i="16"/>
  <c r="Q76" i="16"/>
  <c r="Q75" i="16"/>
  <c r="Q74" i="16"/>
  <c r="Q73" i="16"/>
  <c r="Q72" i="16"/>
  <c r="Q71" i="16"/>
  <c r="Q70" i="16"/>
  <c r="Q69" i="16"/>
  <c r="Q67" i="16"/>
  <c r="Q66" i="16"/>
  <c r="Q65" i="16"/>
  <c r="Q64" i="16"/>
  <c r="Q62" i="16"/>
  <c r="Q61" i="16"/>
  <c r="Q54" i="16"/>
  <c r="Q53" i="16"/>
  <c r="Q52" i="16"/>
  <c r="Q51" i="16"/>
  <c r="Q50" i="16"/>
  <c r="Q49" i="16"/>
  <c r="Q46" i="16"/>
  <c r="Q45" i="16"/>
  <c r="Q44" i="16"/>
  <c r="Q43" i="16"/>
  <c r="Q42" i="16"/>
  <c r="Q39" i="16"/>
  <c r="Q38" i="16"/>
  <c r="Q37" i="16"/>
  <c r="Q36" i="16"/>
  <c r="Q35" i="16"/>
  <c r="Q34" i="16"/>
  <c r="Q33" i="16"/>
  <c r="Q32" i="16"/>
  <c r="Q29" i="16"/>
  <c r="Q28" i="16"/>
  <c r="Q27" i="16"/>
  <c r="Q25" i="16"/>
  <c r="Q24" i="16"/>
  <c r="Q23" i="16"/>
  <c r="Q22" i="16"/>
  <c r="Q21" i="16"/>
  <c r="M40" i="41" l="1"/>
  <c r="AC48" i="21" l="1"/>
  <c r="AC52" i="20" l="1"/>
  <c r="AC125" i="18" l="1"/>
  <c r="N12" i="37" l="1"/>
  <c r="K42" i="9" l="1"/>
  <c r="K41" i="9"/>
  <c r="K40" i="9"/>
  <c r="AD42" i="25" l="1"/>
  <c r="AD45" i="25"/>
  <c r="AD35" i="25"/>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9" i="19" s="1"/>
  <c r="P35" i="19"/>
  <c r="P34" i="19"/>
  <c r="P33" i="19"/>
  <c r="P32" i="19"/>
  <c r="P31" i="19"/>
  <c r="P28" i="19"/>
  <c r="P27" i="19"/>
  <c r="P26" i="19"/>
  <c r="P25" i="19"/>
  <c r="P24" i="19"/>
  <c r="P23" i="19"/>
  <c r="P22" i="19"/>
  <c r="P21" i="19"/>
  <c r="P18" i="19"/>
  <c r="P14" i="19"/>
  <c r="P24" i="18"/>
  <c r="P28" i="18" s="1"/>
  <c r="P36" i="19" l="1"/>
  <c r="P29" i="19"/>
  <c r="P101" i="19"/>
  <c r="P108" i="19" s="1"/>
  <c r="P83" i="19"/>
  <c r="P117" i="19"/>
  <c r="P41" i="19" l="1"/>
  <c r="P87" i="19"/>
  <c r="P111" i="19" s="1"/>
  <c r="P121" i="19" s="1"/>
  <c r="P123" i="19" s="1"/>
  <c r="AC65" i="20" l="1"/>
  <c r="AI52" i="23" l="1"/>
  <c r="P13" i="20" l="1"/>
  <c r="P13" i="21" l="1"/>
  <c r="N12" i="22" l="1"/>
  <c r="Q96" i="23" l="1"/>
  <c r="Q94" i="23"/>
  <c r="Q93" i="23"/>
  <c r="Q92" i="23"/>
  <c r="Q84" i="23"/>
  <c r="Q83" i="23"/>
  <c r="Q82" i="23"/>
  <c r="Q81" i="23"/>
  <c r="Q78" i="23"/>
  <c r="Q77" i="23"/>
  <c r="Q76" i="23"/>
  <c r="Q75" i="23"/>
  <c r="Q74" i="23"/>
  <c r="Q73" i="23"/>
  <c r="Q71" i="23"/>
  <c r="Q70" i="23"/>
  <c r="Q79" i="23" s="1"/>
  <c r="Q69" i="23"/>
  <c r="Q63" i="23"/>
  <c r="Q60" i="23"/>
  <c r="Q59" i="23"/>
  <c r="Q58" i="23"/>
  <c r="Q57" i="23"/>
  <c r="Q56" i="23"/>
  <c r="Q55" i="23"/>
  <c r="Q54" i="23"/>
  <c r="Q52" i="23"/>
  <c r="Q51" i="23"/>
  <c r="Q50" i="23"/>
  <c r="Q49" i="23"/>
  <c r="Q48" i="23"/>
  <c r="Q46" i="23"/>
  <c r="Q45" i="23"/>
  <c r="Q44" i="23"/>
  <c r="Q43" i="23"/>
  <c r="Q42" i="23"/>
  <c r="Q41" i="23"/>
  <c r="Q39" i="23"/>
  <c r="Q37" i="23"/>
  <c r="Q30" i="23"/>
  <c r="Q31" i="23" s="1"/>
  <c r="Q27" i="23"/>
  <c r="Q26" i="23"/>
  <c r="Q28" i="23" s="1"/>
  <c r="Q25" i="23"/>
  <c r="Q22" i="23"/>
  <c r="Q21" i="23"/>
  <c r="Q20" i="23"/>
  <c r="Q15" i="23"/>
  <c r="Q15" i="25"/>
  <c r="Q61" i="23" l="1"/>
  <c r="Q23" i="23"/>
  <c r="Q86" i="23"/>
  <c r="Q15" i="24"/>
  <c r="N13" i="29" l="1"/>
  <c r="N13" i="28" l="1"/>
  <c r="N12" i="43" l="1"/>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9" i="16"/>
  <c r="O46" i="16"/>
  <c r="O45" i="16"/>
  <c r="O44" i="16"/>
  <c r="O43" i="16"/>
  <c r="O42" i="16"/>
  <c r="O39" i="16"/>
  <c r="O38" i="16"/>
  <c r="O37" i="16"/>
  <c r="O36" i="16"/>
  <c r="O35" i="16"/>
  <c r="O34" i="16"/>
  <c r="O33" i="16"/>
  <c r="O32" i="16"/>
  <c r="O29" i="16"/>
  <c r="O28" i="16"/>
  <c r="O27" i="16"/>
  <c r="O25" i="16"/>
  <c r="O24" i="16"/>
  <c r="O23" i="16"/>
  <c r="O22" i="16"/>
  <c r="O21" i="16"/>
  <c r="L12" i="37" l="1"/>
  <c r="AC22" i="18" l="1"/>
  <c r="O45" i="23" l="1"/>
  <c r="AK46" i="21" l="1"/>
  <c r="N28" i="20" l="1"/>
  <c r="L12" i="43" l="1"/>
  <c r="L13" i="29" l="1"/>
  <c r="L13" i="28"/>
  <c r="AE91" i="17" l="1"/>
  <c r="E26" i="10" l="1"/>
  <c r="Y23" i="3" l="1"/>
  <c r="AD17" i="28" l="1"/>
  <c r="O94" i="23"/>
  <c r="O93" i="23"/>
  <c r="O92" i="23"/>
  <c r="O84" i="23"/>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O15" i="25"/>
  <c r="O15" i="24"/>
  <c r="O15" i="23"/>
  <c r="L12" i="22"/>
  <c r="N13" i="21"/>
  <c r="N100" i="20"/>
  <c r="N107" i="20" s="1"/>
  <c r="N82" i="20"/>
  <c r="N38" i="20"/>
  <c r="N35" i="20"/>
  <c r="N13" i="20"/>
  <c r="N115" i="19"/>
  <c r="N114" i="19"/>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M98" i="16" s="1"/>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N14" i="19"/>
  <c r="M57" i="17" l="1"/>
  <c r="M105" i="17" s="1"/>
  <c r="M131" i="17" s="1"/>
  <c r="M47" i="16"/>
  <c r="N39" i="19"/>
  <c r="M54" i="16"/>
  <c r="M55" i="16" s="1"/>
  <c r="M40" i="16"/>
  <c r="N40" i="20"/>
  <c r="N86" i="20" s="1"/>
  <c r="N110" i="20" s="1"/>
  <c r="M30" i="16"/>
  <c r="M119" i="16"/>
  <c r="M128" i="16" s="1"/>
  <c r="M101" i="16"/>
  <c r="N83" i="19"/>
  <c r="N29" i="19"/>
  <c r="N36" i="19"/>
  <c r="N101" i="19"/>
  <c r="N108" i="19" s="1"/>
  <c r="M57" i="16" l="1"/>
  <c r="M105" i="16" s="1"/>
  <c r="M131" i="16" s="1"/>
  <c r="N41" i="19"/>
  <c r="N87" i="19" s="1"/>
  <c r="N111" i="19" s="1"/>
  <c r="I99" i="17"/>
  <c r="G99" i="17"/>
  <c r="E99" i="17"/>
  <c r="C99" i="17"/>
  <c r="I99" i="16"/>
  <c r="G99" i="16"/>
  <c r="E99" i="16"/>
  <c r="C99" i="16"/>
  <c r="K99" i="17" l="1"/>
  <c r="K99" i="16"/>
  <c r="AC30" i="18" l="1"/>
  <c r="L28" i="20" l="1"/>
  <c r="J12" i="37" l="1"/>
  <c r="AC75" i="20" l="1"/>
  <c r="AC60" i="20" l="1"/>
  <c r="AC79" i="20"/>
  <c r="AA53" i="22" l="1"/>
  <c r="AA51" i="22"/>
  <c r="H44" i="40" l="1"/>
  <c r="H47" i="39"/>
  <c r="J13" i="29"/>
  <c r="J13" i="28"/>
  <c r="M15" i="25"/>
  <c r="M15" i="24"/>
  <c r="M94" i="23"/>
  <c r="M93" i="23"/>
  <c r="M92" i="23"/>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M15" i="23"/>
  <c r="J12" i="22"/>
  <c r="L13" i="21"/>
  <c r="L13" i="20"/>
  <c r="L115" i="19"/>
  <c r="L114" i="19"/>
  <c r="L106" i="19"/>
  <c r="L105" i="19"/>
  <c r="L104" i="19"/>
  <c r="L103" i="19"/>
  <c r="L100" i="19"/>
  <c r="L99" i="19"/>
  <c r="L98" i="19"/>
  <c r="L97" i="19"/>
  <c r="L96" i="19"/>
  <c r="L95" i="19"/>
  <c r="L93" i="19"/>
  <c r="L92" i="19"/>
  <c r="L91" i="19"/>
  <c r="L85" i="19"/>
  <c r="L82" i="19"/>
  <c r="K100" i="16" s="1"/>
  <c r="L81" i="19"/>
  <c r="L80" i="19"/>
  <c r="K98" i="16" s="1"/>
  <c r="L79" i="19"/>
  <c r="K97" i="16" s="1"/>
  <c r="L78" i="19"/>
  <c r="L77" i="19"/>
  <c r="L76" i="19"/>
  <c r="K94" i="16" s="1"/>
  <c r="L75" i="19"/>
  <c r="K93" i="16" s="1"/>
  <c r="L74" i="19"/>
  <c r="K92" i="16" s="1"/>
  <c r="L73" i="19"/>
  <c r="K91" i="16" s="1"/>
  <c r="L72" i="19"/>
  <c r="L70" i="19"/>
  <c r="L69" i="19"/>
  <c r="K87" i="16" s="1"/>
  <c r="L68" i="19"/>
  <c r="L67" i="19"/>
  <c r="K85" i="16" s="1"/>
  <c r="L66" i="19"/>
  <c r="K84" i="16" s="1"/>
  <c r="L65" i="19"/>
  <c r="L63" i="19"/>
  <c r="K81" i="16" s="1"/>
  <c r="L62" i="19"/>
  <c r="K80" i="16" s="1"/>
  <c r="L61" i="19"/>
  <c r="K79" i="16" s="1"/>
  <c r="L60" i="19"/>
  <c r="K78" i="16" s="1"/>
  <c r="L58" i="19"/>
  <c r="K76" i="16" s="1"/>
  <c r="L57" i="19"/>
  <c r="L56" i="19"/>
  <c r="L55" i="19"/>
  <c r="K73" i="16" s="1"/>
  <c r="L54" i="19"/>
  <c r="K72" i="16" s="1"/>
  <c r="L53" i="19"/>
  <c r="K71" i="16" s="1"/>
  <c r="L52" i="19"/>
  <c r="K70" i="16" s="1"/>
  <c r="L50" i="19"/>
  <c r="K67" i="16" s="1"/>
  <c r="L49" i="19"/>
  <c r="K66" i="16" s="1"/>
  <c r="L48" i="19"/>
  <c r="K65" i="16" s="1"/>
  <c r="L47" i="19"/>
  <c r="L45" i="19"/>
  <c r="K61" i="16" s="1"/>
  <c r="L38" i="19"/>
  <c r="K54" i="16" s="1"/>
  <c r="L35" i="19"/>
  <c r="L34" i="19"/>
  <c r="K45" i="16" s="1"/>
  <c r="L33" i="19"/>
  <c r="K44" i="16" s="1"/>
  <c r="L32" i="19"/>
  <c r="K43" i="16" s="1"/>
  <c r="L31" i="19"/>
  <c r="L28" i="19"/>
  <c r="K39" i="16" s="1"/>
  <c r="L27" i="19"/>
  <c r="L26" i="19"/>
  <c r="L25" i="19"/>
  <c r="L24" i="19"/>
  <c r="L23" i="19"/>
  <c r="K34" i="16" s="1"/>
  <c r="L22" i="19"/>
  <c r="L21" i="19"/>
  <c r="K32" i="16" s="1"/>
  <c r="L18" i="19"/>
  <c r="L14" i="19"/>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7" i="16"/>
  <c r="K25" i="16"/>
  <c r="K24" i="16"/>
  <c r="K23" i="16"/>
  <c r="K22" i="16"/>
  <c r="K21" i="16"/>
  <c r="K38" i="16" l="1"/>
  <c r="K42" i="16"/>
  <c r="K117" i="16"/>
  <c r="K123" i="16"/>
  <c r="K83" i="16"/>
  <c r="K64" i="16"/>
  <c r="K96" i="16"/>
  <c r="K46" i="16"/>
  <c r="K36" i="16"/>
  <c r="K113" i="16"/>
  <c r="K116" i="16"/>
  <c r="K111" i="16"/>
  <c r="K86" i="16"/>
  <c r="H47" i="40"/>
  <c r="H50" i="39"/>
  <c r="K121" i="16"/>
  <c r="K122" i="16"/>
  <c r="K109" i="16"/>
  <c r="K118" i="16"/>
  <c r="K110" i="16"/>
  <c r="K115" i="16"/>
  <c r="K114" i="16"/>
  <c r="K103" i="16"/>
  <c r="K88" i="16"/>
  <c r="K75" i="16"/>
  <c r="K90" i="16"/>
  <c r="K74" i="16"/>
  <c r="K95" i="16"/>
  <c r="K126" i="16"/>
  <c r="H12" i="37" l="1"/>
  <c r="A43" i="14" l="1"/>
  <c r="A43" i="13"/>
  <c r="A42" i="12"/>
  <c r="A45" i="11"/>
  <c r="A45" i="10"/>
  <c r="A53" i="9"/>
  <c r="A52" i="8"/>
  <c r="U39" i="14" l="1"/>
  <c r="U22" i="14"/>
  <c r="U25" i="14"/>
  <c r="U26" i="14"/>
  <c r="U21" i="14"/>
  <c r="U20" i="14"/>
  <c r="K39" i="14"/>
  <c r="K25" i="14"/>
  <c r="O39" i="13"/>
  <c r="O25" i="13"/>
  <c r="K38" i="12"/>
  <c r="I38" i="12"/>
  <c r="V41" i="11"/>
  <c r="V33" i="11"/>
  <c r="V22" i="11"/>
  <c r="V23" i="11"/>
  <c r="V21" i="11"/>
  <c r="V20" i="11"/>
  <c r="K41" i="11"/>
  <c r="O41" i="10"/>
  <c r="H12" i="22" l="1"/>
  <c r="D43" i="40"/>
  <c r="M43" i="40" s="1"/>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K84" i="23" l="1"/>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13" i="29" l="1"/>
  <c r="H13" i="28" l="1"/>
  <c r="H12" i="43" l="1"/>
  <c r="I135" i="17" l="1"/>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F13" i="29" l="1"/>
  <c r="F13" i="28"/>
  <c r="I15" i="25"/>
  <c r="I15" i="24"/>
  <c r="F12" i="22"/>
  <c r="G135" i="17"/>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K54" i="30" l="1"/>
  <c r="D12" i="37" l="1"/>
  <c r="F44" i="40" l="1"/>
  <c r="F37" i="40"/>
  <c r="F23" i="40"/>
  <c r="F17" i="40"/>
  <c r="F47" i="39"/>
  <c r="F38" i="39"/>
  <c r="F28" i="39"/>
  <c r="F22" i="39"/>
  <c r="F30" i="39" s="1"/>
  <c r="F25" i="40" l="1"/>
  <c r="F47" i="40" s="1"/>
  <c r="F50" i="39"/>
  <c r="I39" i="14" l="1"/>
  <c r="S39" i="14"/>
  <c r="S25" i="14"/>
  <c r="M39" i="13"/>
  <c r="I152" i="30" l="1"/>
  <c r="E152" i="30"/>
  <c r="K114" i="30"/>
  <c r="G96" i="24" l="1"/>
  <c r="G61" i="24"/>
  <c r="G23" i="24"/>
  <c r="AD27" i="24"/>
  <c r="G79" i="24"/>
  <c r="G86" i="24" s="1"/>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75" i="25"/>
  <c r="AD74" i="25"/>
  <c r="AD66" i="25"/>
  <c r="AL28" i="25"/>
  <c r="AJ35" i="25"/>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52" i="30" s="1"/>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X16" i="15" l="1"/>
  <c r="A44" i="11" l="1"/>
  <c r="A44" i="10"/>
  <c r="A51" i="8"/>
  <c r="M12" i="39" l="1"/>
  <c r="B20" i="22" l="1"/>
  <c r="P21" i="5" l="1"/>
  <c r="K15" i="30" l="1"/>
  <c r="Z22" i="43" l="1"/>
  <c r="M84" i="42" l="1"/>
  <c r="M187" i="42"/>
  <c r="M179" i="42"/>
  <c r="M180" i="42"/>
  <c r="M15" i="42"/>
  <c r="G81" i="4" l="1"/>
  <c r="E81" i="4"/>
  <c r="Z35" i="37" l="1"/>
  <c r="AI84" i="23" l="1"/>
  <c r="AI78" i="23"/>
  <c r="AI77" i="23"/>
  <c r="AI76" i="23"/>
  <c r="AI75" i="23"/>
  <c r="AI74" i="23"/>
  <c r="AI73" i="23"/>
  <c r="AI71" i="23"/>
  <c r="AI70" i="23"/>
  <c r="AI69" i="23"/>
  <c r="AI63" i="23"/>
  <c r="AI58" i="23"/>
  <c r="AI57" i="23"/>
  <c r="AI60" i="23"/>
  <c r="AI59" i="23"/>
  <c r="AI56" i="23"/>
  <c r="AI55" i="23"/>
  <c r="AI54" i="23"/>
  <c r="AI51" i="23"/>
  <c r="AI50" i="23"/>
  <c r="AI49" i="23"/>
  <c r="AI48" i="23"/>
  <c r="AI46" i="23"/>
  <c r="AI45" i="23"/>
  <c r="AI44" i="23"/>
  <c r="AI43" i="23"/>
  <c r="AI42" i="23"/>
  <c r="AI39" i="23"/>
  <c r="AI41" i="23"/>
  <c r="AI37" i="23"/>
  <c r="AI30" i="23"/>
  <c r="AI27" i="23"/>
  <c r="AI26" i="23"/>
  <c r="AI25" i="23"/>
  <c r="AI22" i="23"/>
  <c r="AI21" i="23"/>
  <c r="AI20" i="23"/>
  <c r="AF109" i="18" l="1"/>
  <c r="F57" i="2"/>
  <c r="F59" i="3" s="1"/>
  <c r="D44" i="40" l="1"/>
  <c r="D37" i="40"/>
  <c r="D23" i="40"/>
  <c r="D17" i="40"/>
  <c r="D47" i="39"/>
  <c r="D38" i="39"/>
  <c r="D28" i="39"/>
  <c r="D22" i="39"/>
  <c r="D25" i="40" l="1"/>
  <c r="D47" i="40" s="1"/>
  <c r="D49" i="40" s="1"/>
  <c r="F13" i="40" s="1"/>
  <c r="F49" i="40" s="1"/>
  <c r="H13" i="40" s="1"/>
  <c r="H49" i="40" s="1"/>
  <c r="J13" i="40" s="1"/>
  <c r="J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H12" i="39" s="1"/>
  <c r="H52" i="39" s="1"/>
  <c r="J12" i="39" s="1"/>
  <c r="J52" i="39" s="1"/>
  <c r="X39" i="19" l="1"/>
  <c r="X29" i="19" l="1"/>
  <c r="X101" i="19"/>
  <c r="X108" i="19" s="1"/>
  <c r="X36" i="19"/>
  <c r="X117" i="19"/>
  <c r="X83" i="19"/>
  <c r="X41" i="19" l="1"/>
  <c r="X87" i="19" s="1"/>
  <c r="X111" i="19" s="1"/>
  <c r="X121" i="19" s="1"/>
  <c r="X123" i="19" s="1"/>
  <c r="F24" i="32" l="1"/>
  <c r="L22" i="32"/>
  <c r="L24" i="32" s="1"/>
  <c r="E26" i="31" l="1"/>
  <c r="K86" i="30" l="1"/>
  <c r="V117" i="19" l="1"/>
  <c r="V121" i="19" l="1"/>
  <c r="V123" i="19" s="1"/>
  <c r="X34" i="43"/>
  <c r="V34" i="43"/>
  <c r="T34" i="43"/>
  <c r="R34" i="43"/>
  <c r="P34" i="43"/>
  <c r="N34" i="43"/>
  <c r="L34" i="43"/>
  <c r="J34" i="43"/>
  <c r="H34" i="43"/>
  <c r="F34" i="43"/>
  <c r="D34" i="43"/>
  <c r="B34" i="43"/>
  <c r="Z19" i="43"/>
  <c r="AC89" i="18" l="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AE135" i="17" l="1"/>
  <c r="AE134" i="17"/>
  <c r="AE21" i="16" l="1"/>
  <c r="AE22" i="16"/>
  <c r="AE23" i="16"/>
  <c r="AE24" i="16"/>
  <c r="AE25" i="16"/>
  <c r="AE29" i="16"/>
  <c r="J44" i="15" l="1"/>
  <c r="AC64" i="20" l="1"/>
  <c r="AC103" i="20"/>
  <c r="M46" i="39" l="1"/>
  <c r="M45" i="39"/>
  <c r="M44" i="39"/>
  <c r="M42" i="39"/>
  <c r="M41" i="39"/>
  <c r="M37" i="39"/>
  <c r="M35" i="39"/>
  <c r="M34" i="39"/>
  <c r="M27" i="39"/>
  <c r="M26" i="39"/>
  <c r="M25" i="39"/>
  <c r="M21" i="39"/>
  <c r="M20" i="39"/>
  <c r="M19" i="39"/>
  <c r="M18" i="39"/>
  <c r="M17" i="39"/>
  <c r="M16" i="39"/>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N117" i="19" l="1"/>
  <c r="N121" i="19" l="1"/>
  <c r="J36" i="5" l="1"/>
  <c r="J35" i="5"/>
  <c r="J27" i="5"/>
  <c r="J26" i="5"/>
  <c r="J25" i="5"/>
  <c r="J18" i="5"/>
  <c r="J19" i="5"/>
  <c r="J20" i="5"/>
  <c r="J28" i="5"/>
  <c r="Z32" i="43" l="1"/>
  <c r="AC83" i="18" l="1"/>
  <c r="AI83" i="18" s="1"/>
  <c r="AK83" i="18" s="1"/>
  <c r="D34" i="2" l="1"/>
  <c r="C20" i="13"/>
  <c r="C21" i="13"/>
  <c r="C22" i="13"/>
  <c r="C23" i="13"/>
  <c r="C24" i="13"/>
  <c r="C25" i="13"/>
  <c r="C26" i="13"/>
  <c r="C30" i="13"/>
  <c r="AC130" i="18" l="1"/>
  <c r="AC31" i="20" l="1"/>
  <c r="AC105" i="20"/>
  <c r="M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F36" i="2" l="1"/>
  <c r="F91" i="18" l="1"/>
  <c r="D75" i="19" l="1"/>
  <c r="AE75" i="19" l="1"/>
  <c r="AA16" i="22"/>
  <c r="E103" i="17" l="1"/>
  <c r="C48" i="8" l="1"/>
  <c r="C95" i="17" l="1"/>
  <c r="K109" i="30" l="1"/>
  <c r="K107" i="30" l="1"/>
  <c r="E88" i="30" l="1"/>
  <c r="E20" i="13" l="1"/>
  <c r="E21" i="13"/>
  <c r="E22" i="13"/>
  <c r="E23" i="13"/>
  <c r="E24" i="13"/>
  <c r="F101" i="19" l="1"/>
  <c r="F108" i="19" s="1"/>
  <c r="F83" i="19"/>
  <c r="F39" i="19"/>
  <c r="F36" i="19"/>
  <c r="Z36" i="19"/>
  <c r="F29" i="19"/>
  <c r="Z29" i="19"/>
  <c r="F41" i="19" l="1"/>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P17" i="2" s="1"/>
  <c r="W28" i="23"/>
  <c r="P16" i="2" s="1"/>
  <c r="W23" i="23" l="1"/>
  <c r="P15" i="2" s="1"/>
  <c r="W61" i="23"/>
  <c r="P18" i="2" s="1"/>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M23" i="40"/>
  <c r="M17" i="40"/>
  <c r="AH70" i="16" l="1"/>
  <c r="AJ70" i="16" s="1"/>
  <c r="M44" i="40"/>
  <c r="M38" i="39"/>
  <c r="M47" i="39"/>
  <c r="M22" i="39"/>
  <c r="M30" i="39" l="1"/>
  <c r="M50" i="39" s="1"/>
  <c r="U96" i="24" l="1"/>
  <c r="U79" i="24"/>
  <c r="U86" i="24" s="1"/>
  <c r="U61" i="24"/>
  <c r="U31" i="24"/>
  <c r="U28" i="24"/>
  <c r="U23" i="24"/>
  <c r="U77" i="25"/>
  <c r="U61" i="25"/>
  <c r="U68" i="25" s="1"/>
  <c r="U43" i="25"/>
  <c r="U47" i="25" s="1"/>
  <c r="U96" i="23"/>
  <c r="U33" i="24" l="1"/>
  <c r="U65" i="24" s="1"/>
  <c r="U89" i="24" s="1"/>
  <c r="U101" i="24" s="1"/>
  <c r="U71" i="25"/>
  <c r="U81" i="25" s="1"/>
  <c r="U79" i="23"/>
  <c r="U86" i="23" s="1"/>
  <c r="U65" i="23" l="1"/>
  <c r="U89" i="23" s="1"/>
  <c r="U101" i="23" s="1"/>
  <c r="AL51" i="25" l="1"/>
  <c r="X13" i="15" l="1"/>
  <c r="V13" i="15"/>
  <c r="R13" i="15"/>
  <c r="P13" i="15"/>
  <c r="N13" i="15"/>
  <c r="L13" i="15"/>
  <c r="J13" i="15"/>
  <c r="H13" i="15"/>
  <c r="AD12" i="15"/>
  <c r="X12" i="15"/>
  <c r="R12" i="15"/>
  <c r="N12" i="15"/>
  <c r="J12" i="15"/>
  <c r="AJ56" i="24" l="1"/>
  <c r="E56" i="23"/>
  <c r="AL39" i="25"/>
  <c r="AD39" i="25"/>
  <c r="AJ39" i="25" s="1"/>
  <c r="AF56" i="23" l="1"/>
  <c r="AL56" i="23" s="1"/>
  <c r="AC123" i="18" l="1"/>
  <c r="AC124" i="18"/>
  <c r="AD30" i="24" l="1"/>
  <c r="S61" i="23" l="1"/>
  <c r="S65" i="23" l="1"/>
  <c r="S89" i="23" s="1"/>
  <c r="S101" i="23" s="1"/>
  <c r="A39" i="12" l="1"/>
  <c r="K108" i="30" l="1"/>
  <c r="K105" i="30"/>
  <c r="C31" i="13" l="1"/>
  <c r="C32" i="13"/>
  <c r="E26" i="13"/>
  <c r="E30" i="13"/>
  <c r="E31" i="13"/>
  <c r="E32" i="13"/>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H44" i="15"/>
  <c r="F44" i="15"/>
  <c r="D44" i="15"/>
  <c r="X43" i="15"/>
  <c r="AH43" i="15" s="1"/>
  <c r="AJ43" i="15" s="1"/>
  <c r="V43" i="15"/>
  <c r="X42" i="15"/>
  <c r="AH42" i="15" s="1"/>
  <c r="AJ42" i="15" s="1"/>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20" i="18" l="1"/>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J12" i="43" s="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65" i="22" l="1"/>
  <c r="X55" i="22"/>
  <c r="X43" i="22"/>
  <c r="X23" i="22"/>
  <c r="X20" i="22"/>
  <c r="V65" i="22"/>
  <c r="V55" i="22"/>
  <c r="V43" i="22"/>
  <c r="V23" i="22"/>
  <c r="V20" i="22"/>
  <c r="T65" i="22"/>
  <c r="T55" i="22"/>
  <c r="T43" i="22"/>
  <c r="L18" i="2" s="1"/>
  <c r="T23" i="22"/>
  <c r="L17" i="2" s="1"/>
  <c r="T20" i="22"/>
  <c r="L15" i="2" s="1"/>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AN49" i="23" l="1"/>
  <c r="E49" i="23"/>
  <c r="AD32" i="25"/>
  <c r="AJ32" i="25" s="1"/>
  <c r="F49" i="23"/>
  <c r="AJ49" i="24"/>
  <c r="AL49" i="24" s="1"/>
  <c r="AF49" i="23" l="1"/>
  <c r="AL49" i="23" s="1"/>
  <c r="AC58" i="18"/>
  <c r="AC71" i="18"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I65" i="20"/>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E91" i="16" s="1"/>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0" i="42"/>
  <c r="M205" i="42"/>
  <c r="M195" i="42"/>
  <c r="M100" i="42"/>
  <c r="AA28" i="41"/>
  <c r="H14" i="5"/>
  <c r="P14" i="5" s="1"/>
  <c r="L14" i="5"/>
  <c r="F15" i="5"/>
  <c r="H15" i="5"/>
  <c r="J15" i="5"/>
  <c r="L15" i="5"/>
  <c r="F21" i="5"/>
  <c r="N21" i="5"/>
  <c r="N29" i="5"/>
  <c r="P29" i="5"/>
  <c r="N37" i="5"/>
  <c r="P37" i="5"/>
  <c r="AD50" i="2" l="1"/>
  <c r="M200" i="42"/>
  <c r="M253" i="42" s="1"/>
  <c r="M37" i="40"/>
  <c r="M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D37" i="24"/>
  <c r="AD61" i="24" s="1"/>
  <c r="L85" i="21"/>
  <c r="L69" i="21"/>
  <c r="L76" i="21" s="1"/>
  <c r="L51" i="21"/>
  <c r="L55" i="21" s="1"/>
  <c r="K55" i="17"/>
  <c r="P42" i="5" l="1"/>
  <c r="P45" i="5" s="1"/>
  <c r="M47" i="40"/>
  <c r="M49" i="40" s="1"/>
  <c r="J37" i="5"/>
  <c r="F42" i="5"/>
  <c r="K30" i="16"/>
  <c r="K101" i="17"/>
  <c r="K57" i="17"/>
  <c r="K55" i="16"/>
  <c r="J29" i="5"/>
  <c r="J32" i="5" s="1"/>
  <c r="B32" i="5"/>
  <c r="B42" i="5" s="1"/>
  <c r="L79" i="21"/>
  <c r="L89" i="21" s="1"/>
  <c r="M52" i="39" l="1"/>
  <c r="K47" i="16"/>
  <c r="J42" i="5"/>
  <c r="K105" i="17"/>
  <c r="K131" i="17" s="1"/>
  <c r="K141" i="17" s="1"/>
  <c r="K101" i="16"/>
  <c r="K40" i="16"/>
  <c r="K119" i="16"/>
  <c r="K128" i="16" s="1"/>
  <c r="K57" i="16" l="1"/>
  <c r="K105" i="16" s="1"/>
  <c r="K131" i="16" s="1"/>
  <c r="AE136" i="16" l="1"/>
  <c r="AI31" i="23"/>
  <c r="Z38" i="20"/>
  <c r="X38" i="20"/>
  <c r="T38" i="20"/>
  <c r="P38" i="20"/>
  <c r="L38" i="20"/>
  <c r="H38" i="20"/>
  <c r="F38" i="20"/>
  <c r="D38" i="20"/>
  <c r="Z35" i="20"/>
  <c r="X35" i="20"/>
  <c r="T35" i="20"/>
  <c r="P35" i="20"/>
  <c r="L35" i="20"/>
  <c r="H35" i="20"/>
  <c r="F35" i="20"/>
  <c r="D35" i="20"/>
  <c r="Z28" i="20"/>
  <c r="X28" i="20"/>
  <c r="T28" i="20"/>
  <c r="P28" i="20"/>
  <c r="H28" i="20"/>
  <c r="F28" i="20"/>
  <c r="D28" i="20"/>
  <c r="C52" i="16"/>
  <c r="C29" i="16"/>
  <c r="C25" i="16"/>
  <c r="C24" i="16"/>
  <c r="C23" i="16"/>
  <c r="C22" i="16"/>
  <c r="C21" i="16"/>
  <c r="H40" i="20" l="1"/>
  <c r="D40" i="20"/>
  <c r="Z40" i="20"/>
  <c r="X40" i="20"/>
  <c r="F40" i="20"/>
  <c r="T40" i="20"/>
  <c r="P40" i="20"/>
  <c r="L40" i="20"/>
  <c r="G38" i="12"/>
  <c r="C49" i="7"/>
  <c r="E49" i="7"/>
  <c r="G28" i="36" l="1"/>
  <c r="Y40" i="41"/>
  <c r="W40" i="41"/>
  <c r="S40" i="41"/>
  <c r="Q40" i="41"/>
  <c r="O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D17" i="2" s="1"/>
  <c r="T52" i="18"/>
  <c r="R52" i="18"/>
  <c r="P52" i="18"/>
  <c r="L52" i="18"/>
  <c r="AF44" i="18"/>
  <c r="Z44" i="18"/>
  <c r="X44" i="18"/>
  <c r="V44" i="18"/>
  <c r="D16" i="2" s="1"/>
  <c r="T44" i="18"/>
  <c r="R44" i="18"/>
  <c r="P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Y47" i="16"/>
  <c r="W47" i="16"/>
  <c r="U47" i="16"/>
  <c r="S47" i="16"/>
  <c r="Q47" i="16"/>
  <c r="O47" i="16"/>
  <c r="Y40" i="16"/>
  <c r="W40" i="16"/>
  <c r="U40" i="16"/>
  <c r="S40" i="16"/>
  <c r="Q40" i="16"/>
  <c r="O40" i="16"/>
  <c r="Y26" i="16"/>
  <c r="Y30" i="16" s="1"/>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J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K26" i="20" s="1"/>
  <c r="AI25" i="20"/>
  <c r="AI24" i="20"/>
  <c r="AK24" i="20" s="1"/>
  <c r="AI22" i="20"/>
  <c r="AK22" i="20" s="1"/>
  <c r="AI21" i="20"/>
  <c r="AK21" i="20" s="1"/>
  <c r="C88" i="17"/>
  <c r="C87" i="17"/>
  <c r="C81" i="17"/>
  <c r="E21" i="8"/>
  <c r="AI33" i="23" l="1"/>
  <c r="E33" i="23"/>
  <c r="AE38" i="19"/>
  <c r="AK38" i="19" s="1"/>
  <c r="AM38" i="19" s="1"/>
  <c r="C34" i="16"/>
  <c r="AB34" i="16" s="1"/>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AM27" i="19" s="1"/>
  <c r="C44" i="16"/>
  <c r="AB44" i="16" s="1"/>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98" i="16"/>
  <c r="AE37" i="16"/>
  <c r="AE43"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H36" i="19"/>
  <c r="AD16" i="2" s="1"/>
  <c r="AE42" i="16"/>
  <c r="AH117" i="19"/>
  <c r="AH121" i="19" s="1"/>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D15" i="2" s="1"/>
  <c r="T37" i="18"/>
  <c r="R37" i="18"/>
  <c r="L37" i="18"/>
  <c r="J37" i="18"/>
  <c r="H37" i="18"/>
  <c r="F37" i="18"/>
  <c r="Z24" i="18"/>
  <c r="Z28" i="18" s="1"/>
  <c r="X24" i="18"/>
  <c r="X28" i="18" s="1"/>
  <c r="V24" i="18"/>
  <c r="T24" i="18"/>
  <c r="R24" i="18"/>
  <c r="R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Z51" i="21"/>
  <c r="Z55" i="21" s="1"/>
  <c r="X51" i="21"/>
  <c r="T51" i="21"/>
  <c r="T55" i="21" s="1"/>
  <c r="R51" i="21"/>
  <c r="R55" i="21" s="1"/>
  <c r="P51" i="21"/>
  <c r="N55" i="21"/>
  <c r="J51" i="21"/>
  <c r="J55" i="21" s="1"/>
  <c r="H55" i="21"/>
  <c r="F51" i="21"/>
  <c r="F55" i="21" s="1"/>
  <c r="D51" i="21"/>
  <c r="D55" i="21" s="1"/>
  <c r="Z82" i="20"/>
  <c r="X82" i="20"/>
  <c r="T82" i="20"/>
  <c r="L82" i="20"/>
  <c r="H82" i="20"/>
  <c r="F82" i="20"/>
  <c r="D82" i="20"/>
  <c r="Z83" i="19"/>
  <c r="AF91" i="18"/>
  <c r="Z91" i="18"/>
  <c r="X91" i="18"/>
  <c r="D18" i="2"/>
  <c r="T91" i="18"/>
  <c r="R91" i="18"/>
  <c r="P91" i="18"/>
  <c r="L91" i="18"/>
  <c r="J91" i="18"/>
  <c r="H91" i="18"/>
  <c r="AA47" i="25"/>
  <c r="Y47" i="25"/>
  <c r="W47" i="25"/>
  <c r="S47" i="25"/>
  <c r="Q47" i="25"/>
  <c r="O47" i="25"/>
  <c r="M47" i="25"/>
  <c r="K47" i="25"/>
  <c r="I47" i="25"/>
  <c r="E47" i="25"/>
  <c r="AG61" i="24"/>
  <c r="AA61" i="24"/>
  <c r="Y61" i="24"/>
  <c r="W61" i="24"/>
  <c r="S61" i="24"/>
  <c r="Q61" i="24"/>
  <c r="O61" i="24"/>
  <c r="M61" i="24"/>
  <c r="K61" i="24"/>
  <c r="I61" i="24"/>
  <c r="E61" i="24"/>
  <c r="T28" i="18" l="1"/>
  <c r="AF33" i="23"/>
  <c r="AL33" i="23" s="1"/>
  <c r="AN33" i="23" s="1"/>
  <c r="C47" i="16"/>
  <c r="C40" i="16"/>
  <c r="C55" i="16"/>
  <c r="G23" i="11"/>
  <c r="J19" i="3"/>
  <c r="G22" i="11"/>
  <c r="J18" i="3"/>
  <c r="G21" i="11"/>
  <c r="V28" i="18"/>
  <c r="D14" i="2" s="1"/>
  <c r="G23" i="14"/>
  <c r="AI35" i="20"/>
  <c r="AK35" i="20" s="1"/>
  <c r="AK30" i="20"/>
  <c r="AI28" i="20"/>
  <c r="AK28" i="20" s="1"/>
  <c r="AK20" i="20"/>
  <c r="AK51" i="21"/>
  <c r="AH41" i="19"/>
  <c r="AH87" i="19" s="1"/>
  <c r="AH111" i="19" s="1"/>
  <c r="AH123" i="19" s="1"/>
  <c r="G20" i="10"/>
  <c r="K20" i="10" s="1"/>
  <c r="D86" i="20"/>
  <c r="X55"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AG47" i="25"/>
  <c r="H54" i="18"/>
  <c r="H95" i="18" s="1"/>
  <c r="R54" i="18"/>
  <c r="R95" i="18" s="1"/>
  <c r="Z54" i="18"/>
  <c r="Z95" i="18" s="1"/>
  <c r="F54" i="18"/>
  <c r="F95" i="18" s="1"/>
  <c r="AD15" i="2"/>
  <c r="P54" i="18"/>
  <c r="P95" i="18" s="1"/>
  <c r="X54" i="18"/>
  <c r="X95" i="18" s="1"/>
  <c r="D54" i="18"/>
  <c r="L54" i="18"/>
  <c r="L95" i="18" s="1"/>
  <c r="AI44" i="18"/>
  <c r="AI46" i="18"/>
  <c r="AK46" i="18" s="1"/>
  <c r="AC52" i="18"/>
  <c r="G23" i="9" s="1"/>
  <c r="K23" i="9" s="1"/>
  <c r="AC44" i="18"/>
  <c r="G22" i="9" s="1"/>
  <c r="K22" i="9" s="1"/>
  <c r="AK36" i="19"/>
  <c r="AM36" i="19" s="1"/>
  <c r="Z86" i="20"/>
  <c r="P86" i="20"/>
  <c r="T86" i="20"/>
  <c r="AH52" i="17"/>
  <c r="AJ52" i="17" s="1"/>
  <c r="AG23" i="22"/>
  <c r="AI23" i="22" s="1"/>
  <c r="G22" i="12"/>
  <c r="N17" i="2"/>
  <c r="AG20" i="22"/>
  <c r="AI20" i="22" s="1"/>
  <c r="G21" i="12"/>
  <c r="N15" i="2"/>
  <c r="F86" i="20"/>
  <c r="X86" i="20"/>
  <c r="D41" i="19"/>
  <c r="AE36" i="19"/>
  <c r="J16" i="2" s="1"/>
  <c r="AB55" i="16"/>
  <c r="AH50" i="16"/>
  <c r="AJ50" i="16" s="1"/>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T54" i="18" l="1"/>
  <c r="T95" i="18" s="1"/>
  <c r="F14" i="2"/>
  <c r="I23" i="14"/>
  <c r="K23" i="14"/>
  <c r="K22" i="12"/>
  <c r="I22" i="12"/>
  <c r="K21" i="12"/>
  <c r="I21" i="12"/>
  <c r="I23" i="11"/>
  <c r="K23" i="11"/>
  <c r="I22" i="11"/>
  <c r="K22" i="11"/>
  <c r="I21" i="11"/>
  <c r="K21" i="11"/>
  <c r="M20" i="10"/>
  <c r="O20" i="10"/>
  <c r="I21" i="9"/>
  <c r="I22" i="9"/>
  <c r="I23" i="9"/>
  <c r="V14" i="2"/>
  <c r="C57" i="16"/>
  <c r="G23" i="13"/>
  <c r="V54" i="18"/>
  <c r="V95" i="18" s="1"/>
  <c r="AI40" i="20"/>
  <c r="AK40" i="20" s="1"/>
  <c r="AK38" i="20"/>
  <c r="G23" i="10"/>
  <c r="K23" i="10" s="1"/>
  <c r="G22" i="10"/>
  <c r="K22" i="10" s="1"/>
  <c r="W101" i="16"/>
  <c r="W105" i="16" s="1"/>
  <c r="AH30" i="16"/>
  <c r="AJ30" i="16" s="1"/>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AC54" i="18" l="1"/>
  <c r="G20" i="9"/>
  <c r="K20" i="9" s="1"/>
  <c r="I27" i="11"/>
  <c r="M21" i="10"/>
  <c r="O21" i="10"/>
  <c r="M22" i="10"/>
  <c r="O22" i="10"/>
  <c r="M23" i="10"/>
  <c r="O23" i="10"/>
  <c r="K23" i="13"/>
  <c r="G23" i="7"/>
  <c r="AI28" i="18"/>
  <c r="AI54" i="18" s="1"/>
  <c r="AK24" i="18"/>
  <c r="C33" i="7"/>
  <c r="C35" i="10"/>
  <c r="C39" i="10" s="1"/>
  <c r="C42" i="10" s="1"/>
  <c r="AH47" i="16"/>
  <c r="AJ47" i="16" s="1"/>
  <c r="AI114" i="20"/>
  <c r="AK114" i="20" s="1"/>
  <c r="J52" i="3"/>
  <c r="I20" i="9" l="1"/>
  <c r="G20" i="7"/>
  <c r="K20" i="7" s="1"/>
  <c r="M23" i="13"/>
  <c r="O23" i="13"/>
  <c r="I23" i="7"/>
  <c r="K23"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I20" i="7" l="1"/>
  <c r="AI50" i="2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I40" i="27" s="1"/>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H29" i="5"/>
  <c r="L25" i="5"/>
  <c r="AG29" i="27"/>
  <c r="AI29" i="27" s="1"/>
  <c r="H21" i="5"/>
  <c r="L18" i="5"/>
  <c r="AA34" i="27"/>
  <c r="AA48" i="27" s="1"/>
  <c r="AA50" i="27" s="1"/>
  <c r="AG50" i="27" s="1"/>
  <c r="AG19" i="27"/>
  <c r="AI19" i="27" s="1"/>
  <c r="AA39" i="26"/>
  <c r="C46" i="8"/>
  <c r="C49" i="8" s="1"/>
  <c r="C37" i="8"/>
  <c r="N39" i="11"/>
  <c r="N42" i="11" s="1"/>
  <c r="C39" i="11"/>
  <c r="C42" i="11" s="1"/>
  <c r="M40" i="14"/>
  <c r="AI50" i="27" l="1"/>
  <c r="U36" i="5"/>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U37" i="5"/>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K24" i="9" s="1"/>
  <c r="I24" i="9" l="1"/>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M16" i="17" s="1"/>
  <c r="AB143" i="17"/>
  <c r="AH143" i="17" s="1"/>
  <c r="AJ143" i="17" s="1"/>
  <c r="AH141" i="17"/>
  <c r="AJ141" i="17" s="1"/>
  <c r="M143" i="17" l="1"/>
  <c r="O16" i="17" s="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Q16" i="17" s="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K30" i="9" s="1"/>
  <c r="AC99" i="18"/>
  <c r="F24" i="2" s="1"/>
  <c r="AC100" i="18"/>
  <c r="AC101" i="18"/>
  <c r="AC103" i="18"/>
  <c r="AC104" i="18"/>
  <c r="AC105" i="18"/>
  <c r="AC106" i="18"/>
  <c r="AC107" i="18"/>
  <c r="AC108" i="18"/>
  <c r="F15" i="6"/>
  <c r="I30" i="9" l="1"/>
  <c r="W143" i="17"/>
  <c r="AI123" i="18"/>
  <c r="AK123" i="18" s="1"/>
  <c r="G28" i="9"/>
  <c r="K28" i="9" s="1"/>
  <c r="AI124" i="18"/>
  <c r="AK124" i="18" s="1"/>
  <c r="G29" i="9"/>
  <c r="K29" i="9" s="1"/>
  <c r="E105" i="16"/>
  <c r="AI125" i="18"/>
  <c r="AK125" i="18" s="1"/>
  <c r="I29" i="9" l="1"/>
  <c r="I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T100" i="20"/>
  <c r="T107" i="20" s="1"/>
  <c r="T110" i="20" s="1"/>
  <c r="P100" i="20"/>
  <c r="P107" i="20" s="1"/>
  <c r="L100" i="20"/>
  <c r="L107" i="20" s="1"/>
  <c r="J100" i="20"/>
  <c r="J107" i="20" s="1"/>
  <c r="H100" i="20"/>
  <c r="H107" i="20" s="1"/>
  <c r="F100" i="20"/>
  <c r="F107" i="20" s="1"/>
  <c r="D116" i="20"/>
  <c r="D100" i="20"/>
  <c r="D107" i="20" s="1"/>
  <c r="D110" i="20" s="1"/>
  <c r="Z117" i="19"/>
  <c r="T117" i="19"/>
  <c r="H117" i="19"/>
  <c r="F117" i="19"/>
  <c r="Z101" i="19"/>
  <c r="Z108" i="19" s="1"/>
  <c r="D117" i="19"/>
  <c r="AF133" i="18"/>
  <c r="AF115" i="18"/>
  <c r="T34" i="27" l="1"/>
  <c r="T48" i="27" s="1"/>
  <c r="P39" i="26"/>
  <c r="P53" i="26" s="1"/>
  <c r="J34" i="27"/>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20" i="20"/>
  <c r="V120" i="20"/>
  <c r="L110" i="20"/>
  <c r="L120" i="20" s="1"/>
  <c r="P110" i="20"/>
  <c r="P120" i="20" s="1"/>
  <c r="X110" i="20"/>
  <c r="X120" i="20" s="1"/>
  <c r="R120" i="20"/>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H34" i="27"/>
  <c r="H48" i="27" s="1"/>
  <c r="P34" i="27"/>
  <c r="P48" i="27" s="1"/>
  <c r="AD28" i="29"/>
  <c r="D28" i="29"/>
  <c r="D37" i="29" s="1"/>
  <c r="AA17" i="29"/>
  <c r="AG16" i="29"/>
  <c r="AI16" i="29" s="1"/>
  <c r="G23" i="12"/>
  <c r="AG53" i="22"/>
  <c r="AI53" i="22" s="1"/>
  <c r="G30" i="12"/>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Y119" i="16"/>
  <c r="Y128" i="16" s="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24" i="12" l="1"/>
  <c r="K24" i="12"/>
  <c r="I23" i="12"/>
  <c r="K23" i="12"/>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43" i="31"/>
  <c r="K110" i="30"/>
  <c r="AD37" i="29"/>
  <c r="I83" i="25"/>
  <c r="K83" i="25" s="1"/>
  <c r="M83" i="25" s="1"/>
  <c r="O83" i="25" s="1"/>
  <c r="Q83" i="25" s="1"/>
  <c r="S83" i="25" s="1"/>
  <c r="U83" i="25" s="1"/>
  <c r="I103" i="24"/>
  <c r="K103" i="24" s="1"/>
  <c r="M103" i="24" s="1"/>
  <c r="O103" i="24" s="1"/>
  <c r="Q103" i="24" s="1"/>
  <c r="S103" i="24" s="1"/>
  <c r="U103" i="24" s="1"/>
  <c r="W103" i="24" s="1"/>
  <c r="Y103" i="24" s="1"/>
  <c r="AA103" i="24" s="1"/>
  <c r="F122" i="20"/>
  <c r="G21" i="13"/>
  <c r="K88" i="30"/>
  <c r="K32" i="13"/>
  <c r="G30" i="14"/>
  <c r="G35" i="11"/>
  <c r="AL61" i="25"/>
  <c r="G32" i="12"/>
  <c r="D55" i="26"/>
  <c r="F16" i="26" s="1"/>
  <c r="D38" i="28"/>
  <c r="D50" i="27"/>
  <c r="F14" i="27" s="1"/>
  <c r="D38" i="29"/>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G27" i="9"/>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W15" i="25" l="1"/>
  <c r="W83" i="25" s="1"/>
  <c r="Y83" i="25" s="1"/>
  <c r="AA83" i="25" s="1"/>
  <c r="K26" i="12"/>
  <c r="K36" i="12" s="1"/>
  <c r="K39" i="12" s="1"/>
  <c r="M32" i="13"/>
  <c r="O32" i="13"/>
  <c r="M31" i="13"/>
  <c r="O31" i="13"/>
  <c r="I30" i="14"/>
  <c r="K30" i="14"/>
  <c r="K33" i="14" s="1"/>
  <c r="M24" i="13"/>
  <c r="O24" i="13"/>
  <c r="I32" i="7"/>
  <c r="K32" i="7"/>
  <c r="I24" i="7"/>
  <c r="K24" i="7"/>
  <c r="H13" i="20"/>
  <c r="H122" i="20" s="1"/>
  <c r="J122" i="20" s="1"/>
  <c r="L122" i="20" s="1"/>
  <c r="G41" i="7"/>
  <c r="I27" i="9"/>
  <c r="I25" i="9"/>
  <c r="AD38" i="29"/>
  <c r="N122" i="20"/>
  <c r="P122" i="20" s="1"/>
  <c r="R122" i="20" s="1"/>
  <c r="T122" i="20" s="1"/>
  <c r="V122" i="20" s="1"/>
  <c r="X122" i="20" s="1"/>
  <c r="K21" i="13"/>
  <c r="G30" i="13"/>
  <c r="G20" i="13"/>
  <c r="K27" i="14"/>
  <c r="G36" i="12"/>
  <c r="G39" i="12" s="1"/>
  <c r="G22" i="7"/>
  <c r="G27" i="14"/>
  <c r="AA70" i="22"/>
  <c r="AA73" i="22" s="1"/>
  <c r="F50" i="2"/>
  <c r="F52" i="3" s="1"/>
  <c r="G39" i="9"/>
  <c r="K39" i="9" s="1"/>
  <c r="F55" i="26"/>
  <c r="H16" i="26" s="1"/>
  <c r="F50" i="27"/>
  <c r="H14" i="27" s="1"/>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K38" i="9" s="1"/>
  <c r="AI126" i="18"/>
  <c r="AK126" i="18" s="1"/>
  <c r="AI113" i="18"/>
  <c r="AK113" i="18" s="1"/>
  <c r="G36" i="9"/>
  <c r="K36" i="9" s="1"/>
  <c r="AI112" i="18"/>
  <c r="AK112" i="18" s="1"/>
  <c r="G35" i="9"/>
  <c r="K35" i="9" s="1"/>
  <c r="G33" i="14"/>
  <c r="AK44" i="18"/>
  <c r="X118" i="18"/>
  <c r="P118" i="18"/>
  <c r="H118" i="18"/>
  <c r="V118" i="18"/>
  <c r="AJ86" i="24"/>
  <c r="AL86" i="24" s="1"/>
  <c r="AI122" i="18"/>
  <c r="AK122" i="18" s="1"/>
  <c r="F49" i="2"/>
  <c r="F118" i="18"/>
  <c r="AI110" i="20"/>
  <c r="AK110" i="20" s="1"/>
  <c r="AC133" i="18"/>
  <c r="Z118" i="18"/>
  <c r="R118" i="18"/>
  <c r="J118" i="18"/>
  <c r="T118" i="18"/>
  <c r="L118" i="18"/>
  <c r="D118" i="18"/>
  <c r="AC109" i="18"/>
  <c r="AI99" i="18"/>
  <c r="AK99" i="18" s="1"/>
  <c r="F51" i="3" l="1"/>
  <c r="I36" i="12"/>
  <c r="I39" i="12" s="1"/>
  <c r="M21" i="13"/>
  <c r="O21" i="13"/>
  <c r="I33" i="7"/>
  <c r="K33" i="7"/>
  <c r="I49" i="9"/>
  <c r="K49" i="9"/>
  <c r="I41" i="7"/>
  <c r="K41" i="7"/>
  <c r="I38" i="9"/>
  <c r="I39" i="9"/>
  <c r="I22" i="7"/>
  <c r="K22" i="7"/>
  <c r="I35" i="9"/>
  <c r="I36" i="9"/>
  <c r="F13" i="21"/>
  <c r="F91" i="21" s="1"/>
  <c r="I31" i="9"/>
  <c r="H61" i="3"/>
  <c r="Z122" i="20"/>
  <c r="I33" i="14"/>
  <c r="K30" i="13"/>
  <c r="I27" i="14"/>
  <c r="G37" i="14"/>
  <c r="H38" i="29"/>
  <c r="H50" i="27"/>
  <c r="J14" i="27" s="1"/>
  <c r="H38" i="28"/>
  <c r="R38" i="29"/>
  <c r="G49" i="7"/>
  <c r="K31" i="9"/>
  <c r="AI133" i="18"/>
  <c r="AK133" i="18" s="1"/>
  <c r="G31" i="7"/>
  <c r="AI109" i="18"/>
  <c r="G34" i="9"/>
  <c r="K34" i="9" s="1"/>
  <c r="G30" i="7"/>
  <c r="K37" i="14"/>
  <c r="K40" i="14" s="1"/>
  <c r="S37" i="14"/>
  <c r="AJ65" i="24"/>
  <c r="AL65" i="24" s="1"/>
  <c r="AK54" i="18"/>
  <c r="AG37" i="29"/>
  <c r="AI37" i="29" s="1"/>
  <c r="AG58" i="22"/>
  <c r="AJ89" i="24"/>
  <c r="AC115" i="18"/>
  <c r="P33" i="6"/>
  <c r="P32" i="6"/>
  <c r="H33" i="6"/>
  <c r="H32" i="6"/>
  <c r="F19" i="6"/>
  <c r="D33" i="6"/>
  <c r="D32" i="6"/>
  <c r="B19" i="6"/>
  <c r="M30" i="13" l="1"/>
  <c r="M33" i="13" s="1"/>
  <c r="O30" i="13"/>
  <c r="O33" i="13" s="1"/>
  <c r="I34" i="9"/>
  <c r="I43" i="9" s="1"/>
  <c r="I47" i="9" s="1"/>
  <c r="I50" i="9" s="1"/>
  <c r="K43" i="9"/>
  <c r="K47" i="9" s="1"/>
  <c r="K50" i="9" s="1"/>
  <c r="I49" i="7"/>
  <c r="K49" i="7"/>
  <c r="I31" i="7"/>
  <c r="K31" i="7"/>
  <c r="I30" i="7"/>
  <c r="K30" i="7"/>
  <c r="H13" i="21"/>
  <c r="H91" i="21" s="1"/>
  <c r="J91" i="21" s="1"/>
  <c r="L91" i="21" s="1"/>
  <c r="N91" i="21" s="1"/>
  <c r="AL103" i="24"/>
  <c r="AL89" i="24"/>
  <c r="AJ101" i="24"/>
  <c r="AL101" i="24" s="1"/>
  <c r="I37" i="14"/>
  <c r="I40" i="14" s="1"/>
  <c r="K33" i="13"/>
  <c r="G33" i="13"/>
  <c r="K20" i="13"/>
  <c r="G27" i="13"/>
  <c r="G21" i="7"/>
  <c r="AG70" i="22"/>
  <c r="AI70" i="22" s="1"/>
  <c r="AI58" i="22"/>
  <c r="J38" i="28"/>
  <c r="J38" i="29"/>
  <c r="H55" i="26"/>
  <c r="J16" i="26" s="1"/>
  <c r="T38" i="29"/>
  <c r="R55" i="26"/>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K42" i="7" s="1"/>
  <c r="K43" i="7" s="1"/>
  <c r="O27" i="13"/>
  <c r="O37" i="13" s="1"/>
  <c r="O40" i="13" s="1"/>
  <c r="G37" i="13"/>
  <c r="G40" i="13" s="1"/>
  <c r="K27" i="13"/>
  <c r="K37" i="13" s="1"/>
  <c r="K40" i="13" s="1"/>
  <c r="V38" i="29"/>
  <c r="X38" i="29" s="1"/>
  <c r="AG73" i="22"/>
  <c r="AI73" i="22" s="1"/>
  <c r="L38" i="29"/>
  <c r="L38" i="28"/>
  <c r="J50" i="27"/>
  <c r="L14" i="27" s="1"/>
  <c r="T55" i="26"/>
  <c r="L34" i="6"/>
  <c r="F39" i="6"/>
  <c r="J34" i="6"/>
  <c r="I42" i="7" l="1"/>
  <c r="I43" i="7" s="1"/>
  <c r="N38" i="28"/>
  <c r="F42" i="6"/>
  <c r="N38" i="29"/>
  <c r="L50" i="27"/>
  <c r="N14" i="27" s="1"/>
  <c r="J55" i="26"/>
  <c r="L16" i="26" s="1"/>
  <c r="V55" i="26"/>
  <c r="X55" i="26" s="1"/>
  <c r="G43" i="7"/>
  <c r="P38" i="28" l="1"/>
  <c r="L55" i="26"/>
  <c r="N16" i="26" s="1"/>
  <c r="N57" i="2"/>
  <c r="N59" i="3" s="1"/>
  <c r="R38" i="28" l="1"/>
  <c r="T38" i="28" s="1"/>
  <c r="V38" i="28" s="1"/>
  <c r="N50" i="27"/>
  <c r="T59" i="3"/>
  <c r="K14" i="30"/>
  <c r="K23" i="30"/>
  <c r="AD40" i="2"/>
  <c r="P14" i="27" l="1"/>
  <c r="F45" i="5" s="1"/>
  <c r="J41" i="6"/>
  <c r="X50" i="27"/>
  <c r="N55" i="26"/>
  <c r="P16" i="26" s="1"/>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P50" i="27" l="1"/>
  <c r="R50" i="27" s="1"/>
  <c r="T50" i="27" s="1"/>
  <c r="V50" i="27" s="1"/>
  <c r="T26" i="11"/>
  <c r="V26" i="11"/>
  <c r="I48" i="8"/>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L77" i="23"/>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AM117" i="19" s="1"/>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L96" i="23" l="1"/>
  <c r="AN96" i="23" s="1"/>
  <c r="F139" i="18"/>
  <c r="H14" i="18" s="1"/>
  <c r="P42" i="2"/>
  <c r="P45" i="2" s="1"/>
  <c r="P55" i="2" s="1"/>
  <c r="AL79" i="23"/>
  <c r="AN79" i="23" s="1"/>
  <c r="AK101" i="19"/>
  <c r="AK87" i="19"/>
  <c r="AL65" i="23"/>
  <c r="F123" i="19"/>
  <c r="H14" i="19" s="1"/>
  <c r="H45" i="2"/>
  <c r="H55" i="2" s="1"/>
  <c r="AE108" i="19"/>
  <c r="D42" i="2"/>
  <c r="AF89" i="23"/>
  <c r="AF101" i="23" s="1"/>
  <c r="AL101" i="23" s="1"/>
  <c r="D20" i="2"/>
  <c r="AN101" i="23" l="1"/>
  <c r="AN65" i="23"/>
  <c r="H139" i="18"/>
  <c r="J14" i="18" s="1"/>
  <c r="AM87" i="19"/>
  <c r="AK108" i="19"/>
  <c r="AM108" i="19" s="1"/>
  <c r="AM101" i="19"/>
  <c r="AE111" i="19"/>
  <c r="AE121" i="19" s="1"/>
  <c r="AE123" i="19" s="1"/>
  <c r="H123" i="19"/>
  <c r="D45" i="2"/>
  <c r="D55" i="2" s="1"/>
  <c r="AG68" i="25"/>
  <c r="AM14" i="19"/>
  <c r="AK14" i="19"/>
  <c r="J139" i="18" l="1"/>
  <c r="AG71" i="25"/>
  <c r="AL71" i="25" s="1"/>
  <c r="AL68" i="25"/>
  <c r="AK111" i="19"/>
  <c r="AM111" i="19" s="1"/>
  <c r="J123" i="19"/>
  <c r="AJ68" i="25"/>
  <c r="L14" i="18" l="1"/>
  <c r="L139" i="18" s="1"/>
  <c r="AJ71" i="25"/>
  <c r="AG81" i="25"/>
  <c r="I103" i="23"/>
  <c r="K103" i="23" s="1"/>
  <c r="L123" i="19"/>
  <c r="AK121" i="19"/>
  <c r="AM121" i="19" s="1"/>
  <c r="AK123" i="19"/>
  <c r="AM123" i="19" s="1"/>
  <c r="N14" i="18" l="1"/>
  <c r="N139" i="18" s="1"/>
  <c r="P14" i="18" s="1"/>
  <c r="P139" i="18" s="1"/>
  <c r="R14" i="18" s="1"/>
  <c r="R139" i="18" s="1"/>
  <c r="N123" i="19"/>
  <c r="AL81" i="25"/>
  <c r="AG83" i="25"/>
  <c r="AJ81" i="25"/>
  <c r="D59" i="3" l="1"/>
  <c r="D59" i="2"/>
  <c r="AL83" i="25"/>
  <c r="AJ83" i="25"/>
  <c r="T139" i="18"/>
  <c r="M103" i="23"/>
  <c r="V40" i="2"/>
  <c r="D61" i="3" l="1"/>
  <c r="V139" i="18"/>
  <c r="R123" i="19"/>
  <c r="B26" i="6"/>
  <c r="B29" i="6" s="1"/>
  <c r="B39" i="6" s="1"/>
  <c r="B42" i="6" s="1"/>
  <c r="X139" i="18" l="1"/>
  <c r="O103" i="23"/>
  <c r="T123" i="19"/>
  <c r="C100" i="30"/>
  <c r="C154" i="30" s="1"/>
  <c r="Z139" i="18" l="1"/>
  <c r="H59" i="2"/>
  <c r="Z123" i="19"/>
  <c r="E100" i="30"/>
  <c r="E154" i="30" s="1"/>
  <c r="I100" i="30"/>
  <c r="I154" i="30" s="1"/>
  <c r="G100" i="30"/>
  <c r="G154" i="30" s="1"/>
  <c r="K100" i="30" l="1"/>
  <c r="K154" i="30" s="1"/>
  <c r="E43" i="7" l="1"/>
  <c r="E34" i="7"/>
  <c r="S103" i="23" l="1"/>
  <c r="U15" i="23" s="1"/>
  <c r="E37" i="7"/>
  <c r="E47" i="7"/>
  <c r="E50" i="7" s="1"/>
  <c r="U103" i="23" l="1"/>
  <c r="W15" i="23" s="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25" i="2"/>
  <c r="R34" i="2" s="1"/>
  <c r="R42" i="2" s="1"/>
  <c r="R51" i="2" l="1"/>
  <c r="AB134" i="16"/>
  <c r="R45" i="2"/>
  <c r="AL86" i="23"/>
  <c r="AF103" i="23"/>
  <c r="AN103" i="23" s="1"/>
  <c r="R55" i="2" l="1"/>
  <c r="R59" i="2" s="1"/>
  <c r="AN86" i="23"/>
  <c r="AL89" i="23"/>
  <c r="AN89" i="23" s="1"/>
  <c r="AH134" i="16"/>
  <c r="AJ134" i="16" s="1"/>
  <c r="N50" i="2" l="1"/>
  <c r="N49" i="2"/>
  <c r="N40" i="2"/>
  <c r="N37" i="2"/>
  <c r="N40" i="3" s="1"/>
  <c r="N19" i="2"/>
  <c r="N22" i="3" s="1"/>
  <c r="N18" i="2"/>
  <c r="N21" i="3" s="1"/>
  <c r="T21" i="3" s="1"/>
  <c r="N20" i="3"/>
  <c r="N18" i="3"/>
  <c r="N17" i="3"/>
  <c r="N51" i="3" l="1"/>
  <c r="T51" i="3" s="1"/>
  <c r="N52" i="3"/>
  <c r="N23" i="3"/>
  <c r="G24" i="8"/>
  <c r="AD21" i="3"/>
  <c r="AF21" i="3" s="1"/>
  <c r="X40" i="2"/>
  <c r="AI40" i="2" s="1"/>
  <c r="N43" i="3"/>
  <c r="T43" i="3" s="1"/>
  <c r="N42" i="2"/>
  <c r="N51" i="2"/>
  <c r="N20" i="2"/>
  <c r="N53" i="3" l="1"/>
  <c r="I24" i="8"/>
  <c r="K24" i="8"/>
  <c r="N45" i="3"/>
  <c r="N48" i="3" s="1"/>
  <c r="AG40" i="2"/>
  <c r="G40" i="8"/>
  <c r="AD51" i="3"/>
  <c r="G32" i="8"/>
  <c r="AD43" i="3"/>
  <c r="AF43" i="3" s="1"/>
  <c r="N45" i="2"/>
  <c r="N55" i="2" s="1"/>
  <c r="N59" i="2" s="1"/>
  <c r="I32" i="8" l="1"/>
  <c r="K32" i="8"/>
  <c r="I40" i="8"/>
  <c r="K40" i="8"/>
  <c r="N57" i="3"/>
  <c r="N61" i="3" s="1"/>
  <c r="AF51" i="3"/>
  <c r="AB135" i="16" l="1"/>
  <c r="V50" i="2"/>
  <c r="U136" i="16" s="1"/>
  <c r="K138" i="16" l="1"/>
  <c r="K142" i="16" s="1"/>
  <c r="W138" i="16"/>
  <c r="W142" i="16" s="1"/>
  <c r="S138" i="16"/>
  <c r="S142" i="16" s="1"/>
  <c r="Q138" i="16"/>
  <c r="Q142" i="16" s="1"/>
  <c r="O138" i="16"/>
  <c r="O142" i="16" s="1"/>
  <c r="V51" i="2"/>
  <c r="I138" i="16"/>
  <c r="E138" i="16"/>
  <c r="J50" i="2"/>
  <c r="X50" i="2" s="1"/>
  <c r="J49" i="2"/>
  <c r="X49" i="2" s="1"/>
  <c r="M138" i="16" l="1"/>
  <c r="M142" i="16" s="1"/>
  <c r="Y138" i="16"/>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AD53" i="3" l="1"/>
  <c r="AF53" i="3" s="1"/>
  <c r="I23" i="8"/>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G51"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s="1"/>
  <c r="AD57" i="3" l="1"/>
  <c r="AF57" i="3" s="1"/>
  <c r="X59" i="2"/>
  <c r="AI59" i="2" s="1"/>
  <c r="I144" i="16"/>
  <c r="K16" i="16" s="1"/>
  <c r="K46" i="8"/>
  <c r="K49" i="8" s="1"/>
  <c r="K37" i="8"/>
  <c r="AH105" i="16"/>
  <c r="AJ105" i="16" s="1"/>
  <c r="AF23" i="3"/>
  <c r="G37" i="8"/>
  <c r="AH131" i="16"/>
  <c r="AJ131" i="16" s="1"/>
  <c r="K144" i="16" l="1"/>
  <c r="M16" i="16" s="1"/>
  <c r="M144" i="16" s="1"/>
  <c r="O16" i="16" s="1"/>
  <c r="I49" i="8"/>
  <c r="I37" i="8"/>
  <c r="AH142" i="16"/>
  <c r="AJ142" i="16" s="1"/>
  <c r="AD61" i="3" l="1"/>
  <c r="AF61" i="3" s="1"/>
  <c r="AH144" i="16"/>
  <c r="AJ144" i="16" s="1"/>
  <c r="B70" i="22"/>
  <c r="B73" i="22" s="1"/>
  <c r="D12" i="22" s="1"/>
  <c r="O144" i="16" l="1"/>
  <c r="Q16" i="16" s="1"/>
  <c r="Q144" i="16" l="1"/>
  <c r="S16" i="16" s="1"/>
  <c r="D73" i="22"/>
  <c r="S144" i="16" l="1"/>
  <c r="U16" i="16" s="1"/>
  <c r="U144" i="16" l="1"/>
  <c r="F73" i="22"/>
  <c r="W144" i="16" l="1"/>
  <c r="Y144" i="16" l="1"/>
  <c r="H73" i="22"/>
  <c r="J73" i="22" l="1"/>
  <c r="L73" i="22" l="1"/>
  <c r="V57" i="2" l="1"/>
  <c r="V59" i="2" s="1"/>
  <c r="N73" i="22"/>
  <c r="L59" i="3"/>
  <c r="R59" i="3" s="1"/>
  <c r="L59" i="2"/>
  <c r="P73" i="22" l="1"/>
  <c r="R73" i="22" s="1"/>
  <c r="T73" i="22" s="1"/>
  <c r="V73" i="22" s="1"/>
  <c r="X73" i="22" s="1"/>
  <c r="R61" i="3"/>
  <c r="L61" i="3"/>
  <c r="P55" i="21"/>
  <c r="P79" i="21" s="1"/>
  <c r="P89" i="21" s="1"/>
  <c r="P91" i="21" s="1"/>
  <c r="R91" i="21" s="1"/>
  <c r="T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47" i="7" s="1"/>
  <c r="K39" i="10"/>
  <c r="K42" i="10" s="1"/>
  <c r="G42" i="10"/>
  <c r="K27" i="10"/>
  <c r="G26" i="7"/>
  <c r="AC91" i="21"/>
  <c r="AK89" i="21"/>
  <c r="G47" i="7" l="1"/>
  <c r="G50" i="7" s="1"/>
  <c r="G37" i="7"/>
  <c r="AI91" i="21"/>
  <c r="AK91" i="21"/>
  <c r="I47" i="7"/>
  <c r="I50" i="7" s="1"/>
  <c r="I37" i="7"/>
  <c r="K50" i="7"/>
  <c r="K37" i="7"/>
</calcChain>
</file>

<file path=xl/sharedStrings.xml><?xml version="1.0" encoding="utf-8"?>
<sst xmlns="http://schemas.openxmlformats.org/spreadsheetml/2006/main" count="3809" uniqueCount="1590">
  <si>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</si>
  <si>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</si>
  <si>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</si>
  <si>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</si>
  <si>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</si>
  <si>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</si>
  <si>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</si>
  <si>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</si>
  <si>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</si>
  <si>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</si>
  <si>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</si>
  <si>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</si>
  <si>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</si>
  <si>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</si>
  <si>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</si>
  <si>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</si>
  <si>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</si>
  <si>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</si>
  <si>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</si>
  <si>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</si>
  <si>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</si>
  <si>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</si>
  <si>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</si>
  <si>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</si>
  <si>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</si>
  <si>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</si>
  <si>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</si>
  <si>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</si>
  <si>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</si>
  <si>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</si>
  <si>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</si>
  <si>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</si>
  <si>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</si>
  <si>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</si>
  <si>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</si>
  <si>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</si>
  <si>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</si>
  <si>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</si>
  <si>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</si>
  <si>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</si>
  <si>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</si>
  <si>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</si>
  <si>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</si>
  <si>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</si>
  <si>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</si>
  <si>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</si>
  <si>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</si>
  <si>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</si>
  <si>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</si>
  <si>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</si>
  <si>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</si>
  <si>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</si>
  <si>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</si>
  <si>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</si>
  <si>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</si>
  <si>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</si>
  <si>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</si>
  <si>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</si>
  <si>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</si>
  <si>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</si>
  <si>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</si>
  <si>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</si>
  <si>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</si>
  <si>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</si>
  <si>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</si>
  <si>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</si>
  <si>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</si>
  <si>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</si>
  <si>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</si>
  <si>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</si>
  <si>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</si>
  <si>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</si>
  <si>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</si>
  <si>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</si>
  <si>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</si>
  <si>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</si>
  <si>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</si>
  <si>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</si>
  <si>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</si>
  <si>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</si>
  <si>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</si>
  <si>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</si>
  <si>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</si>
  <si>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</si>
  <si>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</si>
  <si>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</si>
  <si>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</si>
  <si>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</si>
  <si>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</si>
  <si>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</si>
  <si>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</si>
  <si>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</si>
  <si>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</si>
  <si>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</si>
  <si>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</si>
  <si>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</si>
  <si>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</si>
  <si>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</si>
  <si>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</si>
  <si>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</si>
  <si>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</si>
  <si>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</si>
  <si>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</si>
  <si>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</si>
  <si>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</si>
  <si>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</si>
  <si>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</si>
  <si>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</si>
  <si>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</si>
  <si>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</si>
  <si>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</si>
  <si>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</si>
  <si>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</si>
  <si>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</si>
  <si>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</si>
  <si>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</si>
  <si>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</si>
  <si>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</si>
  <si>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</si>
  <si>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</si>
  <si>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</si>
  <si>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</si>
  <si>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</si>
  <si>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</si>
  <si>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</si>
  <si>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</si>
  <si>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</si>
  <si>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</si>
  <si>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</si>
  <si>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</si>
  <si>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</si>
  <si>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</si>
  <si>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</si>
  <si>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</si>
  <si>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</si>
  <si>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</si>
  <si>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</si>
  <si>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</si>
  <si>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</si>
  <si>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</si>
  <si>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</si>
  <si>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</si>
  <si>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</si>
  <si>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</si>
  <si>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</si>
  <si>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</si>
  <si>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</si>
  <si>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</si>
  <si>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</si>
  <si>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</si>
  <si>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</si>
  <si>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</si>
  <si>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</si>
  <si>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</si>
  <si>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</si>
  <si>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</si>
  <si>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</si>
  <si>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</si>
  <si>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</si>
  <si>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</si>
  <si>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</si>
  <si>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</si>
  <si>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</si>
  <si>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</si>
  <si>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</si>
  <si>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</si>
  <si>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</si>
  <si>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</si>
  <si>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</si>
  <si>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</si>
  <si>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</si>
  <si>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</si>
  <si>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</si>
  <si>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</si>
  <si>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</si>
  <si>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</si>
  <si>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</si>
  <si>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</si>
  <si>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</si>
  <si>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</si>
  <si>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</si>
  <si>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</si>
  <si>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</si>
  <si>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</si>
  <si>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</si>
  <si>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</si>
  <si>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</si>
  <si>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</si>
  <si>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</si>
  <si>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</si>
  <si>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</si>
  <si>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</si>
  <si>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</si>
  <si>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</si>
  <si>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</si>
  <si>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</si>
  <si>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</si>
  <si>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</si>
  <si>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</si>
  <si>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</si>
  <si>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</si>
  <si>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</si>
  <si>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</si>
  <si>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</si>
  <si>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</si>
  <si>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</si>
  <si>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</si>
  <si>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</si>
  <si>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</si>
  <si>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</si>
  <si>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</si>
  <si>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</si>
  <si>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</si>
  <si>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</si>
  <si>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</si>
  <si>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</si>
  <si>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</si>
  <si>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</si>
  <si>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</si>
  <si>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</si>
  <si>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</si>
  <si>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</si>
  <si>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</si>
  <si>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</si>
  <si>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</si>
  <si>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</si>
  <si>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</si>
  <si>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</si>
  <si>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</si>
  <si>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</si>
  <si>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</si>
  <si>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</si>
  <si>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</si>
  <si>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</si>
  <si>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</si>
  <si>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</si>
  <si>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</si>
  <si>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</si>
  <si>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</si>
  <si>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</si>
  <si>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</si>
  <si>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</si>
  <si>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</si>
  <si>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</si>
  <si>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</si>
  <si>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</si>
  <si>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</si>
  <si>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</si>
  <si>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</si>
  <si>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</si>
  <si>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</si>
  <si>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</si>
  <si>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</si>
  <si>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</si>
  <si>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</si>
  <si>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</si>
  <si>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</si>
  <si>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</si>
  <si>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</si>
  <si>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</si>
  <si>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</si>
  <si>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</si>
  <si>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</si>
  <si>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</si>
  <si>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</si>
  <si>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</si>
  <si>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</si>
  <si>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</si>
  <si>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</si>
  <si>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</si>
  <si>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</si>
  <si>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</si>
  <si>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</si>
  <si>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</si>
  <si>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</si>
  <si>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</si>
  <si>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</si>
  <si>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</si>
  <si>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</si>
  <si>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</si>
  <si>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</si>
  <si>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</si>
  <si>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</si>
  <si>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</si>
  <si>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</si>
  <si>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</si>
  <si>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</si>
  <si>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</si>
  <si>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</si>
  <si>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</si>
  <si>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</si>
  <si>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</si>
  <si>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</si>
  <si>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</si>
  <si>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</si>
  <si>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</si>
  <si>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</si>
  <si>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</si>
  <si>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</si>
  <si>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</si>
  <si>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</si>
  <si>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</si>
  <si>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</si>
  <si>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</si>
  <si>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</si>
  <si>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</si>
  <si>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</si>
  <si>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</si>
  <si>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</si>
  <si>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</si>
  <si>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</si>
  <si>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</si>
  <si>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</si>
  <si>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</si>
  <si>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</si>
  <si>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</si>
  <si>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</si>
  <si>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</si>
  <si>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</si>
  <si>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</si>
  <si>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</si>
  <si>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</si>
  <si>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</si>
  <si>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</si>
  <si>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</si>
  <si>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</si>
  <si>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</si>
  <si>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</si>
  <si>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</si>
  <si>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</si>
  <si>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</si>
  <si>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</si>
  <si>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</si>
  <si>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</si>
  <si>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</si>
  <si>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</si>
  <si>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</si>
  <si>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</si>
  <si>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</si>
  <si>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</si>
  <si>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</si>
  <si>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</si>
  <si>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</si>
  <si>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</si>
  <si>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</si>
  <si>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</si>
  <si>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</si>
  <si>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</si>
  <si>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</si>
  <si>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</si>
  <si>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</si>
  <si>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</si>
  <si>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</si>
  <si>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</si>
  <si>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</si>
  <si>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</si>
  <si>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</si>
  <si>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</si>
  <si>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</si>
  <si>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</si>
  <si>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</si>
  <si>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</si>
  <si>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</si>
  <si>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</si>
  <si>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</si>
  <si>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</si>
  <si>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</si>
  <si>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</si>
  <si>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</si>
  <si>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</si>
  <si>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</si>
  <si>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</si>
  <si>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</si>
  <si>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</si>
  <si>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</si>
  <si>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</si>
  <si>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</si>
  <si>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</si>
  <si>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</si>
  <si>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</si>
  <si>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</si>
  <si>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</si>
  <si>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</si>
  <si>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</si>
  <si>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</si>
  <si>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</si>
  <si>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</si>
  <si>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</si>
  <si>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</si>
  <si>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</si>
  <si>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</si>
  <si>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</si>
  <si>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</si>
  <si>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</si>
  <si>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</si>
  <si>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</si>
  <si>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</si>
  <si>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</si>
  <si>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</si>
  <si>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</si>
  <si>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</si>
  <si>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</si>
  <si>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</si>
  <si>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</si>
  <si>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</si>
  <si>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</si>
  <si>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</si>
  <si>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</si>
  <si>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</si>
  <si>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</si>
  <si>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</si>
  <si>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</si>
  <si>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</si>
  <si>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</si>
  <si>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</si>
  <si>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</si>
  <si>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</si>
  <si>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</si>
  <si>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</si>
  <si>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</si>
  <si>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</si>
  <si>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</si>
  <si>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</si>
  <si>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</si>
  <si>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</si>
  <si>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</si>
  <si>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</si>
  <si>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</si>
  <si>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</si>
  <si>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</si>
  <si>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</si>
  <si>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</si>
  <si>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</si>
  <si>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</si>
  <si>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</si>
  <si>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</si>
  <si>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</si>
  <si>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</si>
  <si>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</si>
  <si>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</si>
  <si>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</si>
  <si>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</si>
  <si>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</si>
  <si>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</si>
  <si>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</si>
  <si>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</si>
  <si>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</si>
  <si>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</si>
  <si>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</si>
  <si>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</si>
  <si>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</si>
  <si>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</si>
  <si>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</si>
  <si>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</si>
  <si>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</si>
  <si>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</si>
  <si>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</si>
  <si>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</si>
  <si>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</si>
  <si>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</si>
  <si>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</si>
  <si>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</si>
  <si>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</si>
  <si>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</si>
  <si>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</si>
  <si>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</si>
  <si>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</si>
  <si>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</si>
  <si>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</si>
  <si>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</si>
  <si>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</si>
  <si>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</si>
  <si>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</si>
  <si>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</si>
  <si>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</si>
  <si>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</si>
  <si>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</si>
  <si>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</si>
  <si>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</si>
  <si>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</si>
  <si>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</si>
  <si>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</si>
  <si>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</si>
  <si>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</si>
  <si>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</si>
  <si>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</si>
  <si>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</si>
  <si>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</si>
  <si>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</si>
  <si>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</si>
  <si>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</si>
  <si>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</si>
  <si>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</si>
  <si>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</si>
  <si>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</si>
  <si>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</si>
  <si>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</si>
  <si>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</si>
  <si>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</si>
  <si>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</si>
  <si>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</si>
  <si>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</si>
  <si>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</si>
  <si>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</si>
  <si>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</si>
  <si>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</si>
  <si>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</si>
  <si>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</si>
  <si>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</si>
  <si>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</si>
  <si>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</si>
  <si>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</si>
  <si>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</si>
  <si>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</si>
  <si>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</si>
  <si>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</si>
  <si>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</si>
  <si>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</si>
  <si>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</si>
  <si>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</si>
  <si>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</si>
  <si>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</si>
  <si>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</si>
  <si>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</si>
  <si>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</si>
  <si>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</si>
  <si>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</si>
  <si>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</si>
  <si>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</si>
  <si>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</si>
  <si>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</si>
  <si>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</si>
  <si>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</si>
  <si>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</si>
  <si>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</si>
  <si>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</si>
  <si>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</si>
  <si>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</si>
  <si>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</si>
  <si>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</si>
  <si>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</si>
  <si>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</si>
  <si>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</si>
  <si>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</si>
  <si>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</si>
  <si>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</si>
  <si>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</si>
  <si>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</si>
  <si>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</si>
  <si>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</si>
  <si>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</si>
  <si>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</si>
  <si>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</si>
  <si>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</si>
  <si>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</si>
  <si>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</si>
  <si>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</si>
  <si>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</si>
  <si>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</si>
  <si>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</si>
  <si>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</si>
  <si>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</si>
  <si>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</si>
  <si>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</si>
  <si>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</si>
  <si>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</si>
  <si>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</si>
  <si>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</si>
  <si>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</si>
  <si>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</si>
  <si>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</si>
  <si>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</si>
  <si>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</si>
  <si>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</si>
  <si>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</si>
  <si>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</si>
  <si>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</si>
  <si>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</si>
  <si>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</si>
  <si>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</si>
  <si>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</si>
  <si>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</si>
  <si>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</si>
  <si>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</si>
  <si>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</si>
  <si>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</si>
  <si>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</si>
  <si>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</si>
  <si>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</si>
  <si>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</si>
  <si>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</si>
  <si>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</si>
  <si>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</si>
  <si>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</si>
  <si>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</si>
  <si>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</si>
  <si>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</si>
  <si>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</si>
  <si>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</si>
  <si>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</si>
  <si>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</si>
  <si>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</si>
  <si>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</si>
  <si>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</si>
  <si>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</si>
  <si>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</si>
  <si>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</si>
  <si>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</si>
  <si>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</si>
  <si>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</si>
  <si>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</si>
  <si>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</si>
  <si>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</si>
  <si>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</si>
  <si>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</si>
  <si>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</si>
  <si>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</si>
  <si>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</si>
  <si>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</si>
  <si>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</si>
  <si>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</si>
  <si>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</si>
  <si>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</si>
  <si>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</si>
  <si>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</si>
  <si>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</si>
  <si>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</si>
  <si>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</si>
  <si>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</si>
  <si>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</si>
  <si>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</si>
  <si>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</si>
  <si>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</si>
  <si>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</si>
  <si>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</si>
  <si>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</si>
  <si>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</si>
  <si>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</si>
  <si>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</si>
  <si>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</si>
  <si>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</si>
  <si>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</si>
  <si>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</si>
  <si>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</si>
  <si>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</si>
  <si>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</si>
  <si>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</si>
  <si>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</si>
  <si>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</si>
  <si>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</si>
  <si>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</si>
  <si>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</si>
  <si>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</si>
  <si>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</si>
  <si>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</si>
  <si>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</si>
  <si>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</si>
  <si>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</si>
  <si>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</si>
  <si>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</si>
  <si>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</si>
  <si>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</si>
  <si>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</si>
  <si>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</si>
  <si>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</si>
  <si>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</si>
  <si>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</si>
  <si>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</si>
  <si>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</si>
  <si>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</si>
  <si>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</si>
  <si>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</si>
  <si>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</si>
  <si>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</si>
  <si>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</si>
  <si>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</si>
  <si>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</si>
  <si>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</si>
  <si>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</si>
  <si>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</si>
  <si>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</si>
  <si>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</si>
  <si>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</si>
  <si>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</si>
  <si>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</si>
  <si>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</si>
  <si>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</si>
  <si>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</si>
  <si>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</si>
  <si>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</si>
  <si>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</si>
  <si>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</si>
  <si>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</si>
  <si>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</si>
  <si>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</si>
  <si>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</si>
  <si>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</si>
  <si>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</si>
  <si>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</si>
  <si>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</si>
  <si>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</si>
  <si>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</si>
  <si>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</si>
  <si>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</si>
  <si>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</si>
  <si>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</si>
  <si>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</si>
  <si>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</si>
  <si>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</si>
  <si>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</si>
  <si>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</si>
  <si>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</si>
  <si>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</si>
  <si>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</si>
  <si>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</si>
  <si>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</si>
  <si>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</si>
  <si>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</si>
  <si>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</si>
  <si>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</si>
  <si>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</si>
  <si>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</si>
  <si>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</si>
  <si>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</si>
  <si>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</si>
  <si>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</si>
  <si>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</si>
  <si>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</si>
  <si>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</si>
  <si>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</si>
  <si>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</si>
  <si>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</si>
  <si>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</si>
  <si>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</si>
  <si>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</si>
  <si>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</si>
  <si>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</si>
  <si>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</si>
  <si>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</si>
  <si>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</si>
  <si>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</si>
  <si>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</si>
  <si>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</si>
  <si>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</si>
  <si>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</si>
  <si>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</si>
  <si>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</si>
  <si>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</si>
  <si>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</si>
  <si>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</si>
  <si>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</si>
  <si>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</si>
  <si>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</si>
  <si>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</si>
  <si>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</si>
  <si>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</si>
  <si>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</si>
  <si>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</si>
  <si>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</si>
  <si>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</si>
  <si>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</si>
  <si>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</si>
  <si>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</si>
  <si>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</si>
  <si>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</si>
  <si>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</si>
  <si>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</si>
  <si>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</si>
  <si>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</si>
  <si>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</si>
  <si>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</si>
  <si>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</si>
  <si>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</si>
  <si>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</si>
  <si>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</si>
  <si>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</si>
  <si>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</si>
  <si>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</si>
  <si>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</si>
  <si>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</si>
  <si>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</si>
  <si>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</si>
  <si>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</si>
  <si>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</si>
  <si>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</si>
  <si>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</si>
  <si>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</si>
  <si>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</si>
  <si>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</si>
  <si>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</si>
  <si>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</si>
  <si>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</si>
  <si>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</si>
  <si>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</si>
  <si>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</si>
  <si>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</si>
  <si>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</si>
  <si>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</si>
  <si>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</si>
  <si>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</si>
  <si>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</si>
  <si>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</si>
  <si>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</si>
  <si>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</si>
  <si>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</si>
  <si>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</si>
  <si>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</si>
  <si>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</si>
  <si>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</si>
  <si>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</si>
  <si>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</si>
  <si>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</si>
  <si>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</si>
  <si>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</si>
  <si>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</si>
  <si>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</si>
  <si>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</si>
  <si>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</si>
  <si>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</si>
  <si>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</si>
  <si>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</si>
  <si>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</si>
  <si>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</si>
  <si>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</si>
  <si>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</si>
  <si>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</si>
  <si>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</si>
  <si>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</si>
  <si>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</si>
  <si>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</si>
  <si>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</si>
  <si>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</si>
  <si>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</si>
  <si>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</si>
  <si>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</si>
  <si>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</si>
  <si>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</si>
  <si>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</si>
  <si>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</si>
  <si>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</si>
  <si>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</si>
  <si>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</si>
  <si>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</si>
  <si>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</si>
  <si>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</si>
  <si>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</si>
  <si>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</si>
  <si>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</si>
  <si>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</si>
  <si>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</si>
  <si>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</si>
  <si>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</si>
  <si>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</si>
  <si>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</si>
  <si>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</si>
  <si>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</si>
  <si>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</si>
  <si>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</si>
  <si>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</si>
  <si>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</si>
  <si>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</si>
  <si>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</si>
  <si>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</si>
  <si>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</si>
  <si>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</si>
  <si>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</si>
  <si>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</si>
  <si>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</si>
  <si>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</si>
  <si>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</si>
  <si>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</si>
  <si>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</si>
  <si>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</si>
  <si>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</si>
  <si>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</si>
  <si>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</si>
  <si>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</si>
  <si>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</si>
  <si>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</si>
  <si>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</si>
  <si>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</si>
  <si>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</si>
  <si>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</si>
  <si>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</si>
  <si>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</si>
  <si>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</si>
  <si>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</si>
  <si>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</si>
  <si>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</si>
  <si>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</si>
  <si>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</si>
  <si>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</si>
  <si>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</si>
  <si>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</si>
  <si>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</si>
  <si>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</si>
  <si>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</si>
  <si>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</si>
  <si>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</si>
  <si>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</si>
  <si>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</si>
  <si>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</si>
  <si>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</si>
  <si>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</si>
  <si>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</si>
  <si>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</si>
  <si>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</si>
  <si>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</si>
  <si>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</si>
  <si>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</si>
  <si>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</si>
  <si>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</si>
  <si>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</si>
  <si>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</si>
  <si>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</si>
  <si>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</si>
  <si>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</si>
  <si>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</si>
  <si>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</si>
  <si>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</si>
  <si>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</si>
  <si>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</si>
  <si>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</si>
  <si>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</si>
  <si>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</si>
  <si>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</si>
  <si>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</si>
  <si>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</si>
  <si>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</si>
  <si>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</si>
  <si>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</si>
  <si>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</si>
  <si>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</si>
  <si>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</si>
  <si>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</si>
  <si>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</si>
  <si>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</si>
  <si>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</si>
  <si>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</si>
  <si>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</si>
  <si>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</si>
  <si>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</si>
  <si>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</si>
  <si>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</si>
  <si>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</si>
  <si>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</si>
  <si>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</si>
  <si>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</si>
  <si>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</si>
  <si>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</si>
  <si>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</si>
  <si>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</si>
  <si>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</si>
  <si>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</si>
  <si>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</si>
  <si>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</si>
  <si>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</si>
  <si>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</si>
  <si>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</si>
  <si>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</si>
  <si>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</si>
  <si>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</si>
  <si>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</si>
  <si>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</si>
  <si>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</si>
  <si>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</si>
  <si>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</si>
  <si>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</si>
  <si>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</si>
  <si>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</si>
  <si>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</si>
  <si>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</si>
  <si>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</si>
  <si>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</si>
  <si>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</si>
  <si>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</si>
  <si>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</si>
  <si>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</si>
  <si>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</si>
  <si>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</si>
  <si>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</si>
  <si>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</si>
  <si>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</si>
  <si>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</si>
  <si>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</si>
  <si>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</si>
  <si>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</si>
  <si>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</si>
  <si>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</si>
  <si>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</si>
  <si>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</si>
  <si>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</si>
  <si>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</si>
  <si>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</si>
  <si>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</si>
  <si>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</si>
  <si>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</si>
  <si>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</si>
  <si>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</si>
  <si>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</si>
  <si>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</si>
  <si>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</si>
  <si>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</si>
  <si>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</si>
  <si>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</si>
  <si>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</si>
  <si>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</si>
  <si>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</si>
  <si>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</si>
  <si>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</si>
  <si>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</si>
  <si>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</si>
  <si>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</si>
  <si>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</si>
  <si>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</si>
  <si>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</si>
  <si>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</si>
  <si>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</si>
  <si>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</si>
  <si>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</si>
  <si>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</si>
  <si>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</si>
  <si>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</si>
  <si>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</si>
  <si>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</si>
  <si>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</si>
  <si>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</si>
  <si>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</si>
  <si>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</si>
  <si>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</si>
  <si>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</si>
  <si>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</si>
  <si>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</si>
  <si>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</si>
  <si>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</si>
  <si>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</si>
  <si>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</si>
  <si>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</si>
  <si>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</si>
  <si>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</si>
  <si>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</si>
  <si>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</si>
  <si>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</si>
  <si>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</si>
  <si>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</si>
  <si>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</si>
  <si>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</si>
  <si>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</si>
  <si>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</si>
  <si>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</si>
  <si>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</si>
  <si>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</si>
  <si>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</si>
  <si>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</si>
  <si>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</si>
  <si>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</si>
  <si>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</si>
  <si>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</si>
  <si>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</si>
  <si>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</si>
  <si>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</si>
  <si>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</si>
  <si>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</si>
  <si>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</si>
  <si>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</si>
  <si>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</si>
  <si>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</si>
  <si>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</si>
  <si>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</si>
  <si>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</si>
  <si>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</si>
  <si>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</si>
  <si>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</si>
  <si>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</si>
  <si>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</si>
  <si>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</si>
  <si>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</si>
  <si>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</si>
  <si>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</si>
  <si>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</si>
  <si>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</si>
  <si>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</si>
  <si>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</si>
  <si>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</si>
  <si>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</si>
  <si>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</si>
  <si>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</si>
  <si>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</si>
  <si>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</si>
  <si>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</si>
  <si>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</si>
  <si>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</si>
  <si>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</si>
  <si>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</si>
  <si>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</si>
  <si>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</si>
  <si>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</si>
  <si>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</si>
  <si>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</si>
  <si>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</si>
  <si>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</si>
  <si>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</si>
  <si>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</si>
  <si>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</si>
  <si>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</si>
  <si>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</si>
  <si>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</si>
  <si>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</si>
  <si>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</si>
  <si>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</si>
  <si>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</si>
  <si>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</si>
  <si>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</si>
  <si>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</si>
  <si>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</si>
  <si>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</si>
  <si>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</si>
  <si>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</si>
  <si>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</si>
  <si>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</si>
  <si>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</si>
  <si>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</si>
  <si>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</si>
  <si>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</si>
  <si>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</si>
  <si>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</si>
  <si>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</si>
  <si>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</si>
  <si>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</si>
  <si>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</si>
  <si>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</si>
  <si>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</si>
  <si>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</si>
  <si>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</si>
  <si>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</si>
  <si>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</si>
  <si>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</si>
  <si>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</si>
  <si>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</si>
  <si>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</si>
  <si>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</si>
  <si>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</si>
  <si>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</si>
  <si>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</si>
  <si>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</si>
  <si>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</si>
  <si>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</si>
  <si>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</si>
  <si>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</si>
  <si>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</si>
  <si>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</si>
  <si>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</si>
  <si>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</si>
  <si>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</si>
  <si>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</si>
  <si>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</si>
  <si>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</si>
  <si>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</si>
  <si>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</si>
  <si>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</si>
  <si>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</si>
  <si>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</si>
  <si>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</si>
  <si>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</si>
  <si>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</si>
  <si>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</si>
  <si>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</si>
  <si>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</si>
  <si>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</si>
  <si>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</si>
  <si>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</si>
  <si>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</si>
  <si>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</si>
  <si>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</si>
  <si>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</si>
  <si>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</si>
  <si>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</si>
  <si>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</si>
  <si>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</si>
  <si>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</si>
  <si>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</si>
  <si>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</si>
  <si>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</si>
  <si>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</si>
  <si>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</si>
  <si>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</si>
  <si>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</si>
  <si>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</si>
  <si>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</si>
  <si>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</si>
  <si>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</si>
  <si>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</si>
  <si>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</si>
  <si>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</si>
  <si>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</si>
  <si>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</si>
  <si>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</si>
  <si>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</si>
  <si>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</si>
  <si>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</si>
  <si>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</si>
  <si>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</si>
  <si>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</si>
  <si>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</si>
  <si>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</si>
  <si>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</si>
  <si>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</si>
  <si>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</si>
  <si>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</si>
  <si>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</si>
  <si>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</si>
  <si>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</si>
  <si>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</si>
  <si>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</si>
  <si>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</si>
  <si>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</si>
  <si>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</si>
  <si>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</si>
  <si>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</si>
  <si>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</si>
  <si>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</si>
  <si>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</si>
  <si>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</si>
  <si>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</si>
  <si>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</si>
  <si>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</si>
  <si>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</si>
  <si>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</si>
  <si>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</si>
  <si>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</si>
  <si>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</si>
  <si>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</si>
  <si>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</si>
  <si>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</si>
  <si>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</si>
  <si>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</si>
  <si>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</si>
  <si>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</si>
  <si>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</si>
  <si>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</si>
  <si>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</si>
  <si>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</si>
  <si>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</si>
  <si>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</si>
  <si>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</si>
  <si>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</si>
  <si>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</si>
  <si>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</si>
  <si>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</si>
  <si>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</si>
  <si>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</si>
  <si>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</si>
  <si>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</si>
  <si>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</si>
  <si>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</si>
  <si>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</si>
  <si>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</si>
  <si>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</si>
  <si>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</si>
  <si>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</si>
  <si>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</si>
  <si>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</si>
  <si>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</si>
  <si>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</si>
  <si>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</si>
  <si>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</si>
  <si>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</si>
  <si>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</si>
  <si>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</si>
  <si>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</si>
  <si>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</si>
  <si>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</si>
  <si>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</si>
  <si>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</si>
  <si>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</si>
  <si>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</si>
  <si>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</si>
  <si>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</si>
  <si>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</si>
  <si>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</si>
  <si>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</si>
  <si>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</si>
  <si>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</si>
  <si>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</si>
  <si>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</si>
  <si>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</si>
  <si>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</si>
  <si>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</si>
  <si>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</si>
  <si>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</si>
  <si>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</si>
  <si>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</si>
  <si>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</si>
  <si>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</si>
  <si>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</si>
  <si>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</si>
  <si>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</si>
  <si>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</si>
  <si>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</si>
  <si>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</si>
  <si>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</si>
  <si>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</si>
  <si>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</si>
  <si>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</si>
  <si>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</si>
  <si>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</si>
  <si>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</si>
  <si>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</si>
  <si>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</si>
  <si>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</si>
  <si>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</si>
  <si>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</si>
  <si>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</si>
  <si>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</si>
  <si>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</si>
  <si>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</si>
  <si>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</si>
  <si>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</si>
  <si>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</si>
  <si>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</si>
  <si>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</si>
  <si>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</si>
  <si>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</si>
  <si>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</si>
  <si>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</si>
  <si>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</si>
  <si>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</si>
  <si>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</si>
  <si>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</si>
  <si>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</si>
  <si>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</si>
  <si>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</si>
  <si>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</si>
  <si>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</si>
  <si>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</si>
  <si>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</si>
  <si>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</si>
  <si>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</si>
  <si>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</si>
  <si>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</si>
  <si>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</si>
  <si>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</si>
  <si>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</si>
  <si>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</si>
  <si>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</si>
  <si>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</si>
  <si>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</si>
  <si>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</si>
  <si>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</si>
  <si>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</si>
  <si>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</si>
  <si>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</si>
  <si>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</si>
  <si>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</si>
  <si>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</si>
  <si>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</si>
  <si>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</si>
  <si>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</si>
  <si>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</si>
  <si>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</si>
  <si>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</si>
  <si>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</si>
  <si>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</si>
  <si>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</si>
  <si>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</si>
  <si>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</si>
  <si>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</si>
  <si>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</si>
  <si>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</si>
  <si>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</si>
  <si>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</si>
  <si>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</si>
  <si>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</si>
  <si>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</si>
  <si>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</si>
  <si>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</si>
  <si>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</si>
  <si>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</si>
  <si>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</si>
  <si>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</si>
  <si>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</si>
  <si>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</si>
  <si>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</si>
  <si>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</si>
  <si>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</si>
  <si>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</si>
  <si>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</si>
  <si>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</si>
  <si>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</si>
  <si>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</si>
  <si>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</si>
  <si>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</si>
  <si>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</si>
  <si>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</si>
  <si>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</si>
  <si>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</si>
  <si>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</si>
  <si>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</si>
  <si>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</si>
  <si>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</si>
  <si>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</si>
  <si>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</si>
  <si>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</si>
  <si>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</si>
  <si>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</si>
  <si>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</si>
  <si>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</si>
  <si>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</si>
  <si>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</si>
  <si>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</si>
  <si>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</si>
  <si>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</si>
  <si>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</si>
  <si>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</si>
  <si>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</si>
  <si>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</si>
  <si>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</si>
  <si>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</si>
  <si>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</si>
  <si>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</si>
  <si>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</si>
  <si>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</si>
  <si>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</si>
  <si>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</si>
  <si>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</si>
  <si>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</si>
  <si>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</si>
  <si>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</si>
  <si>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</si>
  <si>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</si>
  <si>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</si>
  <si>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</si>
  <si>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</si>
  <si>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</si>
  <si>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</si>
  <si>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</si>
  <si>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</si>
  <si>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</si>
  <si>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</si>
  <si>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</si>
  <si>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</si>
  <si>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</si>
  <si>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</si>
  <si>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</si>
  <si>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</si>
  <si>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</si>
  <si>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</si>
  <si>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</si>
  <si>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</si>
  <si>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</si>
  <si>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</si>
  <si>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</si>
  <si>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</si>
  <si>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</si>
  <si>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</si>
  <si>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</si>
  <si>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</si>
  <si>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</si>
  <si>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</si>
  <si>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</si>
  <si>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</si>
  <si>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</si>
  <si>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</si>
  <si>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</si>
  <si>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</si>
  <si>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</si>
  <si>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</si>
  <si>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</si>
  <si>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</si>
  <si>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</si>
  <si>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</si>
  <si>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</si>
  <si>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</si>
  <si>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</si>
  <si>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</si>
  <si>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</si>
  <si>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</si>
  <si>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</si>
  <si>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</si>
  <si>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</si>
  <si>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</si>
  <si>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</si>
  <si>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</si>
  <si>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</si>
  <si>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</si>
  <si>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</si>
  <si>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</si>
  <si>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xml:space="preserve">COMPARATIVE SCHEDULE OF TAX RECEIPTS          </t>
  </si>
  <si>
    <t>(**)   Pursuant to Section 93(b) of the State Finance Law</t>
  </si>
  <si>
    <t xml:space="preserve">      Information Technology/Infrastructure for Behavioral Sciences</t>
  </si>
  <si>
    <t>1st Quarter</t>
  </si>
  <si>
    <t>APRIL - JUNE</t>
  </si>
  <si>
    <t>SUNY - Hospital IFR</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</si>
  <si>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</si>
  <si>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</si>
  <si>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</si>
  <si>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</si>
  <si>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</si>
  <si>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</si>
  <si>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</si>
  <si>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</si>
  <si>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</si>
  <si>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</si>
  <si>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</si>
  <si>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</si>
  <si>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</si>
  <si>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Miscellaneous Special Revenue Fund ($4.7m).</t>
  </si>
  <si>
    <t>Housing Debt Service Fund</t>
  </si>
  <si>
    <t>Tax Revenue Arrearage Account</t>
  </si>
  <si>
    <t>Medical Marihuana Health Operation and Oversight</t>
  </si>
  <si>
    <t>Fund ($59.2m).</t>
  </si>
  <si>
    <t>Public Safety Communication Account</t>
  </si>
  <si>
    <t>Federal Dept of Health &amp; Human Services Fund</t>
  </si>
  <si>
    <t>Federal USDA/Food &amp; Nutrition Services Fund</t>
  </si>
  <si>
    <t>Unemployment Insurance Administration Fund</t>
  </si>
  <si>
    <t>(*)     Source: 2017-18 Enacted Financial Plan dated May 26, 2017.</t>
  </si>
  <si>
    <t xml:space="preserve">           Clean Water </t>
  </si>
  <si>
    <t xml:space="preserve">           Low Income</t>
  </si>
  <si>
    <t xml:space="preserve">      Municipal Restructuring / Consolidation Competition</t>
  </si>
  <si>
    <t>2nd Quarter</t>
  </si>
  <si>
    <t>JULY - SEPTEMBER</t>
  </si>
  <si>
    <t>July - September</t>
  </si>
  <si>
    <t>Charter School Stimulus Fund</t>
  </si>
  <si>
    <t>Unemployment Insurance - Interest &amp; Penalty Account</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</si>
  <si>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</si>
  <si>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Miscellaneous State Special Revenue Fund ($0.2m).</t>
  </si>
  <si>
    <t>Federal Employment &amp; Training Grants</t>
  </si>
  <si>
    <t>Training and Education Program on OSHA Fund</t>
  </si>
  <si>
    <t>Centralized Tech Services Account</t>
  </si>
  <si>
    <t>NYC Assessment Account</t>
  </si>
  <si>
    <t>Indigent Legal Services Fund</t>
  </si>
  <si>
    <t>Health Insurance Revolving Fund</t>
  </si>
  <si>
    <t>Clean Air Fund</t>
  </si>
  <si>
    <t>Dept of Labor - Fee &amp; Penalty Account</t>
  </si>
  <si>
    <t>ENCON Special Revenue Fund</t>
  </si>
  <si>
    <t>Examination &amp; Miscellaneous Revenue Account</t>
  </si>
  <si>
    <t>HESC Insurance Premium Account</t>
  </si>
  <si>
    <t>Miscellaneous other Special Revenue Funds</t>
  </si>
  <si>
    <t>Professional Education Services Account</t>
  </si>
  <si>
    <t>Public Service Account</t>
  </si>
  <si>
    <t>State Lottery Fund</t>
  </si>
  <si>
    <t>System and Technology Account</t>
  </si>
  <si>
    <t>Transportation Surplus Property Account</t>
  </si>
  <si>
    <t>Vital Records Management Fund</t>
  </si>
  <si>
    <t>Workers Compensation Board Account</t>
  </si>
  <si>
    <t>State Capital Projects Fund</t>
  </si>
  <si>
    <t xml:space="preserve">     Reclass of SUNY Hospital Poison Control Centers to Transfer</t>
  </si>
  <si>
    <t>January 31, 2018</t>
  </si>
  <si>
    <t>JAN. 2018</t>
  </si>
  <si>
    <t>10 MOS. ENDED</t>
  </si>
  <si>
    <t>JAN. 31, 2018</t>
  </si>
  <si>
    <t>JAN. 2017</t>
  </si>
  <si>
    <t>JAN. 31, 2017</t>
  </si>
  <si>
    <t>FOR TEN MONTHS ENDED JANUARY 31, 2018</t>
  </si>
  <si>
    <t>Fund Balances (Deficits) at January 31, 2018</t>
  </si>
  <si>
    <t xml:space="preserve">                                  10 Months Ended January 31</t>
  </si>
  <si>
    <t>10 Months Ended January 31</t>
  </si>
  <si>
    <t xml:space="preserve">10 Months Ended January 31 </t>
  </si>
  <si>
    <t>FOR THE MONTH OF JANUARY 2018</t>
  </si>
  <si>
    <t>JANUARY 1, 2018</t>
  </si>
  <si>
    <t>JANUARY 31, 2018</t>
  </si>
  <si>
    <t>(**)    Source: 2018-19 Executive Budget dated January 17, 2018.</t>
  </si>
  <si>
    <t>10 MONTHS ENDED</t>
  </si>
  <si>
    <t>10 MONTHS ENDED JANUARY 31</t>
  </si>
  <si>
    <t xml:space="preserve">FOR THE TEN MONTHS ENDED JANUARY 31, 2018     </t>
  </si>
  <si>
    <t>10 Months Ended</t>
  </si>
  <si>
    <t>January 2018</t>
  </si>
  <si>
    <t xml:space="preserve">As of January 31, 2018, $9,101,537.38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</si>
  <si>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operated Health, Mental Hygiene and State University facilities to Debt Service funds ($12.8m), the </t>
  </si>
  <si>
    <t>State University Income Fund ($279.5m), the Mental Hygiene Program Account ($1,085.1m) and</t>
  </si>
  <si>
    <r>
      <t>Capital Projects Funds</t>
    </r>
    <r>
      <rPr>
        <sz val="9"/>
        <rFont val="Arial"/>
        <family val="2"/>
      </rPr>
      <t xml:space="preserve"> “Transfers To Other Funds” includes transfers to the General Fund ($18.9m),  the</t>
    </r>
  </si>
  <si>
    <t xml:space="preserve">General Debt Service Fund - Lease Purchase ($295.2m), the Revenue Bond Tax Fund ($191.7m), and   </t>
  </si>
  <si>
    <t xml:space="preserve">and Department of Health Income Fund ($1,100.0m) representing the federal share of Medicaid payments </t>
  </si>
  <si>
    <t>Federal Operating Grants Fund</t>
  </si>
  <si>
    <t>State Police Motor Vehicle Law Enforcement Fund</t>
  </si>
  <si>
    <t xml:space="preserve">to homeowners for the STAR Property Rebate Program.  School Tax Relief payments were ($2,575.7m) </t>
  </si>
  <si>
    <t>as of January 31, 2018.</t>
  </si>
  <si>
    <t>3rd Quarter</t>
  </si>
  <si>
    <t>OCTOBER - DECEMBER</t>
  </si>
  <si>
    <t xml:space="preserve">FOR THE MONTH OF JANUARY 2018     </t>
  </si>
  <si>
    <t>JANUARY 2018</t>
  </si>
  <si>
    <t>JANUARY 2017</t>
  </si>
  <si>
    <t xml:space="preserve">of Health ($128.3m) and Mental Hygiene ($988.9m). </t>
  </si>
  <si>
    <t>October - December</t>
  </si>
  <si>
    <t>January</t>
  </si>
  <si>
    <t>10 Months Ended
January 31, 2018 (**)</t>
  </si>
  <si>
    <t xml:space="preserve">     Reclass of SUNY Empire Clinical Research Investigator Program to Transfer</t>
  </si>
  <si>
    <t xml:space="preserve">Fund ($10.6m), Capital Projects funds ($286.4m) and Medicaid Management Information System Escrow </t>
  </si>
  <si>
    <t xml:space="preserve">the current fiscal quarter.  As of January 31, 2018 - pursuant to a certification from the Budget Director - </t>
  </si>
  <si>
    <t>the reserve amount is ($295.3m), which was funded by a transfer from the General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</si>
</sst>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87">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187" fontId="43" fillId="0" borderId="51" xfId="1767" applyNumberFormat="1" applyFont="1" applyFill="1" applyBorder="1" applyAlignment="1" applyProtection="1">
      <alignment horizontal="center"/>
    </xf>
    <xf numFmtId="39" fontId="43" fillId="0" borderId="0" xfId="0" applyNumberFormat="1" applyFont="1" applyFill="1" applyAlignment="1" applyProtection="1">
      <alignment horizontal="center"/>
    </xf>
    <xf numFmtId="43" fontId="36" fillId="0" borderId="0" xfId="17924" applyFont="1" applyFill="1" applyAlignment="1" applyProtection="1">
      <alignment horizontal="right"/>
    </xf>
    <xf numFmtId="43" fontId="43" fillId="0" borderId="0" xfId="1028" applyNumberFormat="1" applyFont="1" applyFill="1" applyBorder="1" applyAlignment="1" applyProtection="1">
      <alignment horizontal="right"/>
    </xf>
    <xf numFmtId="164" fontId="43" fillId="0" borderId="0" xfId="0" applyFont="1" applyFill="1" applyAlignment="1" applyProtection="1">
      <alignment horizontal="right"/>
    </xf>
    <xf numFmtId="43" fontId="36"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3" fillId="0" borderId="0" xfId="17924" applyFont="1" applyFill="1" applyAlignment="1" applyProtection="1">
      <alignment horizontal="right"/>
    </xf>
    <xf numFmtId="39" fontId="43" fillId="0" borderId="0" xfId="0" applyNumberFormat="1" applyFont="1" applyAlignment="1" applyProtection="1">
      <alignment horizontal="center"/>
    </xf>
    <xf numFmtId="44" fontId="43" fillId="0" borderId="0" xfId="1767" applyNumberFormat="1" applyFont="1" applyFill="1" applyAlignment="1" applyProtection="1">
      <alignment horizontal="right"/>
    </xf>
    <xf numFmtId="164" fontId="43" fillId="0" borderId="0" xfId="0" applyFont="1" applyAlignment="1" applyProtection="1">
      <alignment horizontal="right"/>
    </xf>
    <xf numFmtId="43" fontId="43" fillId="0" borderId="0" xfId="1767" applyNumberFormat="1" applyFont="1" applyFill="1" applyBorder="1" applyAlignment="1" applyProtection="1">
      <alignment horizontal="right"/>
    </xf>
    <xf numFmtId="43" fontId="0" fillId="0" borderId="0" xfId="0" applyNumberFormat="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49" fontId="36" fillId="0" borderId="0" xfId="17" applyNumberFormat="1" applyFont="1" applyBorder="1" applyAlignment="1" applyProtection="1">
      <protection locked="0"/>
    </xf>
    <xf numFmtId="49" fontId="43" fillId="0" borderId="0" xfId="1776" applyNumberFormat="1" applyFont="1" applyAlignment="1">
      <alignment horizontal="center"/>
    </xf>
    <xf numFmtId="178" fontId="36" fillId="0" borderId="0" xfId="1767" quotePrefix="1" applyNumberFormat="1" applyFont="1" applyFill="1" applyBorder="1" applyAlignment="1">
      <alignment horizontal="center"/>
    </xf>
    <xf numFmtId="44" fontId="41" fillId="0" borderId="0" xfId="24804" applyFont="1" applyFill="1" applyBorder="1" applyAlignment="1"/>
    <xf numFmtId="44" fontId="43" fillId="0" borderId="0" xfId="17924" applyNumberFormat="1" applyFont="1" applyFill="1" applyAlignment="1" applyProtection="1">
      <alignment horizontal="right"/>
    </xf>
    <xf numFmtId="191" fontId="167" fillId="0" borderId="0" xfId="0" applyNumberFormat="1" applyFont="1" applyBorder="1" applyAlignment="1"/>
    <xf numFmtId="191" fontId="110" fillId="0" borderId="0" xfId="0" applyNumberFormat="1" applyFont="1" applyBorder="1" applyAlignment="1">
      <alignment horizontal="right"/>
    </xf>
    <xf numFmtId="200" fontId="48"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36" fillId="0" borderId="21" xfId="2" applyNumberFormat="1" applyFont="1" applyBorder="1" applyAlignment="1"/>
    <xf numFmtId="178" fontId="196" fillId="0" borderId="0" xfId="1767" applyNumberFormat="1" applyFont="1" applyFill="1" applyAlignment="1">
      <alignment horizontal="center"/>
    </xf>
    <xf numFmtId="172" fontId="36" fillId="0" borderId="67" xfId="0" applyNumberFormat="1" applyFont="1" applyBorder="1" applyAlignment="1" applyProtection="1"/>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0" fontId="38" fillId="0" borderId="0" xfId="836" applyBorder="1" applyAlignment="1"/>
    <xf numFmtId="195" fontId="36" fillId="0" borderId="10" xfId="0" applyNumberFormat="1" applyFont="1" applyBorder="1" applyProtection="1"/>
    <xf numFmtId="195" fontId="170" fillId="0" borderId="67" xfId="2" applyNumberFormat="1" applyFont="1" applyBorder="1" applyAlignment="1"/>
    <xf numFmtId="0" fontId="38" fillId="0" borderId="0" xfId="836" applyFill="1" applyBorder="1" applyAlignment="1"/>
    <xf numFmtId="182" fontId="41" fillId="0" borderId="0" xfId="836" applyNumberFormat="1" applyFont="1" applyFill="1" applyBorder="1" applyAlignment="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5" customWidth="1"/>
    <col min="2" max="2" width="22.81640625" style="1045" customWidth="1"/>
    <col min="3" max="3" width="6" style="1045" customWidth="1"/>
    <col min="4" max="4" width="24.08984375" style="1045" customWidth="1"/>
    <col min="5" max="6" width="12.453125" style="1045" customWidth="1"/>
    <col min="7" max="7" width="4" style="1045" customWidth="1"/>
    <col min="8" max="8" width="12.453125" style="1045" customWidth="1"/>
    <col min="9" max="9" width="12" style="1045" customWidth="1"/>
    <col min="10" max="10" width="3.90625" style="1045" customWidth="1"/>
    <col min="11" max="11" width="28.453125" style="1045" customWidth="1"/>
    <col min="12" max="16384" width="8.90625" style="1045"/>
  </cols>
  <sheetData>
    <row r="1" spans="1:10" s="1042" customFormat="1">
      <c r="A1" s="1040"/>
      <c r="B1" s="1040"/>
      <c r="C1" s="1040"/>
      <c r="D1" s="1040"/>
      <c r="E1" s="1040"/>
      <c r="F1" s="1040"/>
      <c r="G1" s="1040"/>
      <c r="H1" s="1040"/>
      <c r="I1" s="1040"/>
      <c r="J1" s="1041"/>
    </row>
    <row r="2" spans="1:10" s="1042" customFormat="1">
      <c r="A2" s="1040"/>
      <c r="B2" s="1040"/>
      <c r="C2" s="1040"/>
      <c r="D2" s="1040"/>
      <c r="E2" s="1040"/>
      <c r="F2" s="1040"/>
      <c r="G2" s="1040"/>
      <c r="H2" s="1040"/>
      <c r="I2" s="1040"/>
      <c r="J2" s="1041"/>
    </row>
    <row r="3" spans="1:10" s="1042" customFormat="1">
      <c r="A3" s="1040"/>
      <c r="B3" s="1040"/>
      <c r="C3" s="1040"/>
      <c r="D3" s="1040"/>
      <c r="E3" s="1040"/>
      <c r="F3" s="1040"/>
      <c r="G3" s="1040"/>
      <c r="H3" s="1040"/>
      <c r="I3" s="1040"/>
      <c r="J3" s="1041"/>
    </row>
    <row r="4" spans="1:10" s="1042" customFormat="1">
      <c r="A4" s="1040" t="s">
        <v>1025</v>
      </c>
      <c r="B4" s="1040"/>
      <c r="C4" s="1040"/>
      <c r="D4" s="1040"/>
      <c r="E4" s="1040"/>
      <c r="F4" s="1040"/>
      <c r="G4" s="1040"/>
      <c r="H4" s="1040"/>
      <c r="I4" s="1439" t="s">
        <v>1021</v>
      </c>
      <c r="J4" s="1041"/>
    </row>
    <row r="5" spans="1:10" ht="17.399999999999999">
      <c r="A5" s="1040" t="s">
        <v>1023</v>
      </c>
      <c r="B5" s="1043"/>
      <c r="C5" s="1043"/>
      <c r="D5" s="1043"/>
      <c r="E5" s="1043"/>
      <c r="F5" s="1043"/>
      <c r="G5" s="1043"/>
      <c r="H5" s="1043"/>
      <c r="I5" s="1439" t="s">
        <v>1022</v>
      </c>
      <c r="J5" s="1044"/>
    </row>
    <row r="6" spans="1:10" ht="17.399999999999999">
      <c r="A6" s="1040" t="s">
        <v>890</v>
      </c>
      <c r="B6" s="1043"/>
      <c r="C6" s="1043"/>
      <c r="D6" s="1043"/>
      <c r="E6" s="1043"/>
      <c r="F6" s="1043"/>
      <c r="G6" s="1043"/>
      <c r="H6" s="1043"/>
      <c r="I6" s="1043"/>
      <c r="J6" s="1044"/>
    </row>
    <row r="7" spans="1:10" ht="17.399999999999999">
      <c r="A7" s="1040" t="s">
        <v>891</v>
      </c>
      <c r="B7" s="1043"/>
      <c r="C7" s="1043"/>
      <c r="D7" s="1043"/>
      <c r="E7" s="1043"/>
      <c r="F7" s="1043"/>
      <c r="G7" s="1043"/>
      <c r="H7" s="1043"/>
      <c r="I7" s="1043"/>
      <c r="J7" s="1044"/>
    </row>
    <row r="8" spans="1:10" ht="18" thickBot="1">
      <c r="A8" s="1043"/>
      <c r="B8" s="1043"/>
      <c r="C8" s="1043"/>
      <c r="D8" s="1043"/>
      <c r="E8" s="1043"/>
      <c r="F8" s="1043"/>
      <c r="G8" s="1043"/>
      <c r="H8" s="1043"/>
      <c r="I8" s="1043"/>
      <c r="J8" s="1044"/>
    </row>
    <row r="9" spans="1:10" ht="18" thickTop="1">
      <c r="A9" s="1046" t="s">
        <v>892</v>
      </c>
      <c r="B9" s="1047"/>
      <c r="C9" s="1047"/>
      <c r="D9" s="1047"/>
      <c r="E9" s="1047"/>
      <c r="F9" s="1047"/>
      <c r="G9" s="1047"/>
      <c r="H9" s="1047"/>
      <c r="I9" s="1047"/>
      <c r="J9" s="1048"/>
    </row>
    <row r="10" spans="1:10" ht="18" thickBot="1">
      <c r="A10" s="2814" t="s">
        <v>1547</v>
      </c>
      <c r="B10" s="1043"/>
      <c r="C10" s="1043"/>
      <c r="D10" s="1043"/>
      <c r="E10" s="1043"/>
      <c r="F10" s="1043"/>
      <c r="G10" s="1043"/>
      <c r="H10" s="1043"/>
      <c r="I10" s="1043"/>
      <c r="J10" s="1048"/>
    </row>
    <row r="11" spans="1:10" ht="18" thickTop="1">
      <c r="A11" s="1049"/>
      <c r="B11" s="1050"/>
      <c r="C11" s="1050"/>
      <c r="D11" s="1050"/>
      <c r="E11" s="1050"/>
      <c r="F11" s="1050"/>
      <c r="G11" s="1050"/>
      <c r="H11" s="1050"/>
      <c r="I11" s="1050"/>
      <c r="J11" s="1051"/>
    </row>
    <row r="12" spans="1:10">
      <c r="A12" s="1040" t="s">
        <v>893</v>
      </c>
      <c r="B12" s="1043"/>
      <c r="C12" s="1043"/>
      <c r="D12" s="1043"/>
      <c r="E12" s="1040"/>
      <c r="F12" s="1040"/>
      <c r="G12" s="1040"/>
      <c r="H12" s="1043"/>
      <c r="I12" s="1043"/>
      <c r="J12" s="1052"/>
    </row>
    <row r="13" spans="1:10">
      <c r="A13" s="1042"/>
      <c r="J13" s="1052"/>
    </row>
    <row r="14" spans="1:10">
      <c r="A14" s="1042" t="s">
        <v>894</v>
      </c>
      <c r="B14" s="1055"/>
      <c r="J14" s="1053"/>
    </row>
    <row r="15" spans="1:10">
      <c r="A15" s="1042"/>
      <c r="B15" s="1144"/>
      <c r="J15" s="1053"/>
    </row>
    <row r="16" spans="1:10">
      <c r="A16" s="1042"/>
      <c r="B16" s="2479" t="s">
        <v>926</v>
      </c>
      <c r="D16" s="1054" t="s">
        <v>895</v>
      </c>
      <c r="F16" s="1055"/>
      <c r="J16" s="1145">
        <v>2</v>
      </c>
    </row>
    <row r="17" spans="1:255">
      <c r="A17" s="1042"/>
      <c r="B17" s="2479" t="s">
        <v>927</v>
      </c>
      <c r="D17" s="1045" t="s">
        <v>1255</v>
      </c>
      <c r="E17" s="1057"/>
      <c r="F17" s="1058"/>
      <c r="G17" s="1057"/>
      <c r="H17" s="1057"/>
      <c r="I17" s="1057"/>
      <c r="J17" s="1145">
        <v>3</v>
      </c>
      <c r="M17" s="1059"/>
    </row>
    <row r="18" spans="1:255">
      <c r="A18" s="1060"/>
      <c r="B18" s="2474" t="s">
        <v>1386</v>
      </c>
      <c r="D18" s="1062" t="s">
        <v>1064</v>
      </c>
      <c r="E18" s="1054"/>
      <c r="F18" s="1054"/>
      <c r="G18" s="1054"/>
      <c r="H18" s="1054"/>
      <c r="I18" s="1054"/>
      <c r="J18" s="1145">
        <v>4</v>
      </c>
    </row>
    <row r="19" spans="1:255">
      <c r="A19" s="1042"/>
      <c r="B19" s="2474" t="s">
        <v>928</v>
      </c>
      <c r="D19" s="1061" t="s">
        <v>896</v>
      </c>
      <c r="E19" s="1061"/>
      <c r="F19" s="1061"/>
      <c r="G19" s="1061"/>
      <c r="H19" s="1061"/>
      <c r="I19" s="1061"/>
      <c r="J19" s="1145">
        <v>6</v>
      </c>
      <c r="M19" s="1059"/>
    </row>
    <row r="20" spans="1:255">
      <c r="A20" s="1042"/>
      <c r="B20" s="2474" t="s">
        <v>929</v>
      </c>
      <c r="D20" s="1061" t="s">
        <v>897</v>
      </c>
      <c r="E20" s="1061"/>
      <c r="F20" s="1061"/>
      <c r="G20" s="1061"/>
      <c r="H20" s="1061"/>
      <c r="I20" s="1061"/>
      <c r="J20" s="1145">
        <v>7</v>
      </c>
      <c r="M20" s="1059"/>
    </row>
    <row r="21" spans="1:255">
      <c r="A21" s="1042"/>
      <c r="B21" s="2474" t="s">
        <v>1218</v>
      </c>
      <c r="D21" s="1062" t="s">
        <v>1256</v>
      </c>
      <c r="E21" s="1061"/>
      <c r="F21" s="1061"/>
      <c r="G21" s="1061"/>
      <c r="H21" s="1061"/>
      <c r="I21" s="1061"/>
      <c r="J21" s="1145">
        <v>8</v>
      </c>
      <c r="M21" s="1059"/>
    </row>
    <row r="22" spans="1:255">
      <c r="A22" s="1042"/>
      <c r="B22" s="2474" t="s">
        <v>1219</v>
      </c>
      <c r="D22" s="1062" t="s">
        <v>1257</v>
      </c>
      <c r="E22" s="1061"/>
      <c r="F22" s="1061"/>
      <c r="G22" s="1061"/>
      <c r="H22" s="1061"/>
      <c r="I22" s="1061"/>
      <c r="J22" s="1145">
        <v>9</v>
      </c>
      <c r="M22" s="1059"/>
    </row>
    <row r="23" spans="1:255">
      <c r="A23" s="1042"/>
      <c r="B23" s="2474" t="s">
        <v>1220</v>
      </c>
      <c r="D23" s="1062" t="s">
        <v>1264</v>
      </c>
      <c r="E23" s="1061"/>
      <c r="F23" s="1061"/>
      <c r="G23" s="1061"/>
      <c r="H23" s="1061"/>
      <c r="I23" s="1061"/>
      <c r="J23" s="1145">
        <v>10</v>
      </c>
      <c r="M23" s="1059"/>
    </row>
    <row r="24" spans="1:255">
      <c r="A24" s="1042"/>
      <c r="B24" s="2474" t="s">
        <v>1221</v>
      </c>
      <c r="D24" s="1062" t="s">
        <v>1258</v>
      </c>
      <c r="E24" s="1061"/>
      <c r="F24" s="1061"/>
      <c r="G24" s="1061"/>
      <c r="H24" s="1061"/>
      <c r="I24" s="1061"/>
      <c r="J24" s="1145">
        <v>11</v>
      </c>
      <c r="M24" s="1059"/>
    </row>
    <row r="25" spans="1:255">
      <c r="A25" s="1042"/>
      <c r="B25" s="2474" t="s">
        <v>1222</v>
      </c>
      <c r="D25" s="1062" t="s">
        <v>1259</v>
      </c>
      <c r="E25" s="1061"/>
      <c r="F25" s="1061"/>
      <c r="G25" s="1061"/>
      <c r="H25" s="1061"/>
      <c r="I25" s="1061"/>
      <c r="J25" s="1145">
        <v>12</v>
      </c>
      <c r="M25" s="1059"/>
    </row>
    <row r="26" spans="1:255">
      <c r="A26" s="1042"/>
      <c r="B26" s="2474" t="s">
        <v>1223</v>
      </c>
      <c r="D26" s="1062" t="s">
        <v>1260</v>
      </c>
      <c r="E26" s="1061"/>
      <c r="F26" s="1061"/>
      <c r="G26" s="1061"/>
      <c r="H26" s="1061"/>
      <c r="I26" s="1061"/>
      <c r="J26" s="1145">
        <v>13</v>
      </c>
      <c r="M26" s="1059"/>
    </row>
    <row r="27" spans="1:255">
      <c r="A27" s="1042"/>
      <c r="B27" s="2474" t="s">
        <v>1224</v>
      </c>
      <c r="D27" s="1062" t="s">
        <v>1261</v>
      </c>
      <c r="E27" s="1061"/>
      <c r="F27" s="1061"/>
      <c r="G27" s="1061"/>
      <c r="H27" s="1061"/>
      <c r="I27" s="1061"/>
      <c r="J27" s="1145">
        <v>14</v>
      </c>
      <c r="M27" s="1059"/>
    </row>
    <row r="28" spans="1:255">
      <c r="A28" s="1042"/>
      <c r="B28" s="2474" t="s">
        <v>1225</v>
      </c>
      <c r="D28" s="1062" t="s">
        <v>1262</v>
      </c>
      <c r="E28" s="1061"/>
      <c r="F28" s="1061"/>
      <c r="G28" s="1061"/>
      <c r="H28" s="1061"/>
      <c r="I28" s="1061"/>
      <c r="J28" s="1145">
        <v>15</v>
      </c>
      <c r="M28" s="1059"/>
    </row>
    <row r="29" spans="1:255">
      <c r="A29" s="1042"/>
      <c r="B29" s="2474" t="s">
        <v>930</v>
      </c>
      <c r="D29" s="1063" t="s">
        <v>898</v>
      </c>
      <c r="E29" s="1061"/>
      <c r="F29" s="1061"/>
      <c r="G29" s="1061"/>
      <c r="H29" s="1061"/>
      <c r="I29" s="1061"/>
      <c r="J29" s="1145">
        <v>16</v>
      </c>
      <c r="M29" s="1059"/>
    </row>
    <row r="30" spans="1:255">
      <c r="A30" s="1042"/>
      <c r="B30" s="2479" t="s">
        <v>946</v>
      </c>
      <c r="D30" s="1062" t="s">
        <v>1263</v>
      </c>
      <c r="E30" s="1062"/>
      <c r="F30" s="1062"/>
      <c r="G30" s="1062"/>
      <c r="H30" s="1062"/>
      <c r="I30" s="1062"/>
      <c r="J30" s="1145">
        <v>17</v>
      </c>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42"/>
      <c r="AV30" s="1042"/>
      <c r="AW30" s="1042"/>
      <c r="AX30" s="1042"/>
      <c r="AY30" s="1042"/>
      <c r="AZ30" s="1042"/>
      <c r="BA30" s="1042"/>
      <c r="BB30" s="1042"/>
      <c r="BC30" s="1042"/>
      <c r="BD30" s="1042"/>
      <c r="BE30" s="1042"/>
      <c r="BF30" s="1042"/>
      <c r="BG30" s="1042"/>
      <c r="BH30" s="1042"/>
      <c r="BI30" s="1042"/>
      <c r="BJ30" s="1042"/>
      <c r="BK30" s="1042"/>
      <c r="BL30" s="1042"/>
      <c r="BM30" s="1042"/>
      <c r="BN30" s="1042"/>
      <c r="BO30" s="1042"/>
      <c r="BP30" s="1042"/>
      <c r="BQ30" s="1042"/>
      <c r="BR30" s="1042"/>
      <c r="BS30" s="1042"/>
      <c r="BT30" s="1042"/>
      <c r="BU30" s="1042"/>
      <c r="BV30" s="1042"/>
      <c r="BW30" s="1042"/>
      <c r="BX30" s="1042"/>
      <c r="BY30" s="1042"/>
      <c r="BZ30" s="1042"/>
      <c r="CA30" s="1042"/>
      <c r="CB30" s="1042"/>
      <c r="CC30" s="1042"/>
      <c r="CD30" s="1042"/>
      <c r="CE30" s="1042"/>
      <c r="CF30" s="1042"/>
      <c r="CG30" s="1042"/>
      <c r="CH30" s="1042"/>
      <c r="CI30" s="1042"/>
      <c r="CJ30" s="1042"/>
      <c r="CK30" s="1042"/>
      <c r="CL30" s="1042"/>
      <c r="CM30" s="1042"/>
      <c r="CN30" s="1042"/>
      <c r="CO30" s="1042"/>
      <c r="CP30" s="1042"/>
      <c r="CQ30" s="1042"/>
      <c r="CR30" s="1042"/>
      <c r="CS30" s="1042"/>
      <c r="CT30" s="1042"/>
      <c r="CU30" s="1042"/>
      <c r="CV30" s="1042"/>
      <c r="CW30" s="1042"/>
      <c r="CX30" s="1042"/>
      <c r="CY30" s="1042"/>
      <c r="CZ30" s="1042"/>
      <c r="DA30" s="1042"/>
      <c r="DB30" s="1042"/>
      <c r="DC30" s="1042"/>
      <c r="DD30" s="1042"/>
      <c r="DE30" s="1042"/>
      <c r="DF30" s="1042"/>
      <c r="DG30" s="1042"/>
      <c r="DH30" s="1042"/>
      <c r="DI30" s="1042"/>
      <c r="DJ30" s="1042"/>
      <c r="DK30" s="1042"/>
      <c r="DL30" s="1042"/>
      <c r="DM30" s="1042"/>
      <c r="DN30" s="1042"/>
      <c r="DO30" s="1042"/>
      <c r="DP30" s="1042"/>
      <c r="DQ30" s="1042"/>
      <c r="DR30" s="1042"/>
      <c r="DS30" s="1042"/>
      <c r="DT30" s="1042"/>
      <c r="DU30" s="1042"/>
      <c r="DV30" s="1042"/>
      <c r="DW30" s="1042"/>
      <c r="DX30" s="1042"/>
      <c r="DY30" s="1042"/>
      <c r="DZ30" s="1042"/>
      <c r="EA30" s="1042"/>
      <c r="EB30" s="1042"/>
      <c r="EC30" s="1042"/>
      <c r="ED30" s="1042"/>
      <c r="EE30" s="1042"/>
      <c r="EF30" s="1042"/>
      <c r="EG30" s="1042"/>
      <c r="EH30" s="1042"/>
      <c r="EI30" s="1042"/>
      <c r="EJ30" s="1042"/>
      <c r="EK30" s="1042"/>
      <c r="EL30" s="1042"/>
      <c r="EM30" s="1042"/>
      <c r="EN30" s="1042"/>
      <c r="EO30" s="1042"/>
      <c r="EP30" s="1042"/>
      <c r="EQ30" s="1042"/>
      <c r="ER30" s="1042"/>
      <c r="ES30" s="1042"/>
      <c r="ET30" s="1042"/>
      <c r="EU30" s="1042"/>
      <c r="EV30" s="1042"/>
      <c r="EW30" s="1042"/>
      <c r="EX30" s="1042"/>
      <c r="EY30" s="1042"/>
      <c r="EZ30" s="1042"/>
      <c r="FA30" s="1042"/>
      <c r="FB30" s="1042"/>
      <c r="FC30" s="1042"/>
      <c r="FD30" s="1042"/>
      <c r="FE30" s="1042"/>
      <c r="FF30" s="1042"/>
      <c r="FG30" s="1042"/>
      <c r="FH30" s="1042"/>
      <c r="FI30" s="1042"/>
      <c r="FJ30" s="1042"/>
      <c r="FK30" s="1042"/>
      <c r="FL30" s="1042"/>
      <c r="FM30" s="1042"/>
      <c r="FN30" s="1042"/>
      <c r="FO30" s="1042"/>
      <c r="FP30" s="1042"/>
      <c r="FQ30" s="1042"/>
      <c r="FR30" s="1042"/>
      <c r="FS30" s="1042"/>
      <c r="FT30" s="1042"/>
      <c r="FU30" s="1042"/>
      <c r="FV30" s="1042"/>
      <c r="FW30" s="1042"/>
      <c r="FX30" s="1042"/>
      <c r="FY30" s="1042"/>
      <c r="FZ30" s="1042"/>
      <c r="GA30" s="1042"/>
      <c r="GB30" s="1042"/>
      <c r="GC30" s="1042"/>
      <c r="GD30" s="1042"/>
      <c r="GE30" s="1042"/>
      <c r="GF30" s="1042"/>
      <c r="GG30" s="1042"/>
      <c r="GH30" s="1042"/>
      <c r="GI30" s="1042"/>
      <c r="GJ30" s="1042"/>
      <c r="GK30" s="1042"/>
      <c r="GL30" s="1042"/>
      <c r="GM30" s="1042"/>
      <c r="GN30" s="1042"/>
      <c r="GO30" s="1042"/>
      <c r="GP30" s="1042"/>
      <c r="GQ30" s="1042"/>
      <c r="GR30" s="1042"/>
      <c r="GS30" s="1042"/>
      <c r="GT30" s="1042"/>
      <c r="GU30" s="1042"/>
      <c r="GV30" s="1042"/>
      <c r="GW30" s="1042"/>
      <c r="GX30" s="1042"/>
      <c r="GY30" s="1042"/>
      <c r="GZ30" s="1042"/>
      <c r="HA30" s="1042"/>
      <c r="HB30" s="1042"/>
      <c r="HC30" s="1042"/>
      <c r="HD30" s="1042"/>
      <c r="HE30" s="1042"/>
      <c r="HF30" s="1042"/>
      <c r="HG30" s="1042"/>
      <c r="HH30" s="1042"/>
      <c r="HI30" s="1042"/>
      <c r="HJ30" s="1042"/>
      <c r="HK30" s="1042"/>
      <c r="HL30" s="1042"/>
      <c r="HM30" s="1042"/>
      <c r="HN30" s="1042"/>
      <c r="HO30" s="1042"/>
      <c r="HP30" s="1042"/>
      <c r="HQ30" s="1042"/>
      <c r="HR30" s="1042"/>
      <c r="HS30" s="1042"/>
      <c r="HT30" s="1042"/>
      <c r="HU30" s="1042"/>
      <c r="HV30" s="1042"/>
      <c r="HW30" s="1042"/>
      <c r="HX30" s="1042"/>
      <c r="HY30" s="1042"/>
      <c r="HZ30" s="1042"/>
      <c r="IA30" s="1042"/>
      <c r="IB30" s="1042"/>
      <c r="IC30" s="1042"/>
      <c r="ID30" s="1042"/>
      <c r="IE30" s="1042"/>
      <c r="IF30" s="1042"/>
      <c r="IG30" s="1042"/>
      <c r="IH30" s="1042"/>
      <c r="II30" s="1042"/>
      <c r="IJ30" s="1042"/>
      <c r="IK30" s="1042"/>
      <c r="IL30" s="1042"/>
      <c r="IM30" s="1042"/>
      <c r="IN30" s="1042"/>
      <c r="IO30" s="1042"/>
      <c r="IP30" s="1042"/>
      <c r="IQ30" s="1042"/>
      <c r="IR30" s="1042"/>
      <c r="IS30" s="1042"/>
      <c r="IT30" s="1042"/>
      <c r="IU30" s="1042"/>
    </row>
    <row r="31" spans="1:255">
      <c r="A31" s="1042"/>
      <c r="B31" s="2474" t="s">
        <v>1226</v>
      </c>
      <c r="D31" s="1062" t="s">
        <v>1255</v>
      </c>
      <c r="E31" s="1057"/>
      <c r="F31" s="1057"/>
      <c r="G31" s="1057"/>
      <c r="H31" s="1057"/>
      <c r="I31" s="1057"/>
      <c r="J31" s="1145">
        <v>19</v>
      </c>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2"/>
      <c r="BS31" s="1042"/>
      <c r="BT31" s="1042"/>
      <c r="BU31" s="1042"/>
      <c r="BV31" s="1042"/>
      <c r="BW31" s="1042"/>
      <c r="BX31" s="1042"/>
      <c r="BY31" s="1042"/>
      <c r="BZ31" s="1042"/>
      <c r="CA31" s="1042"/>
      <c r="CB31" s="1042"/>
      <c r="CC31" s="1042"/>
      <c r="CD31" s="1042"/>
      <c r="CE31" s="1042"/>
      <c r="CF31" s="1042"/>
      <c r="CG31" s="1042"/>
      <c r="CH31" s="1042"/>
      <c r="CI31" s="1042"/>
      <c r="CJ31" s="1042"/>
      <c r="CK31" s="1042"/>
      <c r="CL31" s="1042"/>
      <c r="CM31" s="1042"/>
      <c r="CN31" s="1042"/>
      <c r="CO31" s="1042"/>
      <c r="CP31" s="1042"/>
      <c r="CQ31" s="1042"/>
      <c r="CR31" s="1042"/>
      <c r="CS31" s="1042"/>
      <c r="CT31" s="1042"/>
      <c r="CU31" s="1042"/>
      <c r="CV31" s="1042"/>
      <c r="CW31" s="1042"/>
      <c r="CX31" s="1042"/>
      <c r="CY31" s="1042"/>
      <c r="CZ31" s="1042"/>
      <c r="DA31" s="1042"/>
      <c r="DB31" s="1042"/>
      <c r="DC31" s="1042"/>
      <c r="DD31" s="1042"/>
      <c r="DE31" s="1042"/>
      <c r="DF31" s="1042"/>
      <c r="DG31" s="1042"/>
      <c r="DH31" s="1042"/>
      <c r="DI31" s="1042"/>
      <c r="DJ31" s="1042"/>
      <c r="DK31" s="1042"/>
      <c r="DL31" s="1042"/>
      <c r="DM31" s="1042"/>
      <c r="DN31" s="1042"/>
      <c r="DO31" s="1042"/>
      <c r="DP31" s="1042"/>
      <c r="DQ31" s="1042"/>
      <c r="DR31" s="1042"/>
      <c r="DS31" s="1042"/>
      <c r="DT31" s="1042"/>
      <c r="DU31" s="1042"/>
      <c r="DV31" s="1042"/>
      <c r="DW31" s="1042"/>
      <c r="DX31" s="1042"/>
      <c r="DY31" s="1042"/>
      <c r="DZ31" s="1042"/>
      <c r="EA31" s="1042"/>
      <c r="EB31" s="1042"/>
      <c r="EC31" s="1042"/>
      <c r="ED31" s="1042"/>
      <c r="EE31" s="1042"/>
      <c r="EF31" s="1042"/>
      <c r="EG31" s="1042"/>
      <c r="EH31" s="1042"/>
      <c r="EI31" s="1042"/>
      <c r="EJ31" s="1042"/>
      <c r="EK31" s="1042"/>
      <c r="EL31" s="1042"/>
      <c r="EM31" s="1042"/>
      <c r="EN31" s="1042"/>
      <c r="EO31" s="1042"/>
      <c r="EP31" s="1042"/>
      <c r="EQ31" s="1042"/>
      <c r="ER31" s="1042"/>
      <c r="ES31" s="1042"/>
      <c r="ET31" s="1042"/>
      <c r="EU31" s="1042"/>
      <c r="EV31" s="1042"/>
      <c r="EW31" s="1042"/>
      <c r="EX31" s="1042"/>
      <c r="EY31" s="1042"/>
      <c r="EZ31" s="1042"/>
      <c r="FA31" s="1042"/>
      <c r="FB31" s="1042"/>
      <c r="FC31" s="1042"/>
      <c r="FD31" s="1042"/>
      <c r="FE31" s="1042"/>
      <c r="FF31" s="1042"/>
      <c r="FG31" s="1042"/>
      <c r="FH31" s="1042"/>
      <c r="FI31" s="1042"/>
      <c r="FJ31" s="1042"/>
      <c r="FK31" s="1042"/>
      <c r="FL31" s="1042"/>
      <c r="FM31" s="1042"/>
      <c r="FN31" s="1042"/>
      <c r="FO31" s="1042"/>
      <c r="FP31" s="1042"/>
      <c r="FQ31" s="1042"/>
      <c r="FR31" s="1042"/>
      <c r="FS31" s="1042"/>
      <c r="FT31" s="1042"/>
      <c r="FU31" s="1042"/>
      <c r="FV31" s="1042"/>
      <c r="FW31" s="1042"/>
      <c r="FX31" s="1042"/>
      <c r="FY31" s="1042"/>
      <c r="FZ31" s="1042"/>
      <c r="GA31" s="1042"/>
      <c r="GB31" s="1042"/>
      <c r="GC31" s="1042"/>
      <c r="GD31" s="1042"/>
      <c r="GE31" s="1042"/>
      <c r="GF31" s="1042"/>
      <c r="GG31" s="1042"/>
      <c r="GH31" s="1042"/>
      <c r="GI31" s="1042"/>
      <c r="GJ31" s="1042"/>
      <c r="GK31" s="1042"/>
      <c r="GL31" s="1042"/>
      <c r="GM31" s="1042"/>
      <c r="GN31" s="1042"/>
      <c r="GO31" s="1042"/>
      <c r="GP31" s="1042"/>
      <c r="GQ31" s="1042"/>
      <c r="GR31" s="1042"/>
      <c r="GS31" s="1042"/>
      <c r="GT31" s="1042"/>
      <c r="GU31" s="1042"/>
      <c r="GV31" s="1042"/>
      <c r="GW31" s="1042"/>
      <c r="GX31" s="1042"/>
      <c r="GY31" s="1042"/>
      <c r="GZ31" s="1042"/>
      <c r="HA31" s="1042"/>
      <c r="HB31" s="1042"/>
      <c r="HC31" s="1042"/>
      <c r="HD31" s="1042"/>
      <c r="HE31" s="1042"/>
      <c r="HF31" s="1042"/>
      <c r="HG31" s="1042"/>
      <c r="HH31" s="1042"/>
      <c r="HI31" s="1042"/>
      <c r="HJ31" s="1042"/>
      <c r="HK31" s="1042"/>
      <c r="HL31" s="1042"/>
      <c r="HM31" s="1042"/>
      <c r="HN31" s="1042"/>
      <c r="HO31" s="1042"/>
      <c r="HP31" s="1042"/>
      <c r="HQ31" s="1042"/>
      <c r="HR31" s="1042"/>
      <c r="HS31" s="1042"/>
      <c r="HT31" s="1042"/>
      <c r="HU31" s="1042"/>
      <c r="HV31" s="1042"/>
      <c r="HW31" s="1042"/>
      <c r="HX31" s="1042"/>
      <c r="HY31" s="1042"/>
      <c r="HZ31" s="1042"/>
      <c r="IA31" s="1042"/>
      <c r="IB31" s="1042"/>
      <c r="IC31" s="1042"/>
      <c r="ID31" s="1042"/>
      <c r="IE31" s="1042"/>
      <c r="IF31" s="1042"/>
      <c r="IG31" s="1042"/>
      <c r="IH31" s="1042"/>
      <c r="II31" s="1042"/>
      <c r="IJ31" s="1042"/>
      <c r="IK31" s="1042"/>
      <c r="IL31" s="1042"/>
      <c r="IM31" s="1042"/>
      <c r="IN31" s="1042"/>
      <c r="IO31" s="1042"/>
      <c r="IP31" s="1042"/>
      <c r="IQ31" s="1042"/>
      <c r="IR31" s="1042"/>
      <c r="IS31" s="1042"/>
      <c r="IT31" s="1042"/>
      <c r="IU31" s="1042"/>
    </row>
    <row r="32" spans="1:255">
      <c r="A32" s="1042"/>
      <c r="B32" s="2474"/>
      <c r="D32" s="1064"/>
      <c r="E32" s="1064"/>
      <c r="F32" s="1064"/>
      <c r="G32" s="1064"/>
      <c r="H32" s="1064"/>
      <c r="I32" s="1064"/>
      <c r="J32" s="1145"/>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2"/>
      <c r="BS32" s="1042"/>
      <c r="BT32" s="1042"/>
      <c r="BU32" s="1042"/>
      <c r="BV32" s="1042"/>
      <c r="BW32" s="1042"/>
      <c r="BX32" s="1042"/>
      <c r="BY32" s="1042"/>
      <c r="BZ32" s="1042"/>
      <c r="CA32" s="1042"/>
      <c r="CB32" s="1042"/>
      <c r="CC32" s="1042"/>
      <c r="CD32" s="1042"/>
      <c r="CE32" s="1042"/>
      <c r="CF32" s="1042"/>
      <c r="CG32" s="1042"/>
      <c r="CH32" s="1042"/>
      <c r="CI32" s="1042"/>
      <c r="CJ32" s="1042"/>
      <c r="CK32" s="1042"/>
      <c r="CL32" s="1042"/>
      <c r="CM32" s="1042"/>
      <c r="CN32" s="1042"/>
      <c r="CO32" s="1042"/>
      <c r="CP32" s="1042"/>
      <c r="CQ32" s="1042"/>
      <c r="CR32" s="1042"/>
      <c r="CS32" s="1042"/>
      <c r="CT32" s="1042"/>
      <c r="CU32" s="1042"/>
      <c r="CV32" s="1042"/>
      <c r="CW32" s="1042"/>
      <c r="CX32" s="1042"/>
      <c r="CY32" s="1042"/>
      <c r="CZ32" s="1042"/>
      <c r="DA32" s="1042"/>
      <c r="DB32" s="1042"/>
      <c r="DC32" s="1042"/>
      <c r="DD32" s="1042"/>
      <c r="DE32" s="1042"/>
      <c r="DF32" s="1042"/>
      <c r="DG32" s="1042"/>
      <c r="DH32" s="1042"/>
      <c r="DI32" s="1042"/>
      <c r="DJ32" s="1042"/>
      <c r="DK32" s="1042"/>
      <c r="DL32" s="1042"/>
      <c r="DM32" s="1042"/>
      <c r="DN32" s="1042"/>
      <c r="DO32" s="1042"/>
      <c r="DP32" s="1042"/>
      <c r="DQ32" s="1042"/>
      <c r="DR32" s="1042"/>
      <c r="DS32" s="1042"/>
      <c r="DT32" s="1042"/>
      <c r="DU32" s="1042"/>
      <c r="DV32" s="1042"/>
      <c r="DW32" s="1042"/>
      <c r="DX32" s="1042"/>
      <c r="DY32" s="1042"/>
      <c r="DZ32" s="1042"/>
      <c r="EA32" s="1042"/>
      <c r="EB32" s="1042"/>
      <c r="EC32" s="1042"/>
      <c r="ED32" s="1042"/>
      <c r="EE32" s="1042"/>
      <c r="EF32" s="1042"/>
      <c r="EG32" s="1042"/>
      <c r="EH32" s="1042"/>
      <c r="EI32" s="1042"/>
      <c r="EJ32" s="1042"/>
      <c r="EK32" s="1042"/>
      <c r="EL32" s="1042"/>
      <c r="EM32" s="1042"/>
      <c r="EN32" s="1042"/>
      <c r="EO32" s="1042"/>
      <c r="EP32" s="1042"/>
      <c r="EQ32" s="1042"/>
      <c r="ER32" s="1042"/>
      <c r="ES32" s="1042"/>
      <c r="ET32" s="1042"/>
      <c r="EU32" s="1042"/>
      <c r="EV32" s="1042"/>
      <c r="EW32" s="1042"/>
      <c r="EX32" s="1042"/>
      <c r="EY32" s="1042"/>
      <c r="EZ32" s="1042"/>
      <c r="FA32" s="1042"/>
      <c r="FB32" s="1042"/>
      <c r="FC32" s="1042"/>
      <c r="FD32" s="1042"/>
      <c r="FE32" s="1042"/>
      <c r="FF32" s="1042"/>
      <c r="FG32" s="1042"/>
      <c r="FH32" s="1042"/>
      <c r="FI32" s="1042"/>
      <c r="FJ32" s="1042"/>
      <c r="FK32" s="1042"/>
      <c r="FL32" s="1042"/>
      <c r="FM32" s="1042"/>
      <c r="FN32" s="1042"/>
      <c r="FO32" s="1042"/>
      <c r="FP32" s="1042"/>
      <c r="FQ32" s="1042"/>
      <c r="FR32" s="1042"/>
      <c r="FS32" s="1042"/>
      <c r="FT32" s="1042"/>
      <c r="FU32" s="1042"/>
      <c r="FV32" s="1042"/>
      <c r="FW32" s="1042"/>
      <c r="FX32" s="1042"/>
      <c r="FY32" s="1042"/>
      <c r="FZ32" s="1042"/>
      <c r="GA32" s="1042"/>
      <c r="GB32" s="1042"/>
      <c r="GC32" s="1042"/>
      <c r="GD32" s="1042"/>
      <c r="GE32" s="1042"/>
      <c r="GF32" s="1042"/>
      <c r="GG32" s="1042"/>
      <c r="GH32" s="1042"/>
      <c r="GI32" s="1042"/>
      <c r="GJ32" s="1042"/>
      <c r="GK32" s="1042"/>
      <c r="GL32" s="1042"/>
      <c r="GM32" s="1042"/>
      <c r="GN32" s="1042"/>
      <c r="GO32" s="1042"/>
      <c r="GP32" s="1042"/>
      <c r="GQ32" s="1042"/>
      <c r="GR32" s="1042"/>
      <c r="GS32" s="1042"/>
      <c r="GT32" s="1042"/>
      <c r="GU32" s="1042"/>
      <c r="GV32" s="1042"/>
      <c r="GW32" s="1042"/>
      <c r="GX32" s="1042"/>
      <c r="GY32" s="1042"/>
      <c r="GZ32" s="1042"/>
      <c r="HA32" s="1042"/>
      <c r="HB32" s="1042"/>
      <c r="HC32" s="1042"/>
      <c r="HD32" s="1042"/>
      <c r="HE32" s="1042"/>
      <c r="HF32" s="1042"/>
      <c r="HG32" s="1042"/>
      <c r="HH32" s="1042"/>
      <c r="HI32" s="1042"/>
      <c r="HJ32" s="1042"/>
      <c r="HK32" s="1042"/>
      <c r="HL32" s="1042"/>
      <c r="HM32" s="1042"/>
      <c r="HN32" s="1042"/>
      <c r="HO32" s="1042"/>
      <c r="HP32" s="1042"/>
      <c r="HQ32" s="1042"/>
      <c r="HR32" s="1042"/>
      <c r="HS32" s="1042"/>
      <c r="HT32" s="1042"/>
      <c r="HU32" s="1042"/>
      <c r="HV32" s="1042"/>
      <c r="HW32" s="1042"/>
      <c r="HX32" s="1042"/>
      <c r="HY32" s="1042"/>
      <c r="HZ32" s="1042"/>
      <c r="IA32" s="1042"/>
      <c r="IB32" s="1042"/>
      <c r="IC32" s="1042"/>
      <c r="ID32" s="1042"/>
      <c r="IE32" s="1042"/>
      <c r="IF32" s="1042"/>
      <c r="IG32" s="1042"/>
      <c r="IH32" s="1042"/>
      <c r="II32" s="1042"/>
      <c r="IJ32" s="1042"/>
      <c r="IK32" s="1042"/>
      <c r="IL32" s="1042"/>
      <c r="IM32" s="1042"/>
      <c r="IN32" s="1042"/>
      <c r="IO32" s="1042"/>
      <c r="IP32" s="1042"/>
      <c r="IQ32" s="1042"/>
      <c r="IR32" s="1042"/>
      <c r="IS32" s="1042"/>
      <c r="IT32" s="1042"/>
      <c r="IU32" s="1042"/>
    </row>
    <row r="33" spans="1:255">
      <c r="A33" s="1042"/>
      <c r="B33" s="2475"/>
      <c r="D33" s="1064"/>
      <c r="E33" s="1064"/>
      <c r="F33" s="1064"/>
      <c r="G33" s="1064"/>
      <c r="H33" s="1064"/>
      <c r="I33" s="1064"/>
      <c r="J33" s="1145"/>
      <c r="M33" s="1059"/>
    </row>
    <row r="34" spans="1:255">
      <c r="A34" s="1042" t="s">
        <v>899</v>
      </c>
      <c r="B34" s="2476"/>
      <c r="C34" s="1042"/>
      <c r="D34" s="1042"/>
      <c r="E34" s="1042"/>
      <c r="F34" s="1042"/>
      <c r="G34" s="1042"/>
      <c r="H34" s="1042"/>
      <c r="I34" s="1042"/>
      <c r="J34" s="1146"/>
      <c r="M34" s="1059"/>
    </row>
    <row r="35" spans="1:255">
      <c r="A35" s="1042"/>
      <c r="B35" s="2476"/>
      <c r="C35" s="1042"/>
      <c r="D35" s="1065"/>
      <c r="E35" s="1065"/>
      <c r="F35" s="1065"/>
      <c r="G35" s="1065"/>
      <c r="H35" s="1065"/>
      <c r="I35" s="1065"/>
      <c r="J35" s="1147"/>
      <c r="M35" s="1059"/>
    </row>
    <row r="36" spans="1:255">
      <c r="A36" s="1042"/>
      <c r="B36" s="2479" t="s">
        <v>931</v>
      </c>
      <c r="D36" s="1054" t="s">
        <v>950</v>
      </c>
      <c r="E36" s="1054"/>
      <c r="F36" s="1054"/>
      <c r="G36" s="1054"/>
      <c r="H36" s="1054"/>
      <c r="I36" s="1054"/>
      <c r="J36" s="1145">
        <v>21</v>
      </c>
      <c r="M36" s="1059"/>
    </row>
    <row r="37" spans="1:255">
      <c r="A37" s="1042"/>
      <c r="B37" s="2479" t="s">
        <v>900</v>
      </c>
      <c r="D37" s="1064" t="s">
        <v>945</v>
      </c>
      <c r="E37" s="1064"/>
      <c r="F37" s="1064"/>
      <c r="G37" s="1064"/>
      <c r="H37" s="1064"/>
      <c r="I37" s="1064"/>
      <c r="J37" s="1145">
        <v>23</v>
      </c>
      <c r="M37" s="1059"/>
    </row>
    <row r="38" spans="1:255">
      <c r="A38" s="1042"/>
      <c r="B38" s="2479" t="s">
        <v>932</v>
      </c>
      <c r="D38" s="1061" t="s">
        <v>1462</v>
      </c>
      <c r="E38" s="1061"/>
      <c r="F38" s="1061"/>
      <c r="G38" s="1061"/>
      <c r="H38" s="1061"/>
      <c r="I38" s="1061"/>
      <c r="J38" s="1145">
        <v>25</v>
      </c>
      <c r="M38" s="1059"/>
    </row>
    <row r="39" spans="1:255">
      <c r="A39" s="1042"/>
      <c r="B39" s="2479" t="s">
        <v>933</v>
      </c>
      <c r="D39" s="1061" t="s">
        <v>1463</v>
      </c>
      <c r="E39" s="1061"/>
      <c r="F39" s="1061"/>
      <c r="G39" s="1061"/>
      <c r="H39" s="1061"/>
      <c r="I39" s="1061"/>
      <c r="J39" s="1145">
        <v>27</v>
      </c>
      <c r="M39" s="1059"/>
    </row>
    <row r="40" spans="1:255">
      <c r="A40" s="1042"/>
      <c r="B40" s="2474" t="s">
        <v>901</v>
      </c>
      <c r="D40" s="1061" t="s">
        <v>1125</v>
      </c>
      <c r="E40" s="1061"/>
      <c r="F40" s="1061"/>
      <c r="G40" s="1061"/>
      <c r="H40" s="1061"/>
      <c r="I40" s="1061"/>
      <c r="J40" s="1145">
        <v>29</v>
      </c>
      <c r="M40" s="1059"/>
    </row>
    <row r="41" spans="1:255">
      <c r="A41" s="1042"/>
      <c r="B41" s="2479" t="s">
        <v>902</v>
      </c>
      <c r="D41" s="1061" t="s">
        <v>1078</v>
      </c>
      <c r="E41" s="1061"/>
      <c r="F41" s="1061"/>
      <c r="G41" s="1061"/>
      <c r="H41" s="1061"/>
      <c r="I41" s="1061"/>
      <c r="J41" s="1145">
        <v>30</v>
      </c>
      <c r="M41" s="1059"/>
    </row>
    <row r="42" spans="1:255">
      <c r="A42" s="1042"/>
      <c r="B42" s="2474" t="s">
        <v>934</v>
      </c>
      <c r="D42" s="1061" t="s">
        <v>1461</v>
      </c>
      <c r="E42" s="1061"/>
      <c r="F42" s="1061"/>
      <c r="G42" s="1061"/>
      <c r="H42" s="1061"/>
      <c r="I42" s="1061"/>
      <c r="J42" s="1145">
        <v>32</v>
      </c>
      <c r="M42" s="1059"/>
    </row>
    <row r="43" spans="1:255">
      <c r="A43" s="1042"/>
      <c r="B43" s="2474" t="s">
        <v>1381</v>
      </c>
      <c r="D43" s="1061" t="s">
        <v>1464</v>
      </c>
      <c r="E43" s="1061"/>
      <c r="F43" s="1061"/>
      <c r="G43" s="1061"/>
      <c r="H43" s="1061"/>
      <c r="I43" s="1061"/>
      <c r="J43" s="1145">
        <v>34</v>
      </c>
      <c r="M43" s="1059"/>
    </row>
    <row r="44" spans="1:255">
      <c r="A44" s="1042"/>
      <c r="B44" s="2474" t="s">
        <v>903</v>
      </c>
      <c r="D44" s="1061" t="s">
        <v>951</v>
      </c>
      <c r="E44" s="1061"/>
      <c r="F44" s="1061"/>
      <c r="G44" s="1061"/>
      <c r="H44" s="1061"/>
      <c r="I44" s="1061"/>
      <c r="J44" s="1145">
        <v>35</v>
      </c>
      <c r="M44" s="1059"/>
    </row>
    <row r="45" spans="1:255">
      <c r="A45" s="1042"/>
      <c r="B45" s="2474" t="s">
        <v>904</v>
      </c>
      <c r="D45" s="1061" t="s">
        <v>947</v>
      </c>
      <c r="E45" s="1061"/>
      <c r="F45" s="1061"/>
      <c r="G45" s="1061"/>
      <c r="H45" s="1061"/>
      <c r="I45" s="1061"/>
      <c r="J45" s="1145">
        <v>36</v>
      </c>
      <c r="M45" s="1059"/>
    </row>
    <row r="46" spans="1:255">
      <c r="A46" s="1042"/>
      <c r="B46" s="2474" t="s">
        <v>905</v>
      </c>
      <c r="D46" s="1061" t="s">
        <v>948</v>
      </c>
      <c r="E46" s="1061"/>
      <c r="F46" s="1061"/>
      <c r="G46" s="1061"/>
      <c r="H46" s="1061"/>
      <c r="I46" s="1061"/>
      <c r="J46" s="1145">
        <v>37</v>
      </c>
      <c r="M46" s="1059"/>
    </row>
    <row r="47" spans="1:255">
      <c r="A47" s="1042"/>
      <c r="B47" s="2474" t="s">
        <v>906</v>
      </c>
      <c r="D47" s="1062" t="s">
        <v>949</v>
      </c>
      <c r="E47" s="1062"/>
      <c r="F47" s="1062"/>
      <c r="G47" s="1062"/>
      <c r="H47" s="1062"/>
      <c r="I47" s="1062"/>
      <c r="J47" s="1145">
        <v>38</v>
      </c>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2"/>
      <c r="CA47" s="1042"/>
      <c r="CB47" s="1042"/>
      <c r="CC47" s="1042"/>
      <c r="CD47" s="1042"/>
      <c r="CE47" s="1042"/>
      <c r="CF47" s="1042"/>
      <c r="CG47" s="1042"/>
      <c r="CH47" s="1042"/>
      <c r="CI47" s="1042"/>
      <c r="CJ47" s="1042"/>
      <c r="CK47" s="1042"/>
      <c r="CL47" s="1042"/>
      <c r="CM47" s="1042"/>
      <c r="CN47" s="1042"/>
      <c r="CO47" s="1042"/>
      <c r="CP47" s="1042"/>
      <c r="CQ47" s="1042"/>
      <c r="CR47" s="1042"/>
      <c r="CS47" s="1042"/>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1042"/>
      <c r="EV47" s="1042"/>
      <c r="EW47" s="1042"/>
      <c r="EX47" s="1042"/>
      <c r="EY47" s="1042"/>
      <c r="EZ47" s="1042"/>
      <c r="FA47" s="1042"/>
      <c r="FB47" s="1042"/>
      <c r="FC47" s="1042"/>
      <c r="FD47" s="1042"/>
      <c r="FE47" s="1042"/>
      <c r="FF47" s="1042"/>
      <c r="FG47" s="1042"/>
      <c r="FH47" s="1042"/>
      <c r="FI47" s="1042"/>
      <c r="FJ47" s="1042"/>
      <c r="FK47" s="1042"/>
      <c r="FL47" s="1042"/>
      <c r="FM47" s="1042"/>
      <c r="FN47" s="1042"/>
      <c r="FO47" s="1042"/>
      <c r="FP47" s="1042"/>
      <c r="FQ47" s="1042"/>
      <c r="FR47" s="1042"/>
      <c r="FS47" s="1042"/>
      <c r="FT47" s="1042"/>
      <c r="FU47" s="1042"/>
      <c r="FV47" s="1042"/>
      <c r="FW47" s="1042"/>
      <c r="FX47" s="1042"/>
      <c r="FY47" s="1042"/>
      <c r="FZ47" s="1042"/>
      <c r="GA47" s="1042"/>
      <c r="GB47" s="1042"/>
      <c r="GC47" s="1042"/>
      <c r="GD47" s="1042"/>
      <c r="GE47" s="1042"/>
      <c r="GF47" s="1042"/>
      <c r="GG47" s="1042"/>
      <c r="GH47" s="1042"/>
      <c r="GI47" s="1042"/>
      <c r="GJ47" s="1042"/>
      <c r="GK47" s="1042"/>
      <c r="GL47" s="1042"/>
      <c r="GM47" s="1042"/>
      <c r="GN47" s="1042"/>
      <c r="GO47" s="1042"/>
      <c r="GP47" s="1042"/>
      <c r="GQ47" s="1042"/>
      <c r="GR47" s="1042"/>
      <c r="GS47" s="1042"/>
      <c r="GT47" s="1042"/>
      <c r="GU47" s="1042"/>
      <c r="GV47" s="1042"/>
      <c r="GW47" s="1042"/>
      <c r="GX47" s="1042"/>
      <c r="GY47" s="1042"/>
      <c r="GZ47" s="1042"/>
      <c r="HA47" s="1042"/>
      <c r="HB47" s="1042"/>
      <c r="HC47" s="1042"/>
      <c r="HD47" s="1042"/>
      <c r="HE47" s="1042"/>
      <c r="HF47" s="1042"/>
      <c r="HG47" s="1042"/>
      <c r="HH47" s="1042"/>
      <c r="HI47" s="1042"/>
      <c r="HJ47" s="1042"/>
      <c r="HK47" s="1042"/>
      <c r="HL47" s="1042"/>
      <c r="HM47" s="1042"/>
      <c r="HN47" s="1042"/>
      <c r="HO47" s="1042"/>
      <c r="HP47" s="1042"/>
      <c r="HQ47" s="1042"/>
      <c r="HR47" s="1042"/>
      <c r="HS47" s="1042"/>
      <c r="HT47" s="1042"/>
      <c r="HU47" s="1042"/>
      <c r="HV47" s="1042"/>
      <c r="HW47" s="1042"/>
      <c r="HX47" s="1042"/>
      <c r="HY47" s="1042"/>
      <c r="HZ47" s="1042"/>
      <c r="IA47" s="1042"/>
      <c r="IB47" s="1042"/>
      <c r="IC47" s="1042"/>
      <c r="ID47" s="1042"/>
      <c r="IE47" s="1042"/>
      <c r="IF47" s="1042"/>
      <c r="IG47" s="1042"/>
      <c r="IH47" s="1042"/>
      <c r="II47" s="1042"/>
      <c r="IJ47" s="1042"/>
      <c r="IK47" s="1042"/>
      <c r="IL47" s="1042"/>
      <c r="IM47" s="1042"/>
      <c r="IN47" s="1042"/>
      <c r="IO47" s="1042"/>
      <c r="IP47" s="1042"/>
      <c r="IQ47" s="1042"/>
      <c r="IR47" s="1042"/>
      <c r="IS47" s="1042"/>
      <c r="IT47" s="1042"/>
      <c r="IU47" s="1042"/>
    </row>
    <row r="48" spans="1:255">
      <c r="A48" s="1042"/>
      <c r="B48" s="2475"/>
      <c r="D48" s="1064"/>
      <c r="E48" s="1064"/>
      <c r="F48" s="1064"/>
      <c r="G48" s="1064"/>
      <c r="H48" s="1064"/>
      <c r="I48" s="1064"/>
      <c r="J48" s="1145"/>
      <c r="M48" s="1059"/>
    </row>
    <row r="49" spans="1:13">
      <c r="A49" s="1042" t="s">
        <v>907</v>
      </c>
      <c r="B49" s="2475"/>
      <c r="D49" s="1064"/>
      <c r="E49" s="1064"/>
      <c r="F49" s="1064"/>
      <c r="G49" s="1064"/>
      <c r="H49" s="1064"/>
      <c r="I49" s="1064"/>
      <c r="J49" s="1145"/>
      <c r="M49" s="1059"/>
    </row>
    <row r="50" spans="1:13">
      <c r="A50" s="1042"/>
      <c r="B50" s="2476"/>
      <c r="C50" s="1042"/>
      <c r="D50" s="1065"/>
      <c r="E50" s="1065"/>
      <c r="F50" s="1065"/>
      <c r="G50" s="1065"/>
      <c r="H50" s="1065"/>
      <c r="I50" s="1065"/>
      <c r="J50" s="1146"/>
      <c r="M50" s="1059"/>
    </row>
    <row r="51" spans="1:13">
      <c r="A51" s="1042"/>
      <c r="B51" s="2474" t="s">
        <v>908</v>
      </c>
      <c r="D51" s="1064" t="s">
        <v>952</v>
      </c>
      <c r="E51" s="1064"/>
      <c r="F51" s="1064"/>
      <c r="G51" s="1064"/>
      <c r="H51" s="1064"/>
      <c r="I51" s="1064"/>
      <c r="J51" s="1145">
        <v>39</v>
      </c>
      <c r="M51" s="1059"/>
    </row>
    <row r="52" spans="1:13">
      <c r="A52" s="1042"/>
      <c r="B52" s="2474" t="s">
        <v>909</v>
      </c>
      <c r="D52" s="1061" t="s">
        <v>953</v>
      </c>
      <c r="E52" s="1061"/>
      <c r="F52" s="1061"/>
      <c r="G52" s="1061"/>
      <c r="H52" s="1061"/>
      <c r="I52" s="1061"/>
      <c r="J52" s="1145">
        <v>42</v>
      </c>
      <c r="M52" s="1059"/>
    </row>
    <row r="53" spans="1:13">
      <c r="A53" s="1042"/>
      <c r="B53" s="2474" t="s">
        <v>910</v>
      </c>
      <c r="D53" s="1061" t="s">
        <v>954</v>
      </c>
      <c r="E53" s="1061"/>
      <c r="F53" s="1061"/>
      <c r="G53" s="1061"/>
      <c r="H53" s="1061"/>
      <c r="I53" s="1061"/>
      <c r="J53" s="1145">
        <v>43</v>
      </c>
      <c r="M53" s="1059"/>
    </row>
    <row r="54" spans="1:13">
      <c r="A54" s="1042"/>
      <c r="B54" s="2474" t="s">
        <v>911</v>
      </c>
      <c r="D54" s="1061" t="s">
        <v>957</v>
      </c>
      <c r="E54" s="1061"/>
      <c r="F54" s="1061"/>
      <c r="G54" s="1061"/>
      <c r="H54" s="1061"/>
      <c r="I54" s="1061"/>
      <c r="J54" s="1145">
        <v>44</v>
      </c>
      <c r="M54" s="1059"/>
    </row>
    <row r="55" spans="1:13">
      <c r="A55" s="1042"/>
      <c r="B55" s="2474" t="s">
        <v>912</v>
      </c>
      <c r="D55" s="1061" t="s">
        <v>955</v>
      </c>
      <c r="E55" s="1061"/>
      <c r="F55" s="1061"/>
      <c r="G55" s="1061"/>
      <c r="H55" s="1061"/>
      <c r="I55" s="1061"/>
      <c r="J55" s="1145">
        <v>45</v>
      </c>
      <c r="K55" s="1066"/>
      <c r="M55" s="1059"/>
    </row>
    <row r="56" spans="1:13">
      <c r="A56" s="1042"/>
      <c r="B56" s="2474" t="s">
        <v>913</v>
      </c>
      <c r="D56" s="1061" t="s">
        <v>956</v>
      </c>
      <c r="E56" s="1061"/>
      <c r="F56" s="1061"/>
      <c r="G56" s="1061"/>
      <c r="H56" s="1061"/>
      <c r="I56" s="1061"/>
      <c r="J56" s="1145">
        <v>46</v>
      </c>
      <c r="K56" s="1052"/>
    </row>
    <row r="57" spans="1:13">
      <c r="A57" s="1042"/>
      <c r="B57" s="2474" t="s">
        <v>914</v>
      </c>
      <c r="D57" s="1062" t="s">
        <v>915</v>
      </c>
      <c r="E57" s="1062"/>
      <c r="F57" s="1062"/>
      <c r="G57" s="1062"/>
      <c r="H57" s="1062"/>
      <c r="I57" s="1062"/>
      <c r="J57" s="1145">
        <v>47</v>
      </c>
      <c r="K57" s="1052"/>
    </row>
    <row r="58" spans="1:13">
      <c r="A58" s="1042"/>
      <c r="B58" s="2477" t="s">
        <v>935</v>
      </c>
      <c r="D58" s="1054" t="s">
        <v>916</v>
      </c>
      <c r="E58" s="1054"/>
      <c r="F58" s="1054"/>
      <c r="G58" s="1054"/>
      <c r="H58" s="1054"/>
      <c r="I58" s="1054"/>
      <c r="J58" s="1145">
        <v>48</v>
      </c>
      <c r="K58" s="1052"/>
      <c r="M58" s="1059"/>
    </row>
    <row r="59" spans="1:13">
      <c r="A59" s="1042"/>
      <c r="B59" s="2478" t="s">
        <v>936</v>
      </c>
      <c r="D59" s="1057" t="s">
        <v>917</v>
      </c>
      <c r="E59" s="1057"/>
      <c r="F59" s="1057"/>
      <c r="G59" s="1057"/>
      <c r="H59" s="1057"/>
      <c r="I59" s="1057"/>
      <c r="J59" s="1145">
        <v>49</v>
      </c>
      <c r="K59" s="1052"/>
      <c r="M59" s="1059"/>
    </row>
    <row r="60" spans="1:13">
      <c r="A60" s="1042"/>
      <c r="B60" s="2478" t="s">
        <v>937</v>
      </c>
      <c r="D60" s="1067" t="s">
        <v>918</v>
      </c>
      <c r="E60" s="1057"/>
      <c r="F60" s="1067"/>
      <c r="G60" s="1057"/>
      <c r="H60" s="1057"/>
      <c r="I60" s="1057"/>
      <c r="J60" s="1145">
        <v>51</v>
      </c>
      <c r="K60" s="1052"/>
      <c r="M60" s="1059"/>
    </row>
    <row r="61" spans="1:13">
      <c r="A61" s="1042"/>
      <c r="B61" s="2478" t="s">
        <v>938</v>
      </c>
      <c r="D61" s="1057" t="s">
        <v>919</v>
      </c>
      <c r="E61" s="1057"/>
      <c r="F61" s="1057"/>
      <c r="G61" s="1057"/>
      <c r="H61" s="1057"/>
      <c r="I61" s="1057"/>
      <c r="J61" s="1145">
        <v>52</v>
      </c>
      <c r="K61" s="1064"/>
      <c r="M61" s="1059"/>
    </row>
    <row r="62" spans="1:13">
      <c r="A62" s="1042"/>
      <c r="B62" s="2994" t="s">
        <v>939</v>
      </c>
      <c r="D62" s="1057" t="s">
        <v>1430</v>
      </c>
      <c r="E62" s="1057"/>
      <c r="F62" s="1057"/>
      <c r="G62" s="1057"/>
      <c r="H62" s="1058"/>
      <c r="I62" s="1057"/>
      <c r="J62" s="1145">
        <v>53</v>
      </c>
      <c r="K62" s="1064"/>
      <c r="M62" s="1059"/>
    </row>
    <row r="63" spans="1:13">
      <c r="A63" s="1042"/>
      <c r="B63" s="2994" t="s">
        <v>940</v>
      </c>
      <c r="D63" s="1057" t="s">
        <v>920</v>
      </c>
      <c r="E63" s="1057"/>
      <c r="F63" s="1057"/>
      <c r="G63" s="1057"/>
      <c r="H63" s="1058"/>
      <c r="I63" s="1057"/>
      <c r="J63" s="1145">
        <v>54</v>
      </c>
      <c r="K63" s="1064"/>
      <c r="M63" s="1059"/>
    </row>
    <row r="64" spans="1:13">
      <c r="A64" s="1042"/>
      <c r="B64" s="2479" t="s">
        <v>941</v>
      </c>
      <c r="D64" s="1057" t="s">
        <v>1345</v>
      </c>
      <c r="E64" s="1057"/>
      <c r="F64" s="1057"/>
      <c r="G64" s="1057"/>
      <c r="H64" s="1058"/>
      <c r="I64" s="1057"/>
      <c r="J64" s="1145">
        <v>58</v>
      </c>
      <c r="K64" s="1064"/>
      <c r="M64" s="1059"/>
    </row>
    <row r="65" spans="1:13" ht="12.9" customHeight="1">
      <c r="A65" s="1042"/>
      <c r="B65" s="1068"/>
      <c r="D65" s="1069"/>
      <c r="E65" s="1069"/>
      <c r="F65" s="1069"/>
      <c r="G65" s="1069"/>
      <c r="H65" s="1069"/>
      <c r="I65" s="1069"/>
      <c r="J65" s="1056"/>
      <c r="K65" s="1064"/>
      <c r="M65" s="1059"/>
    </row>
    <row r="66" spans="1:13" ht="12.9" customHeight="1">
      <c r="A66" s="1042"/>
      <c r="B66" s="1068"/>
      <c r="D66" s="1069"/>
      <c r="E66" s="1069"/>
      <c r="F66" s="1069"/>
      <c r="G66" s="1069"/>
      <c r="H66" s="1069"/>
      <c r="I66" s="1069"/>
      <c r="J66" s="1056"/>
      <c r="K66" s="1064"/>
      <c r="M66" s="1059"/>
    </row>
    <row r="67" spans="1:13" ht="12.9" customHeight="1">
      <c r="A67" s="1042"/>
      <c r="B67" s="1068"/>
      <c r="D67" s="1069"/>
      <c r="E67" s="1069"/>
      <c r="F67" s="1069"/>
      <c r="G67" s="1069"/>
      <c r="H67" s="1069"/>
      <c r="I67" s="1069"/>
      <c r="J67" s="1056"/>
      <c r="K67" s="1064"/>
      <c r="M67" s="1059"/>
    </row>
    <row r="68" spans="1:13" ht="12.9" customHeight="1">
      <c r="A68" s="1042"/>
      <c r="B68" s="1068"/>
      <c r="D68" s="1069"/>
      <c r="E68" s="1069"/>
      <c r="F68" s="1069"/>
      <c r="G68" s="1069"/>
      <c r="H68" s="1069"/>
      <c r="I68" s="1069"/>
      <c r="J68" s="1056"/>
      <c r="K68" s="1064"/>
      <c r="M68" s="1059"/>
    </row>
    <row r="69" spans="1:13" ht="12.9" customHeight="1">
      <c r="A69" s="1042"/>
      <c r="B69" s="1068"/>
      <c r="D69" s="1069"/>
      <c r="E69" s="1069"/>
      <c r="F69" s="1069"/>
      <c r="G69" s="1069"/>
      <c r="H69" s="1069"/>
      <c r="I69" s="1069"/>
      <c r="J69" s="1056"/>
      <c r="K69" s="1064"/>
      <c r="M69" s="1059"/>
    </row>
    <row r="70" spans="1:13" ht="12.9" customHeight="1">
      <c r="A70" s="1042"/>
      <c r="B70" s="1068"/>
      <c r="D70" s="1069"/>
      <c r="E70" s="1069"/>
      <c r="F70" s="1069"/>
      <c r="G70" s="1069"/>
      <c r="H70" s="1069"/>
      <c r="I70" s="1069"/>
      <c r="J70" s="1056"/>
      <c r="K70" s="1064"/>
      <c r="M70" s="1059"/>
    </row>
    <row r="71" spans="1:13" ht="12.9" customHeight="1">
      <c r="A71" s="1042"/>
      <c r="B71" s="1068"/>
      <c r="D71" s="1069"/>
      <c r="E71" s="1069"/>
      <c r="F71" s="1069"/>
      <c r="G71" s="1069"/>
      <c r="H71" s="1069"/>
      <c r="I71" s="1069"/>
      <c r="J71" s="1056"/>
      <c r="K71" s="1064"/>
      <c r="M71" s="1059"/>
    </row>
    <row r="72" spans="1:13" ht="12.9" customHeight="1">
      <c r="A72" s="1042"/>
      <c r="B72" s="1068"/>
      <c r="D72" s="1069"/>
      <c r="E72" s="1069"/>
      <c r="F72" s="1069"/>
      <c r="G72" s="1069"/>
      <c r="H72" s="1069"/>
      <c r="I72" s="1069"/>
      <c r="J72" s="1056"/>
      <c r="K72" s="1064"/>
      <c r="M72" s="1059"/>
    </row>
    <row r="73" spans="1:13" ht="12.9" customHeight="1">
      <c r="A73" s="1042"/>
      <c r="B73" s="1068"/>
      <c r="D73" s="1069"/>
      <c r="E73" s="1069"/>
      <c r="F73" s="1069"/>
      <c r="G73" s="1069"/>
      <c r="H73" s="1069"/>
      <c r="I73" s="1069"/>
      <c r="J73" s="1056"/>
      <c r="K73" s="1064"/>
      <c r="M73" s="1059"/>
    </row>
    <row r="74" spans="1:13" ht="12.9" customHeight="1">
      <c r="A74" s="1042"/>
      <c r="B74" s="1068"/>
      <c r="D74" s="1069"/>
      <c r="E74" s="1069"/>
      <c r="F74" s="1069"/>
      <c r="G74" s="1069"/>
      <c r="H74" s="1069"/>
      <c r="I74" s="1069"/>
      <c r="J74" s="1056"/>
      <c r="K74" s="1064"/>
      <c r="M74" s="1059"/>
    </row>
    <row r="75" spans="1:13" ht="12.9" customHeight="1">
      <c r="A75" s="1042"/>
      <c r="B75" s="1068"/>
      <c r="D75" s="1069"/>
      <c r="E75" s="1069"/>
      <c r="F75" s="1069"/>
      <c r="G75" s="1069"/>
      <c r="H75" s="1069"/>
      <c r="I75" s="1069"/>
      <c r="J75" s="1056"/>
      <c r="K75" s="1064"/>
      <c r="M75" s="1059"/>
    </row>
    <row r="76" spans="1:13" ht="12.9" customHeight="1">
      <c r="A76" s="1042"/>
      <c r="B76" s="1068"/>
      <c r="D76" s="1069"/>
      <c r="E76" s="1069"/>
      <c r="F76" s="1069"/>
      <c r="G76" s="1069"/>
      <c r="H76" s="1069"/>
      <c r="I76" s="1069"/>
      <c r="J76" s="1056"/>
      <c r="K76" s="1064"/>
      <c r="M76" s="1059"/>
    </row>
    <row r="77" spans="1:13" ht="12.9" customHeight="1">
      <c r="A77" s="1042"/>
      <c r="B77" s="1068"/>
      <c r="D77" s="1069"/>
      <c r="E77" s="1069"/>
      <c r="F77" s="1069"/>
      <c r="G77" s="1069"/>
      <c r="H77" s="1069"/>
      <c r="I77" s="1069"/>
      <c r="J77" s="1056"/>
      <c r="K77" s="1064"/>
      <c r="M77" s="1059"/>
    </row>
    <row r="78" spans="1:13" ht="12.9" customHeight="1">
      <c r="A78" s="1042"/>
      <c r="B78" s="1068"/>
      <c r="D78" s="1069"/>
      <c r="E78" s="1069"/>
      <c r="F78" s="1069"/>
      <c r="G78" s="1069"/>
      <c r="H78" s="1069"/>
      <c r="I78" s="1069"/>
      <c r="J78" s="1056"/>
      <c r="K78" s="1064"/>
      <c r="M78" s="1059"/>
    </row>
    <row r="79" spans="1:13" ht="12.9" customHeight="1">
      <c r="A79" s="1042"/>
      <c r="B79" s="1068"/>
      <c r="D79" s="1069"/>
      <c r="E79" s="1069"/>
      <c r="F79" s="1069"/>
      <c r="G79" s="1069"/>
      <c r="H79" s="1069"/>
      <c r="I79" s="1069"/>
      <c r="J79" s="1056"/>
      <c r="K79" s="1064"/>
      <c r="M79" s="1059"/>
    </row>
    <row r="80" spans="1:13" ht="12.9" customHeight="1">
      <c r="A80" s="1042"/>
      <c r="B80" s="1068"/>
      <c r="D80" s="1069"/>
      <c r="E80" s="1069"/>
      <c r="F80" s="1069"/>
      <c r="G80" s="1069"/>
      <c r="H80" s="1069"/>
      <c r="I80" s="1069"/>
      <c r="J80" s="1056"/>
      <c r="K80" s="1064"/>
      <c r="M80" s="1059"/>
    </row>
    <row r="81" spans="1:13" ht="12.9" customHeight="1">
      <c r="A81" s="1042"/>
      <c r="B81" s="1068"/>
      <c r="D81" s="1069"/>
      <c r="E81" s="1069"/>
      <c r="F81" s="1069"/>
      <c r="G81" s="1069"/>
      <c r="H81" s="1069"/>
      <c r="I81" s="1069"/>
      <c r="J81" s="1056"/>
      <c r="K81" s="1064"/>
      <c r="M81" s="1059"/>
    </row>
    <row r="82" spans="1:13" ht="12.9" customHeight="1">
      <c r="A82" s="1042"/>
      <c r="B82" s="1068"/>
      <c r="D82" s="1069"/>
      <c r="E82" s="1069"/>
      <c r="F82" s="1069"/>
      <c r="G82" s="1069"/>
      <c r="H82" s="1069"/>
      <c r="I82" s="1069"/>
      <c r="J82" s="1056"/>
      <c r="K82" s="1064"/>
      <c r="M82" s="1059"/>
    </row>
    <row r="83" spans="1:13" ht="12.9" customHeight="1">
      <c r="A83" s="1042"/>
      <c r="B83" s="1068"/>
      <c r="D83" s="1069"/>
      <c r="E83" s="1069"/>
      <c r="F83" s="1069"/>
      <c r="G83" s="1069"/>
      <c r="H83" s="1069"/>
      <c r="I83" s="1069"/>
      <c r="J83" s="1056"/>
      <c r="K83" s="1064"/>
      <c r="M83" s="1059"/>
    </row>
    <row r="84" spans="1:13" ht="12.9" customHeight="1">
      <c r="A84" s="1042"/>
      <c r="B84" s="1068"/>
      <c r="D84" s="1069"/>
      <c r="E84" s="1069"/>
      <c r="F84" s="1069"/>
      <c r="G84" s="1069"/>
      <c r="H84" s="1069"/>
      <c r="I84" s="1069"/>
      <c r="J84" s="1056"/>
      <c r="K84" s="1064"/>
      <c r="M84" s="1059"/>
    </row>
    <row r="85" spans="1:13" ht="12.9" customHeight="1">
      <c r="A85" s="1042"/>
      <c r="B85" s="1068"/>
      <c r="D85" s="1069"/>
      <c r="E85" s="1069"/>
      <c r="F85" s="1069"/>
      <c r="G85" s="1069"/>
      <c r="H85" s="1069"/>
      <c r="I85" s="1069"/>
      <c r="J85" s="1056"/>
      <c r="K85" s="1064"/>
      <c r="M85" s="1059"/>
    </row>
    <row r="86" spans="1:13" ht="12.9" customHeight="1">
      <c r="A86" s="1042"/>
      <c r="B86" s="1068"/>
      <c r="D86" s="1069"/>
      <c r="E86" s="1069"/>
      <c r="F86" s="1069"/>
      <c r="G86" s="1069"/>
      <c r="H86" s="1069"/>
      <c r="I86" s="1069"/>
      <c r="J86" s="1056"/>
      <c r="K86" s="1064"/>
      <c r="M86" s="1059"/>
    </row>
    <row r="87" spans="1:13" ht="12.9" customHeight="1">
      <c r="A87" s="1042"/>
      <c r="B87" s="1068"/>
      <c r="D87" s="1069"/>
      <c r="E87" s="1069"/>
      <c r="F87" s="1069"/>
      <c r="G87" s="1069"/>
      <c r="H87" s="1069"/>
      <c r="I87" s="1069"/>
      <c r="J87" s="1056"/>
      <c r="K87" s="1064"/>
      <c r="M87" s="1059"/>
    </row>
    <row r="88" spans="1:13" ht="12.9" customHeight="1">
      <c r="A88" s="1042"/>
      <c r="B88" s="1068"/>
      <c r="D88" s="1069"/>
      <c r="E88" s="1069"/>
      <c r="F88" s="1069"/>
      <c r="G88" s="1069"/>
      <c r="H88" s="1069"/>
      <c r="I88" s="1069"/>
      <c r="J88" s="1056"/>
      <c r="K88" s="1064"/>
      <c r="M88" s="1059"/>
    </row>
    <row r="89" spans="1:13" ht="12.9" customHeight="1">
      <c r="A89" s="1042"/>
      <c r="B89" s="1068"/>
      <c r="D89" s="1069"/>
      <c r="E89" s="1069"/>
      <c r="F89" s="1069"/>
      <c r="G89" s="1069"/>
      <c r="H89" s="1069"/>
      <c r="I89" s="1069"/>
      <c r="J89" s="1056"/>
      <c r="K89" s="1064"/>
      <c r="M89" s="1059"/>
    </row>
    <row r="90" spans="1:13" ht="12.9" customHeight="1">
      <c r="A90" s="1042"/>
      <c r="B90" s="1068"/>
      <c r="D90" s="1069"/>
      <c r="E90" s="1069"/>
      <c r="F90" s="1069"/>
      <c r="G90" s="1069"/>
      <c r="H90" s="1069"/>
      <c r="I90" s="1069"/>
      <c r="J90" s="1056"/>
      <c r="K90" s="1064"/>
      <c r="M90" s="1059"/>
    </row>
    <row r="91" spans="1:13" ht="12.9" customHeight="1">
      <c r="A91" s="1042"/>
      <c r="B91" s="1068"/>
      <c r="D91" s="1069"/>
      <c r="E91" s="1069"/>
      <c r="F91" s="1069"/>
      <c r="G91" s="1069"/>
      <c r="H91" s="1069"/>
      <c r="I91" s="1069"/>
      <c r="J91" s="1056"/>
      <c r="K91" s="1064"/>
      <c r="M91" s="1059"/>
    </row>
    <row r="92" spans="1:13" ht="12.9" customHeight="1">
      <c r="A92" s="1042"/>
      <c r="B92" s="1068"/>
      <c r="D92" s="1069"/>
      <c r="E92" s="1069"/>
      <c r="F92" s="1069"/>
      <c r="G92" s="1069"/>
      <c r="H92" s="1069"/>
      <c r="I92" s="1069"/>
      <c r="J92" s="1056"/>
      <c r="M92" s="1059"/>
    </row>
    <row r="93" spans="1:13" ht="12.9" customHeight="1">
      <c r="A93" s="1042"/>
      <c r="B93" s="1068"/>
      <c r="D93" s="1069"/>
      <c r="E93" s="1069"/>
      <c r="F93" s="1069"/>
      <c r="G93" s="1069"/>
      <c r="H93" s="1069"/>
      <c r="I93" s="1069"/>
      <c r="J93" s="1056"/>
      <c r="M93" s="1059"/>
    </row>
    <row r="94" spans="1:13" ht="12.9" customHeight="1">
      <c r="A94" s="1042"/>
      <c r="B94" s="1068"/>
      <c r="D94" s="1069"/>
      <c r="E94" s="1069"/>
      <c r="F94" s="1069"/>
      <c r="G94" s="1069"/>
      <c r="H94" s="1069"/>
      <c r="I94" s="1069"/>
      <c r="J94" s="1056"/>
      <c r="M94" s="1059"/>
    </row>
    <row r="95" spans="1:13" ht="12.9" customHeight="1">
      <c r="A95" s="1042"/>
      <c r="B95" s="1068"/>
      <c r="D95" s="1069"/>
      <c r="E95" s="1069"/>
      <c r="F95" s="1069"/>
      <c r="G95" s="1069"/>
      <c r="H95" s="1069"/>
      <c r="I95" s="1069"/>
      <c r="J95" s="1056"/>
      <c r="M95" s="1059"/>
    </row>
    <row r="96" spans="1:13" ht="12.9" customHeight="1">
      <c r="A96" s="1042"/>
      <c r="B96" s="1068"/>
      <c r="D96" s="1069"/>
      <c r="E96" s="1069"/>
      <c r="F96" s="1069"/>
      <c r="G96" s="1069"/>
      <c r="H96" s="1069"/>
      <c r="I96" s="1069"/>
      <c r="J96" s="1056"/>
      <c r="M96" s="1059"/>
    </row>
    <row r="97" spans="1:13" ht="12.9" customHeight="1">
      <c r="A97" s="1042"/>
      <c r="B97" s="1068"/>
      <c r="D97" s="1069"/>
      <c r="E97" s="1069"/>
      <c r="F97" s="1069"/>
      <c r="G97" s="1069"/>
      <c r="H97" s="1069"/>
      <c r="I97" s="1069"/>
      <c r="J97" s="1056"/>
      <c r="M97" s="1059"/>
    </row>
    <row r="98" spans="1:13" ht="12.9" customHeight="1">
      <c r="A98" s="1042"/>
      <c r="B98" s="1068"/>
      <c r="D98" s="1069"/>
      <c r="E98" s="1069"/>
      <c r="F98" s="1069"/>
      <c r="G98" s="1069"/>
      <c r="H98" s="1069"/>
      <c r="I98" s="1069"/>
      <c r="J98" s="1056"/>
      <c r="M98" s="1059"/>
    </row>
    <row r="99" spans="1:13" ht="12.9" customHeight="1">
      <c r="A99" s="1042"/>
      <c r="B99" s="1068"/>
      <c r="D99" s="1069"/>
      <c r="E99" s="1069"/>
      <c r="F99" s="1069"/>
      <c r="G99" s="1069"/>
      <c r="H99" s="1069"/>
      <c r="I99" s="1069"/>
      <c r="J99" s="1056"/>
      <c r="M99" s="1059"/>
    </row>
    <row r="100" spans="1:13" ht="12.9" customHeight="1">
      <c r="A100" s="1042"/>
      <c r="B100" s="1068"/>
      <c r="D100" s="1069"/>
      <c r="E100" s="1069"/>
      <c r="F100" s="1069"/>
      <c r="G100" s="1069"/>
      <c r="H100" s="1069"/>
      <c r="I100" s="1069"/>
      <c r="J100" s="1056"/>
      <c r="M100" s="1059"/>
    </row>
    <row r="101" spans="1:13">
      <c r="A101" s="1064"/>
      <c r="B101" s="1070"/>
      <c r="C101" s="1064"/>
      <c r="D101" s="1064"/>
      <c r="E101" s="1064"/>
      <c r="F101" s="1064"/>
      <c r="G101" s="1064"/>
      <c r="H101" s="1064"/>
      <c r="I101" s="1064"/>
      <c r="J101" s="1072"/>
    </row>
    <row r="102" spans="1:13">
      <c r="B102" s="1068"/>
      <c r="J102" s="1071"/>
    </row>
    <row r="103" spans="1:13">
      <c r="B103" s="1068"/>
      <c r="J103" s="1071"/>
    </row>
    <row r="104" spans="1:13">
      <c r="B104" s="1068"/>
    </row>
    <row r="105" spans="1:13">
      <c r="B105" s="1068"/>
    </row>
    <row r="106" spans="1:13">
      <c r="B106" s="1068"/>
    </row>
    <row r="107" spans="1:13">
      <c r="B107" s="1068"/>
    </row>
    <row r="108" spans="1:13">
      <c r="B108" s="1068"/>
    </row>
    <row r="109" spans="1:13">
      <c r="B109" s="106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28" customWidth="1"/>
    <col min="2" max="2" width="3.6328125" style="1106" customWidth="1"/>
    <col min="3" max="3" width="16.6328125" style="1106" customWidth="1"/>
    <col min="4" max="4" width="1.54296875" style="1106" customWidth="1"/>
    <col min="5" max="5" width="16.453125" style="783" customWidth="1"/>
    <col min="6" max="6" width="3.08984375" style="1732" customWidth="1"/>
    <col min="7" max="7" width="14.36328125" style="1732" customWidth="1"/>
    <col min="8" max="8" width="2.36328125" style="1732" customWidth="1"/>
    <col min="9" max="9" width="14.36328125" style="1732" customWidth="1"/>
    <col min="10" max="10" width="1.08984375" style="1732" customWidth="1"/>
    <col min="11" max="11" width="14.36328125" style="1732" customWidth="1"/>
    <col min="12" max="12" width="1.36328125" style="1732" customWidth="1"/>
    <col min="13" max="13" width="16.08984375" style="1732" customWidth="1"/>
    <col min="14" max="14" width="1.54296875" style="1106" customWidth="1"/>
    <col min="15" max="15" width="13.90625" style="1106" bestFit="1" customWidth="1"/>
    <col min="16" max="16" width="11.453125" style="1106" customWidth="1"/>
    <col min="17" max="17" width="1.90625" style="1106" customWidth="1"/>
    <col min="18" max="18" width="11.6328125" style="1106" customWidth="1"/>
    <col min="19" max="19" width="2.08984375" style="1106" customWidth="1"/>
    <col min="20" max="20" width="11.453125" style="1106" customWidth="1"/>
    <col min="21" max="21" width="0.54296875" style="1106" customWidth="1"/>
    <col min="22" max="22" width="2.36328125" style="1106" customWidth="1"/>
    <col min="23" max="23" width="10.54296875" style="1106" customWidth="1"/>
    <col min="24" max="24" width="11.08984375" style="1106" customWidth="1"/>
    <col min="25" max="25" width="2.1796875" style="1106" customWidth="1"/>
    <col min="26" max="26" width="11.08984375" style="1106" customWidth="1"/>
    <col min="27" max="27" width="2.08984375" style="1106" customWidth="1"/>
    <col min="28" max="28" width="12.453125" style="1106" customWidth="1"/>
    <col min="29" max="33" width="8.90625" style="1106"/>
    <col min="34" max="34" width="8.90625" style="1732"/>
    <col min="35" max="16384" width="8.90625" style="1728"/>
  </cols>
  <sheetData>
    <row r="1" spans="1:28">
      <c r="A1" s="1124" t="s">
        <v>1066</v>
      </c>
      <c r="B1" s="386"/>
      <c r="C1" s="386"/>
      <c r="D1" s="386"/>
      <c r="E1" s="777"/>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7"/>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0"/>
      <c r="F3" s="342"/>
      <c r="G3" s="342"/>
      <c r="H3" s="342"/>
      <c r="I3" s="342"/>
      <c r="J3" s="342"/>
      <c r="K3" s="342"/>
      <c r="L3" s="342"/>
      <c r="M3" s="1575"/>
      <c r="N3" s="342"/>
      <c r="O3" s="1575" t="s">
        <v>85</v>
      </c>
      <c r="P3" s="356"/>
      <c r="Q3" s="356"/>
      <c r="R3" s="356"/>
      <c r="S3" s="356"/>
      <c r="T3" s="356"/>
      <c r="U3" s="356"/>
      <c r="V3" s="356"/>
      <c r="W3" s="356"/>
      <c r="X3" s="356"/>
      <c r="Y3" s="356"/>
      <c r="Z3" s="356"/>
      <c r="AA3" s="356"/>
      <c r="AB3" s="392"/>
    </row>
    <row r="4" spans="1:28" ht="21.75" customHeight="1">
      <c r="A4" s="391" t="s">
        <v>84</v>
      </c>
      <c r="B4" s="356"/>
      <c r="C4" s="356"/>
      <c r="D4" s="356"/>
      <c r="E4" s="780"/>
      <c r="F4" s="342"/>
      <c r="G4" s="342"/>
      <c r="H4" s="342"/>
      <c r="I4" s="342"/>
      <c r="J4" s="342"/>
      <c r="K4" s="342"/>
      <c r="L4" s="342"/>
      <c r="M4" s="1576"/>
      <c r="N4" s="342"/>
      <c r="O4" s="1576"/>
      <c r="P4" s="356"/>
      <c r="Q4" s="356"/>
      <c r="R4" s="356"/>
      <c r="S4" s="356"/>
      <c r="T4" s="356"/>
      <c r="U4" s="356"/>
      <c r="V4" s="356"/>
      <c r="W4" s="356"/>
      <c r="X4" s="356"/>
      <c r="Y4" s="356"/>
      <c r="Z4" s="356"/>
      <c r="AA4" s="356"/>
      <c r="AB4" s="356"/>
    </row>
    <row r="5" spans="1:28" ht="21.75" customHeight="1">
      <c r="A5" s="3337" t="str">
        <f>+'Exh D-Governmental  '!A5:E5</f>
        <v>FISCAL YEAR 2017-2018</v>
      </c>
      <c r="B5" s="356"/>
      <c r="C5" s="356"/>
      <c r="D5" s="356"/>
      <c r="E5" s="780"/>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29" t="str">
        <f>+'Exh D-Governmental  '!A6</f>
        <v>FOR TEN MONTHS ENDED JANUARY 31, 2018</v>
      </c>
      <c r="B6" s="356"/>
      <c r="C6" s="356"/>
      <c r="D6" s="356"/>
      <c r="E6" s="780"/>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0"/>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0"/>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0"/>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79"/>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79"/>
      <c r="C11" s="2167"/>
      <c r="D11" s="2167"/>
      <c r="E11" s="2199"/>
      <c r="F11" s="2174"/>
      <c r="G11" s="2558" t="s">
        <v>1232</v>
      </c>
      <c r="H11" s="2999"/>
      <c r="I11" s="2558"/>
      <c r="J11" s="2999"/>
      <c r="K11" s="2999"/>
      <c r="L11" s="2174"/>
      <c r="M11" s="2174"/>
      <c r="N11" s="2177"/>
      <c r="O11" s="2166"/>
      <c r="P11" s="394"/>
      <c r="Q11" s="394"/>
      <c r="R11" s="394"/>
      <c r="S11" s="394"/>
      <c r="T11" s="394"/>
      <c r="U11" s="394"/>
      <c r="V11" s="351"/>
      <c r="W11" s="394"/>
      <c r="X11" s="395"/>
      <c r="Y11" s="394"/>
      <c r="Z11" s="394"/>
      <c r="AA11" s="394"/>
      <c r="AB11" s="394"/>
    </row>
    <row r="12" spans="1:28" ht="15.6">
      <c r="A12" s="1279"/>
      <c r="E12" s="784"/>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79"/>
      <c r="E13" s="784"/>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79"/>
      <c r="B14" s="351"/>
      <c r="C14" s="354" t="s">
        <v>1174</v>
      </c>
      <c r="D14" s="351"/>
      <c r="E14" s="353" t="s">
        <v>1175</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79"/>
      <c r="B15" s="402"/>
      <c r="C15" s="353" t="s">
        <v>1216</v>
      </c>
      <c r="D15" s="402"/>
      <c r="E15" s="353" t="s">
        <v>1216</v>
      </c>
      <c r="F15" s="352"/>
      <c r="G15" s="352"/>
      <c r="H15" s="352"/>
      <c r="I15" s="352"/>
      <c r="J15" s="352"/>
      <c r="K15" s="352"/>
      <c r="L15" s="352"/>
      <c r="M15" s="353" t="s">
        <v>1174</v>
      </c>
      <c r="N15" s="351"/>
      <c r="O15" s="353" t="s">
        <v>1175</v>
      </c>
      <c r="P15" s="401"/>
      <c r="Q15" s="351"/>
      <c r="R15" s="351"/>
      <c r="S15" s="351"/>
      <c r="T15" s="400"/>
      <c r="U15" s="401"/>
      <c r="V15" s="351"/>
      <c r="W15" s="400"/>
      <c r="X15" s="401"/>
      <c r="Y15" s="351"/>
      <c r="Z15" s="351"/>
      <c r="AA15" s="351"/>
      <c r="AB15" s="400"/>
    </row>
    <row r="16" spans="1:28" ht="15.6">
      <c r="A16" s="1279"/>
      <c r="B16" s="401"/>
      <c r="C16" s="2176" t="s">
        <v>1217</v>
      </c>
      <c r="D16" s="401"/>
      <c r="E16" s="353" t="s">
        <v>1493</v>
      </c>
      <c r="F16" s="352"/>
      <c r="G16" s="354" t="s">
        <v>86</v>
      </c>
      <c r="H16" s="354"/>
      <c r="I16" s="3002" t="s">
        <v>1374</v>
      </c>
      <c r="J16" s="354"/>
      <c r="K16" s="3002" t="s">
        <v>889</v>
      </c>
      <c r="L16" s="352"/>
      <c r="M16" s="353" t="s">
        <v>88</v>
      </c>
      <c r="N16" s="351"/>
      <c r="O16" s="2176"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20"/>
      <c r="C18" s="1720"/>
      <c r="D18" s="1720"/>
      <c r="E18" s="1189"/>
      <c r="F18" s="1189"/>
      <c r="G18" s="1189"/>
      <c r="H18" s="1189"/>
      <c r="I18" s="1189"/>
      <c r="J18" s="1189"/>
      <c r="K18" s="1189"/>
      <c r="L18" s="1189"/>
      <c r="M18" s="1189"/>
      <c r="N18" s="1720"/>
      <c r="O18" s="1720"/>
      <c r="P18" s="1720"/>
      <c r="Q18" s="1720"/>
      <c r="R18" s="1720"/>
      <c r="S18" s="1720"/>
      <c r="T18" s="1720"/>
      <c r="U18" s="1720"/>
      <c r="V18" s="1720"/>
      <c r="W18" s="1720"/>
      <c r="X18" s="1720"/>
      <c r="Y18" s="1720"/>
      <c r="Z18" s="1720"/>
      <c r="AA18" s="1720"/>
      <c r="AB18" s="1720"/>
    </row>
    <row r="19" spans="1:28">
      <c r="A19" s="1566" t="s">
        <v>89</v>
      </c>
      <c r="B19" s="1721"/>
      <c r="C19" s="1721"/>
      <c r="D19" s="1721"/>
      <c r="E19" s="1189"/>
      <c r="F19" s="1189"/>
      <c r="G19" s="1189"/>
      <c r="H19" s="1189"/>
      <c r="I19" s="1189"/>
      <c r="J19" s="1189"/>
      <c r="K19" s="1189"/>
      <c r="L19" s="1721"/>
      <c r="M19" s="1189"/>
      <c r="N19" s="1720"/>
      <c r="O19" s="2825"/>
      <c r="P19" s="1720"/>
      <c r="Q19" s="1720"/>
      <c r="R19" s="1720"/>
      <c r="S19" s="1720"/>
      <c r="T19" s="1720"/>
      <c r="U19" s="1720"/>
      <c r="V19" s="1720"/>
      <c r="W19" s="1720"/>
      <c r="X19" s="1720"/>
      <c r="Y19" s="1720"/>
      <c r="Z19" s="1720"/>
      <c r="AA19" s="1720"/>
      <c r="AB19" s="1720"/>
    </row>
    <row r="20" spans="1:28">
      <c r="A20" s="1566" t="s">
        <v>90</v>
      </c>
      <c r="B20" s="1721"/>
      <c r="C20" s="1738">
        <f>+'Exh D Special Revenue State Fed'!C20</f>
        <v>2620</v>
      </c>
      <c r="D20" s="1721"/>
      <c r="E20" s="1738">
        <f>+'Exh D Special Revenue State Fed'!E20</f>
        <v>2576</v>
      </c>
      <c r="F20" s="1192"/>
      <c r="G20" s="1738">
        <f>+'Exh D Special Revenue State Fed'!G20</f>
        <v>2575.6999999999998</v>
      </c>
      <c r="H20" s="1738"/>
      <c r="I20" s="1738">
        <v>0</v>
      </c>
      <c r="J20" s="1738"/>
      <c r="K20" s="1738">
        <f>+G20+I20</f>
        <v>2575.6999999999998</v>
      </c>
      <c r="L20" s="1192"/>
      <c r="M20" s="1190">
        <f>ROUND(SUM(K20)-SUM(C20),1)</f>
        <v>-44.3</v>
      </c>
      <c r="N20" s="1720"/>
      <c r="O20" s="1190">
        <f>ROUND(SUM(K20)-SUM(E20),1)</f>
        <v>-0.3</v>
      </c>
      <c r="P20" s="1720"/>
      <c r="Q20" s="1720"/>
      <c r="R20" s="1720"/>
      <c r="S20" s="1720"/>
      <c r="T20" s="1720"/>
      <c r="U20" s="1720"/>
      <c r="V20" s="1720"/>
      <c r="W20" s="1720"/>
      <c r="X20" s="1720"/>
      <c r="Y20" s="1720"/>
      <c r="Z20" s="1720"/>
      <c r="AA20" s="1720"/>
      <c r="AB20" s="1720"/>
    </row>
    <row r="21" spans="1:28">
      <c r="A21" s="1566" t="s">
        <v>91</v>
      </c>
      <c r="B21" s="1720"/>
      <c r="C21" s="1111">
        <f>+'Exh D Special Revenue State Fed'!C21</f>
        <v>1747</v>
      </c>
      <c r="D21" s="1720"/>
      <c r="E21" s="1111">
        <f>+'Exh D Special Revenue State Fed'!E21</f>
        <v>1726</v>
      </c>
      <c r="F21" s="1111"/>
      <c r="G21" s="1111">
        <f>+'Exh D Special Revenue State Fed'!G21</f>
        <v>1725.9</v>
      </c>
      <c r="H21" s="2800"/>
      <c r="I21" s="2800">
        <v>0</v>
      </c>
      <c r="J21" s="2800"/>
      <c r="K21" s="2800">
        <f>+G21+I21</f>
        <v>1725.9</v>
      </c>
      <c r="L21" s="1111"/>
      <c r="M21" s="2800">
        <f>ROUND(SUM(K21)-SUM(C21),1)</f>
        <v>-21.1</v>
      </c>
      <c r="N21" s="1740"/>
      <c r="O21" s="2800">
        <f>ROUND(SUM(K21)-SUM(E21),1)</f>
        <v>-0.1</v>
      </c>
      <c r="P21" s="1720"/>
      <c r="Q21" s="1720"/>
      <c r="R21" s="1720"/>
      <c r="S21" s="1720"/>
      <c r="T21" s="1720"/>
      <c r="U21" s="1720"/>
      <c r="V21" s="1720"/>
      <c r="W21" s="1720"/>
      <c r="X21" s="1720"/>
      <c r="Y21" s="1720"/>
      <c r="Z21" s="1720"/>
      <c r="AA21" s="1720"/>
      <c r="AB21" s="1720"/>
    </row>
    <row r="22" spans="1:28">
      <c r="A22" s="1566" t="s">
        <v>92</v>
      </c>
      <c r="B22" s="1721"/>
      <c r="C22" s="1111">
        <f>+'Exh D Special Revenue State Fed'!C22</f>
        <v>1164</v>
      </c>
      <c r="D22" s="1721"/>
      <c r="E22" s="1111">
        <f>+'Exh D Special Revenue State Fed'!E22</f>
        <v>1263</v>
      </c>
      <c r="F22" s="1262"/>
      <c r="G22" s="1111">
        <f>+'Exh D Special Revenue State Fed'!G22</f>
        <v>1309</v>
      </c>
      <c r="H22" s="2800"/>
      <c r="I22" s="2800">
        <v>0</v>
      </c>
      <c r="J22" s="2800"/>
      <c r="K22" s="2800">
        <f t="shared" ref="K22:K26" si="0">+G22+I22</f>
        <v>1309</v>
      </c>
      <c r="L22" s="1262"/>
      <c r="M22" s="2800">
        <f t="shared" ref="M22:M26" si="1">ROUND(SUM(K22)-SUM(C22),1)</f>
        <v>145</v>
      </c>
      <c r="N22" s="1741"/>
      <c r="O22" s="2800">
        <f t="shared" ref="O22:O26" si="2">ROUND(SUM(K22)-SUM(E22),1)</f>
        <v>46</v>
      </c>
      <c r="P22" s="1720"/>
      <c r="Q22" s="1742"/>
      <c r="R22" s="1720"/>
      <c r="S22" s="1742"/>
      <c r="T22" s="1720"/>
      <c r="U22" s="1720"/>
      <c r="V22" s="1742"/>
      <c r="W22" s="1720"/>
      <c r="X22" s="1720"/>
      <c r="Y22" s="1742"/>
      <c r="Z22" s="403"/>
      <c r="AA22" s="1742"/>
      <c r="AB22" s="1720"/>
    </row>
    <row r="23" spans="1:28">
      <c r="A23" s="1566" t="s">
        <v>93</v>
      </c>
      <c r="B23" s="1720"/>
      <c r="C23" s="1111">
        <f>+'Exh D Special Revenue State Fed'!C23</f>
        <v>1168</v>
      </c>
      <c r="D23" s="1720"/>
      <c r="E23" s="1111">
        <f>+'Exh D Special Revenue State Fed'!E23</f>
        <v>1158</v>
      </c>
      <c r="F23" s="1111"/>
      <c r="G23" s="1111">
        <f>+'Exh D Special Revenue State Fed'!G23</f>
        <v>1166.2</v>
      </c>
      <c r="H23" s="2800"/>
      <c r="I23" s="2800">
        <v>0</v>
      </c>
      <c r="J23" s="2800"/>
      <c r="K23" s="2800">
        <f t="shared" si="0"/>
        <v>1166.2</v>
      </c>
      <c r="L23" s="1111"/>
      <c r="M23" s="2800">
        <f t="shared" si="1"/>
        <v>-1.8</v>
      </c>
      <c r="N23" s="1740"/>
      <c r="O23" s="2800">
        <f t="shared" si="2"/>
        <v>8.1999999999999993</v>
      </c>
      <c r="P23" s="1720"/>
      <c r="Q23" s="1720"/>
      <c r="R23" s="1720"/>
      <c r="S23" s="1720"/>
      <c r="T23" s="1720"/>
      <c r="U23" s="1720"/>
      <c r="V23" s="1720"/>
      <c r="W23" s="1720"/>
      <c r="X23" s="1720"/>
      <c r="Y23" s="1720"/>
      <c r="Z23" s="1720"/>
      <c r="AA23" s="1720"/>
      <c r="AB23" s="1720"/>
    </row>
    <row r="24" spans="1:28" ht="15" customHeight="1">
      <c r="A24" s="1566" t="s">
        <v>20</v>
      </c>
      <c r="B24" s="1720"/>
      <c r="C24" s="1111">
        <f>+'Exh D Special Revenue State Fed'!C24+'Exh D Special Revenue State Fed'!N24</f>
        <v>13912</v>
      </c>
      <c r="D24" s="1720"/>
      <c r="E24" s="1111">
        <f>+'Exh D Special Revenue State Fed'!E24+'Exh D Special Revenue State Fed'!P24</f>
        <v>14649</v>
      </c>
      <c r="F24" s="1111"/>
      <c r="G24" s="1111">
        <f>+'Exh D Special Revenue State Fed'!G24+'Exh D Special Revenue State Fed'!R24</f>
        <v>14630.5</v>
      </c>
      <c r="H24" s="2800"/>
      <c r="I24" s="2800">
        <v>0</v>
      </c>
      <c r="J24" s="2800"/>
      <c r="K24" s="2800">
        <f t="shared" si="0"/>
        <v>14630.5</v>
      </c>
      <c r="L24" s="1111"/>
      <c r="M24" s="2800">
        <f t="shared" si="1"/>
        <v>718.5</v>
      </c>
      <c r="N24" s="1740"/>
      <c r="O24" s="2800">
        <f t="shared" si="2"/>
        <v>-18.5</v>
      </c>
      <c r="P24" s="1720"/>
      <c r="Q24" s="1720"/>
      <c r="R24" s="1720"/>
      <c r="S24" s="1720"/>
      <c r="T24" s="1720"/>
      <c r="U24" s="1720"/>
      <c r="V24" s="1720"/>
      <c r="W24" s="1720"/>
      <c r="X24" s="1720"/>
      <c r="Y24" s="1720"/>
      <c r="Z24" s="1720"/>
      <c r="AA24" s="1720"/>
      <c r="AB24" s="1720"/>
    </row>
    <row r="25" spans="1:28" ht="15" customHeight="1">
      <c r="A25" s="1566" t="s">
        <v>21</v>
      </c>
      <c r="B25" s="1720"/>
      <c r="C25" s="1111">
        <f>+'Exh D Special Revenue State Fed'!C25+'Exh D Special Revenue State Fed'!N25</f>
        <v>44563</v>
      </c>
      <c r="D25" s="1720"/>
      <c r="E25" s="1111">
        <f>+'Exh D Special Revenue State Fed'!E25+'Exh D Special Revenue State Fed'!P25</f>
        <v>45623</v>
      </c>
      <c r="F25" s="1111"/>
      <c r="G25" s="1111">
        <f>+'Exh D Special Revenue State Fed'!G25+'Exh D Special Revenue State Fed'!R25</f>
        <v>44568.5</v>
      </c>
      <c r="H25" s="2800"/>
      <c r="I25" s="2800">
        <v>0</v>
      </c>
      <c r="J25" s="2800"/>
      <c r="K25" s="2800">
        <f t="shared" si="0"/>
        <v>44568.5</v>
      </c>
      <c r="L25" s="1111"/>
      <c r="M25" s="2800">
        <f t="shared" si="1"/>
        <v>5.5</v>
      </c>
      <c r="N25" s="1740"/>
      <c r="O25" s="2800">
        <f t="shared" si="2"/>
        <v>-1054.5</v>
      </c>
      <c r="P25" s="1745"/>
      <c r="Q25" s="1720"/>
      <c r="R25" s="1745"/>
      <c r="S25" s="1720"/>
      <c r="T25" s="1745"/>
      <c r="U25" s="1746"/>
      <c r="V25" s="1720"/>
      <c r="W25" s="1720"/>
      <c r="X25" s="1720"/>
      <c r="Y25" s="1720"/>
      <c r="Z25" s="1720"/>
      <c r="AA25" s="1720"/>
      <c r="AB25" s="1720"/>
    </row>
    <row r="26" spans="1:28">
      <c r="A26" s="1566" t="s">
        <v>1499</v>
      </c>
      <c r="B26" s="1745"/>
      <c r="C26" s="1725">
        <f>+'Exh D Special Revenue State Fed'!C26+'Exh D Special Revenue State Fed'!N26</f>
        <v>7147</v>
      </c>
      <c r="D26" s="1745"/>
      <c r="E26" s="1725">
        <f>+'Exh D Special Revenue State Fed'!E26+'Exh D Special Revenue State Fed'!P26</f>
        <v>7014</v>
      </c>
      <c r="F26" s="1111"/>
      <c r="G26" s="1725">
        <f>+'Exh D Special Revenue State Fed'!G26</f>
        <v>7132</v>
      </c>
      <c r="H26" s="1741"/>
      <c r="I26" s="1725">
        <v>-436.3</v>
      </c>
      <c r="J26" s="1741"/>
      <c r="K26" s="1726">
        <f t="shared" si="0"/>
        <v>6695.7</v>
      </c>
      <c r="L26" s="1111"/>
      <c r="M26" s="1726">
        <f t="shared" si="1"/>
        <v>-451.3</v>
      </c>
      <c r="N26" s="1740"/>
      <c r="O26" s="2800">
        <f t="shared" si="2"/>
        <v>-318.3</v>
      </c>
      <c r="P26" s="1745"/>
      <c r="Q26" s="1720"/>
      <c r="R26" s="1745"/>
      <c r="S26" s="1720"/>
      <c r="T26" s="1745"/>
      <c r="U26" s="1746"/>
      <c r="V26" s="1720"/>
      <c r="W26" s="1720"/>
      <c r="X26" s="1720"/>
      <c r="Y26" s="1720"/>
      <c r="Z26" s="1720"/>
      <c r="AA26" s="1720"/>
      <c r="AB26" s="1720"/>
    </row>
    <row r="27" spans="1:28" ht="18" customHeight="1">
      <c r="A27" s="2066" t="s">
        <v>111</v>
      </c>
      <c r="B27" s="351"/>
      <c r="C27" s="1584">
        <f>ROUND(SUM(C20:C26),1)</f>
        <v>72321</v>
      </c>
      <c r="D27" s="351"/>
      <c r="E27" s="1584">
        <f>ROUND(SUM(E20:E26),1)</f>
        <v>74009</v>
      </c>
      <c r="F27" s="1719"/>
      <c r="G27" s="1584">
        <f>ROUND(SUM(G20:G26),1)</f>
        <v>73107.8</v>
      </c>
      <c r="H27" s="2801"/>
      <c r="I27" s="1584">
        <f>ROUND(SUM(I20:I26),1)</f>
        <v>-436.3</v>
      </c>
      <c r="J27" s="2801"/>
      <c r="K27" s="1584">
        <f>ROUND(SUM(K20:K26),1)</f>
        <v>72671.5</v>
      </c>
      <c r="L27" s="1719"/>
      <c r="M27" s="1584">
        <f>ROUND(SUM(M20:M26),1)</f>
        <v>350.5</v>
      </c>
      <c r="N27" s="272"/>
      <c r="O27" s="3462">
        <f>ROUND(SUM(O20:O26),1)</f>
        <v>-1337.5</v>
      </c>
      <c r="P27" s="351"/>
      <c r="Q27" s="351"/>
      <c r="R27" s="351"/>
      <c r="S27" s="351"/>
      <c r="T27" s="351"/>
      <c r="U27" s="351"/>
      <c r="V27" s="351"/>
      <c r="W27" s="351"/>
      <c r="X27" s="351"/>
      <c r="Y27" s="351"/>
      <c r="Z27" s="351"/>
      <c r="AA27" s="351"/>
      <c r="AB27" s="351"/>
    </row>
    <row r="28" spans="1:28">
      <c r="A28" s="1279"/>
      <c r="B28" s="1720"/>
      <c r="C28" s="1740"/>
      <c r="D28" s="1720"/>
      <c r="E28" s="1277"/>
      <c r="F28" s="1111"/>
      <c r="G28" s="1277"/>
      <c r="H28" s="1740"/>
      <c r="I28" s="1740"/>
      <c r="J28" s="1740"/>
      <c r="K28" s="1740"/>
      <c r="L28" s="1111"/>
      <c r="M28" s="3343"/>
      <c r="N28" s="1740"/>
      <c r="O28" s="1277"/>
      <c r="P28" s="1720"/>
      <c r="Q28" s="1720"/>
      <c r="R28" s="1720"/>
      <c r="S28" s="1720"/>
      <c r="T28" s="1720"/>
      <c r="U28" s="1720"/>
      <c r="V28" s="1720"/>
      <c r="W28" s="1720"/>
      <c r="X28" s="1720"/>
      <c r="Y28" s="1720"/>
      <c r="Z28" s="1720"/>
      <c r="AA28" s="1720"/>
      <c r="AB28" s="1720"/>
    </row>
    <row r="29" spans="1:28" ht="15.6">
      <c r="A29" s="221" t="s">
        <v>23</v>
      </c>
      <c r="B29" s="1720"/>
      <c r="C29" s="1740"/>
      <c r="D29" s="1720"/>
      <c r="E29" s="1111"/>
      <c r="F29" s="1111"/>
      <c r="G29" s="1111"/>
      <c r="H29" s="2800"/>
      <c r="I29" s="2800"/>
      <c r="J29" s="2800"/>
      <c r="K29" s="2800"/>
      <c r="L29" s="1111"/>
      <c r="M29" s="2800"/>
      <c r="N29" s="1740"/>
      <c r="O29" s="2827"/>
      <c r="P29" s="1720"/>
      <c r="Q29" s="1720"/>
      <c r="R29" s="1720"/>
      <c r="S29" s="1720"/>
      <c r="T29" s="1720"/>
      <c r="U29" s="1720"/>
      <c r="V29" s="1720"/>
      <c r="W29" s="1720"/>
      <c r="X29" s="1720"/>
      <c r="Y29" s="1720"/>
      <c r="Z29" s="1720"/>
      <c r="AA29" s="1720"/>
      <c r="AB29" s="1720"/>
    </row>
    <row r="30" spans="1:28">
      <c r="A30" s="1566" t="s">
        <v>95</v>
      </c>
      <c r="B30" s="1742"/>
      <c r="C30" s="1262">
        <f>+'Exh D Special Revenue State Fed'!C30+'Exh D Special Revenue State Fed'!N30</f>
        <v>59055</v>
      </c>
      <c r="D30" s="1742"/>
      <c r="E30" s="1262">
        <f>+'Exh D Special Revenue State Fed'!E30+'Exh D Special Revenue State Fed'!P30</f>
        <v>59808</v>
      </c>
      <c r="F30" s="1111"/>
      <c r="G30" s="1262">
        <f>+'Exh D Special Revenue State Fed'!G30+'Exh D Special Revenue State Fed'!R30</f>
        <v>59161.2</v>
      </c>
      <c r="H30" s="1262"/>
      <c r="I30" s="1262">
        <v>0</v>
      </c>
      <c r="J30" s="1262"/>
      <c r="K30" s="2800">
        <f t="shared" ref="K30:K33" si="3">+G30+I30</f>
        <v>59161.2</v>
      </c>
      <c r="L30" s="1111"/>
      <c r="M30" s="2800">
        <f t="shared" ref="M30:M34" si="4">ROUND(SUM(K30)-SUM(C30),1)</f>
        <v>106.2</v>
      </c>
      <c r="N30" s="1740"/>
      <c r="O30" s="2800">
        <f>ROUND(SUM(K30)-SUM(E30),1)</f>
        <v>-646.79999999999995</v>
      </c>
      <c r="P30" s="1745"/>
      <c r="Q30" s="1720"/>
      <c r="R30" s="1745"/>
      <c r="S30" s="1720"/>
      <c r="T30" s="1745"/>
      <c r="U30" s="1746"/>
      <c r="V30" s="1720"/>
      <c r="W30" s="1720"/>
      <c r="X30" s="1720"/>
      <c r="Y30" s="1720"/>
      <c r="Z30" s="1720"/>
      <c r="AA30" s="1720"/>
      <c r="AB30" s="1720"/>
    </row>
    <row r="31" spans="1:28">
      <c r="A31" s="1566" t="s">
        <v>96</v>
      </c>
      <c r="B31" s="1742"/>
      <c r="C31" s="1262">
        <f>+'Exh D Special Revenue State Fed'!C31+'Exh D Special Revenue State Fed'!N31</f>
        <v>10227</v>
      </c>
      <c r="D31" s="1742"/>
      <c r="E31" s="1262">
        <f>+'Exh D Special Revenue State Fed'!E31+'Exh D Special Revenue State Fed'!P31</f>
        <v>10361</v>
      </c>
      <c r="F31" s="1111"/>
      <c r="G31" s="1262">
        <f>+'Exh D Special Revenue State Fed'!G31+'Exh D Special Revenue State Fed'!R31</f>
        <v>10394.200000000001</v>
      </c>
      <c r="H31" s="1262"/>
      <c r="I31" s="1262">
        <v>0</v>
      </c>
      <c r="J31" s="1262"/>
      <c r="K31" s="2800">
        <f t="shared" si="3"/>
        <v>10394.200000000001</v>
      </c>
      <c r="L31" s="1111"/>
      <c r="M31" s="2800">
        <f t="shared" si="4"/>
        <v>167.2</v>
      </c>
      <c r="N31" s="1740"/>
      <c r="O31" s="2800">
        <f t="shared" ref="O31:O34" si="5">ROUND(SUM(K31)-SUM(E31),1)</f>
        <v>33.200000000000003</v>
      </c>
      <c r="P31" s="1742"/>
      <c r="Q31" s="1720"/>
      <c r="R31" s="1742"/>
      <c r="S31" s="1720"/>
      <c r="T31" s="1745"/>
      <c r="U31" s="1720"/>
      <c r="V31" s="1720"/>
      <c r="W31" s="1745"/>
      <c r="X31" s="1745"/>
      <c r="Y31" s="1720"/>
      <c r="Z31" s="1745"/>
      <c r="AA31" s="1720"/>
      <c r="AB31" s="1745"/>
    </row>
    <row r="32" spans="1:28">
      <c r="A32" s="1566" t="s">
        <v>71</v>
      </c>
      <c r="B32" s="1742"/>
      <c r="C32" s="1262">
        <f>+'Exh D Special Revenue State Fed'!C32+'Exh D Special Revenue State Fed'!N32</f>
        <v>2050</v>
      </c>
      <c r="D32" s="1742"/>
      <c r="E32" s="1272">
        <f>+'Exh D Special Revenue State Fed'!E32+'Exh D Special Revenue State Fed'!P32</f>
        <v>2047</v>
      </c>
      <c r="F32" s="1111"/>
      <c r="G32" s="1262">
        <f>+'Exh D Special Revenue State Fed'!G32+'Exh D Special Revenue State Fed'!R32</f>
        <v>2215.6999999999998</v>
      </c>
      <c r="H32" s="1262"/>
      <c r="I32" s="1262">
        <v>0</v>
      </c>
      <c r="J32" s="1262"/>
      <c r="K32" s="2800">
        <f t="shared" si="3"/>
        <v>2215.6999999999998</v>
      </c>
      <c r="L32" s="1111"/>
      <c r="M32" s="2800">
        <f t="shared" si="4"/>
        <v>165.7</v>
      </c>
      <c r="N32" s="1740"/>
      <c r="O32" s="2800">
        <f t="shared" si="5"/>
        <v>168.7</v>
      </c>
      <c r="P32" s="1745"/>
      <c r="Q32" s="1720"/>
      <c r="R32" s="1745"/>
      <c r="S32" s="1720"/>
      <c r="T32" s="1745"/>
      <c r="U32" s="1746"/>
      <c r="V32" s="1720"/>
      <c r="W32" s="1745"/>
      <c r="X32" s="1745"/>
      <c r="Y32" s="1720"/>
      <c r="Z32" s="1745"/>
      <c r="AA32" s="1720"/>
      <c r="AB32" s="1745"/>
    </row>
    <row r="33" spans="1:28">
      <c r="A33" s="1566" t="s">
        <v>42</v>
      </c>
      <c r="B33" s="1742"/>
      <c r="C33" s="1275">
        <f>+'Exh D Special Revenue State Fed'!C33+'Exh D Special Revenue State Fed'!N33</f>
        <v>0</v>
      </c>
      <c r="D33" s="1742"/>
      <c r="E33" s="1275">
        <f>+'Exh D Special Revenue State Fed'!E33+'Exh D Special Revenue State Fed'!P33</f>
        <v>0</v>
      </c>
      <c r="F33" s="1111"/>
      <c r="G33" s="1275">
        <f>+'Exh D Special Revenue State Fed'!G33+'Exh D Special Revenue State Fed'!R33</f>
        <v>0</v>
      </c>
      <c r="H33" s="1275"/>
      <c r="I33" s="1275">
        <v>0</v>
      </c>
      <c r="J33" s="1275"/>
      <c r="K33" s="2800">
        <f t="shared" si="3"/>
        <v>0</v>
      </c>
      <c r="L33" s="1111"/>
      <c r="M33" s="2800">
        <f t="shared" si="4"/>
        <v>0</v>
      </c>
      <c r="N33" s="1740"/>
      <c r="O33" s="2800">
        <f t="shared" si="5"/>
        <v>0</v>
      </c>
      <c r="P33" s="1745"/>
      <c r="Q33" s="1720"/>
      <c r="R33" s="1745"/>
      <c r="S33" s="1720"/>
      <c r="T33" s="1745"/>
      <c r="U33" s="1746"/>
      <c r="V33" s="1720"/>
      <c r="W33" s="1720"/>
      <c r="X33" s="1720"/>
      <c r="Y33" s="1720"/>
      <c r="Z33" s="1720"/>
      <c r="AA33" s="1720"/>
      <c r="AB33" s="1720"/>
    </row>
    <row r="34" spans="1:28">
      <c r="A34" s="1566" t="s">
        <v>1500</v>
      </c>
      <c r="B34" s="1742"/>
      <c r="C34" s="1262">
        <f>+'Exh D Special Revenue State Fed'!C34+'Exh D Special Revenue State Fed'!N34</f>
        <v>1985</v>
      </c>
      <c r="D34" s="1742"/>
      <c r="E34" s="1262">
        <f>+'Exh D Special Revenue State Fed'!E34+'Exh D Special Revenue State Fed'!P34</f>
        <v>2250</v>
      </c>
      <c r="F34" s="1111"/>
      <c r="G34" s="1262">
        <f>+'Exh D Special Revenue State Fed'!G34+'Exh D Special Revenue State Fed'!R34</f>
        <v>2216.8000000000002</v>
      </c>
      <c r="H34" s="1262"/>
      <c r="I34" s="1262">
        <v>-436.3</v>
      </c>
      <c r="J34" s="1262"/>
      <c r="K34" s="2800">
        <f>+G34+I34</f>
        <v>1780.5000000000002</v>
      </c>
      <c r="L34" s="1111"/>
      <c r="M34" s="2800">
        <f t="shared" si="4"/>
        <v>-204.5</v>
      </c>
      <c r="N34" s="1740"/>
      <c r="O34" s="2800">
        <f t="shared" si="5"/>
        <v>-469.5</v>
      </c>
      <c r="P34" s="1745"/>
      <c r="Q34" s="1720"/>
      <c r="R34" s="1745"/>
      <c r="S34" s="1720"/>
      <c r="T34" s="1745"/>
      <c r="U34" s="1746"/>
      <c r="V34" s="1720"/>
      <c r="W34" s="1720"/>
      <c r="X34" s="1720"/>
      <c r="Y34" s="1720"/>
      <c r="Z34" s="1720"/>
      <c r="AA34" s="1720"/>
      <c r="AB34" s="1720"/>
    </row>
    <row r="35" spans="1:28" ht="18" customHeight="1">
      <c r="A35" s="2820" t="s">
        <v>120</v>
      </c>
      <c r="B35" s="351"/>
      <c r="C35" s="540">
        <f>ROUND(SUM(C30:C34),1)</f>
        <v>73317</v>
      </c>
      <c r="D35" s="351"/>
      <c r="E35" s="417">
        <f>ROUND(SUM(E30:E34),1)</f>
        <v>74466</v>
      </c>
      <c r="F35" s="1719"/>
      <c r="G35" s="417">
        <f>ROUND(SUM(G30:G34),1)</f>
        <v>73987.899999999994</v>
      </c>
      <c r="H35" s="2801"/>
      <c r="I35" s="2821">
        <f>ROUND(SUM(I30:I34),1)</f>
        <v>-436.3</v>
      </c>
      <c r="J35" s="2801"/>
      <c r="K35" s="2821">
        <f>ROUND(SUM(K30:K34),1)</f>
        <v>73551.600000000006</v>
      </c>
      <c r="L35" s="1719"/>
      <c r="M35" s="3344">
        <f>ROUND(SUM(M30:M34),1)</f>
        <v>234.6</v>
      </c>
      <c r="N35" s="272"/>
      <c r="O35" s="2829">
        <f>ROUND(SUM(O30:O34),1)</f>
        <v>-914.4</v>
      </c>
      <c r="P35" s="351"/>
      <c r="Q35" s="351"/>
      <c r="R35" s="351"/>
      <c r="S35" s="351"/>
      <c r="T35" s="351"/>
      <c r="U35" s="351"/>
      <c r="V35" s="351"/>
      <c r="W35" s="351"/>
      <c r="X35" s="351"/>
      <c r="Y35" s="351"/>
      <c r="Z35" s="351"/>
      <c r="AA35" s="351"/>
      <c r="AB35" s="351"/>
    </row>
    <row r="36" spans="1:28">
      <c r="A36" s="1279"/>
      <c r="B36" s="1720"/>
      <c r="C36" s="1740"/>
      <c r="D36" s="1720"/>
      <c r="E36" s="1277"/>
      <c r="F36" s="1111"/>
      <c r="G36" s="1277"/>
      <c r="H36" s="1740"/>
      <c r="I36" s="1740"/>
      <c r="J36" s="1740"/>
      <c r="K36" s="1740"/>
      <c r="L36" s="1111"/>
      <c r="M36" s="3343"/>
      <c r="N36" s="1740"/>
      <c r="O36" s="2828"/>
      <c r="P36" s="1720"/>
      <c r="Q36" s="1720"/>
      <c r="R36" s="1720"/>
      <c r="S36" s="1720"/>
      <c r="T36" s="1720"/>
      <c r="U36" s="1720"/>
      <c r="V36" s="1720"/>
      <c r="W36" s="1720"/>
      <c r="X36" s="1720"/>
      <c r="Y36" s="1720"/>
      <c r="Z36" s="1720"/>
      <c r="AA36" s="1720"/>
      <c r="AB36" s="1720"/>
    </row>
    <row r="37" spans="1:28" ht="15.6">
      <c r="A37" s="221" t="s">
        <v>121</v>
      </c>
      <c r="B37" s="1720"/>
      <c r="C37" s="1740"/>
      <c r="D37" s="1720"/>
      <c r="E37" s="1111"/>
      <c r="F37" s="1111"/>
      <c r="G37" s="1111"/>
      <c r="H37" s="2800"/>
      <c r="I37" s="2800"/>
      <c r="J37" s="2800"/>
      <c r="K37" s="2800"/>
      <c r="L37" s="1111"/>
      <c r="M37" s="2800"/>
      <c r="N37" s="1740"/>
      <c r="O37" s="2827"/>
      <c r="P37" s="1720"/>
      <c r="Q37" s="1720"/>
      <c r="R37" s="1720"/>
      <c r="S37" s="1720"/>
      <c r="T37" s="1720"/>
      <c r="U37" s="1720"/>
      <c r="V37" s="1720"/>
      <c r="W37" s="1720"/>
      <c r="X37" s="1720"/>
      <c r="Y37" s="1720"/>
      <c r="Z37" s="1720"/>
      <c r="AA37" s="1720"/>
      <c r="AB37" s="1720"/>
    </row>
    <row r="38" spans="1:28" ht="15.6">
      <c r="A38" s="221" t="s">
        <v>122</v>
      </c>
      <c r="B38" s="1720"/>
      <c r="C38" s="1740"/>
      <c r="D38" s="1720"/>
      <c r="E38" s="1111"/>
      <c r="F38" s="1111"/>
      <c r="G38" s="1111"/>
      <c r="H38" s="2800"/>
      <c r="I38" s="2800"/>
      <c r="J38" s="2800"/>
      <c r="K38" s="2800"/>
      <c r="L38" s="1111"/>
      <c r="M38" s="2800"/>
      <c r="N38" s="1740"/>
      <c r="O38" s="2827"/>
      <c r="P38" s="1720"/>
      <c r="Q38" s="1720"/>
      <c r="R38" s="1720"/>
      <c r="S38" s="1720"/>
      <c r="T38" s="1720"/>
      <c r="U38" s="1720"/>
      <c r="V38" s="1720"/>
      <c r="W38" s="1720"/>
      <c r="X38" s="1720"/>
      <c r="Y38" s="1720"/>
      <c r="Z38" s="1720"/>
      <c r="AA38" s="1720"/>
      <c r="AB38" s="1720"/>
    </row>
    <row r="39" spans="1:28" ht="15.6">
      <c r="A39" s="2066" t="s">
        <v>104</v>
      </c>
      <c r="B39" s="375"/>
      <c r="C39" s="272">
        <f>ROUND(SUM(C27)-SUM(C35),1)</f>
        <v>-996</v>
      </c>
      <c r="D39" s="375"/>
      <c r="E39" s="272">
        <f>ROUND(SUM(E27)-SUM(E35),1)</f>
        <v>-457</v>
      </c>
      <c r="F39" s="282"/>
      <c r="G39" s="272">
        <f>ROUND(SUM(G27)-SUM(G35),1)</f>
        <v>-880.1</v>
      </c>
      <c r="H39" s="2801"/>
      <c r="I39" s="2801">
        <v>0</v>
      </c>
      <c r="J39" s="2801"/>
      <c r="K39" s="2801">
        <f>+G39+I39</f>
        <v>-880.1</v>
      </c>
      <c r="L39" s="282"/>
      <c r="M39" s="2801">
        <f>ROUND(SUM(M27)-SUM(M35),1)</f>
        <v>115.9</v>
      </c>
      <c r="N39" s="735"/>
      <c r="O39" s="2830">
        <f>ROUND(SUM(O27)-SUM(O35),1)</f>
        <v>-423.1</v>
      </c>
      <c r="P39" s="351"/>
      <c r="Q39" s="374"/>
      <c r="R39" s="351"/>
      <c r="S39" s="374"/>
      <c r="T39" s="351"/>
      <c r="U39" s="351"/>
      <c r="V39" s="374"/>
      <c r="W39" s="351"/>
      <c r="X39" s="351"/>
      <c r="Y39" s="374"/>
      <c r="Z39" s="351"/>
      <c r="AA39" s="374"/>
      <c r="AB39" s="351"/>
    </row>
    <row r="40" spans="1:28" ht="15" customHeight="1">
      <c r="C40" s="1205"/>
      <c r="E40" s="1205"/>
      <c r="F40" s="1729"/>
      <c r="G40" s="1205"/>
      <c r="H40" s="1205"/>
      <c r="I40" s="1205"/>
      <c r="J40" s="1205"/>
      <c r="K40" s="1205"/>
      <c r="L40" s="1729"/>
      <c r="M40" s="1205"/>
      <c r="N40" s="1205"/>
      <c r="O40" s="2831"/>
    </row>
    <row r="41" spans="1:28" ht="15.6">
      <c r="A41" s="2066" t="str">
        <f>+'Exh D-Governmental  '!A49</f>
        <v>Fund Balances (Deficits) at April 1</v>
      </c>
      <c r="C41" s="272">
        <v>4272</v>
      </c>
      <c r="E41" s="272">
        <v>4272</v>
      </c>
      <c r="F41" s="1729"/>
      <c r="G41" s="2801">
        <v>4272.2</v>
      </c>
      <c r="H41" s="2801"/>
      <c r="I41" s="2801">
        <v>0</v>
      </c>
      <c r="J41" s="2801"/>
      <c r="K41" s="2801">
        <f>+G41+I41</f>
        <v>4272.2</v>
      </c>
      <c r="L41" s="1729"/>
      <c r="M41" s="1584">
        <f t="shared" ref="M41" si="6">ROUND(SUM(K41)-SUM(C41),1)</f>
        <v>0.2</v>
      </c>
      <c r="N41" s="1205"/>
      <c r="O41" s="1584">
        <f>ROUND(SUM(K41)-SUM(E41),1)</f>
        <v>0.2</v>
      </c>
    </row>
    <row r="42" spans="1:28" ht="18" customHeight="1" thickBot="1">
      <c r="A42" s="2420" t="str">
        <f>+'Exh D-Governmental  '!A50</f>
        <v>Fund Balances (Deficits) at January 31, 2018</v>
      </c>
      <c r="B42" s="375"/>
      <c r="C42" s="296">
        <f>ROUND(SUM(C39:C41),1)</f>
        <v>3276</v>
      </c>
      <c r="D42" s="375"/>
      <c r="E42" s="296">
        <f>ROUND(SUM(E39:E41),1)</f>
        <v>3815</v>
      </c>
      <c r="F42" s="381"/>
      <c r="G42" s="296">
        <f>ROUND(SUM(G39:G41),1)</f>
        <v>3392.1</v>
      </c>
      <c r="H42" s="421"/>
      <c r="I42" s="296">
        <f>ROUND(SUM(I27,-I35),1)</f>
        <v>0</v>
      </c>
      <c r="J42" s="421"/>
      <c r="K42" s="296">
        <f>ROUND(SUM(K39:K41),1)</f>
        <v>3392.1</v>
      </c>
      <c r="L42" s="381"/>
      <c r="M42" s="3341">
        <f>ROUND(SUM(M39:M41),1)</f>
        <v>116.1</v>
      </c>
      <c r="O42" s="2832">
        <f>ROUND(SUM(O39:O41),1)</f>
        <v>-422.9</v>
      </c>
    </row>
    <row r="43" spans="1:28" ht="15" customHeight="1" thickTop="1">
      <c r="A43" s="355"/>
      <c r="E43" s="1278"/>
      <c r="F43" s="1748"/>
      <c r="G43" s="1748"/>
      <c r="H43" s="1748"/>
      <c r="I43" s="1748"/>
      <c r="J43" s="1748"/>
      <c r="K43" s="1748"/>
      <c r="L43" s="1748"/>
      <c r="M43" s="1748"/>
      <c r="O43" s="2826"/>
    </row>
    <row r="44" spans="1:28">
      <c r="A44" s="1733" t="str">
        <f>'Exh D-Governmental  '!A52</f>
        <v>(*)     Source:  2017-18 Enacted Financial Plan dated May 26, 2017.</v>
      </c>
    </row>
    <row r="45" spans="1:28">
      <c r="A45" s="1733" t="str">
        <f>'Exh D-Governmental  '!A53</f>
        <v>(**)    Source: 2018-19 Executive Budget dated January 17, 2018.</v>
      </c>
    </row>
    <row r="46" spans="1:28">
      <c r="A46" s="2675" t="s">
        <v>1502</v>
      </c>
    </row>
    <row r="47" spans="1:28">
      <c r="A47" s="2675"/>
    </row>
    <row r="48" spans="1:28">
      <c r="A48" s="1749"/>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28" customWidth="1"/>
    <col min="2" max="2" width="0.81640625" style="1106" customWidth="1"/>
    <col min="3" max="3" width="15.81640625" style="783" customWidth="1"/>
    <col min="4" max="4" width="0.81640625" style="1732" customWidth="1"/>
    <col min="5" max="5" width="15.81640625" style="783" customWidth="1"/>
    <col min="6" max="6" width="0.81640625" style="1732" customWidth="1"/>
    <col min="7" max="7" width="15.81640625" style="1732" customWidth="1"/>
    <col min="8" max="8" width="0.6328125" style="1732" customWidth="1"/>
    <col min="9" max="9" width="15.81640625" style="1732" customWidth="1"/>
    <col min="10" max="10" width="0.81640625" style="1732" customWidth="1"/>
    <col min="11" max="11" width="15.81640625" style="1732" customWidth="1"/>
    <col min="12" max="12" width="1.6328125" style="1106" customWidth="1"/>
    <col min="13" max="13" width="0.6328125" style="1106" customWidth="1"/>
    <col min="14" max="14" width="15.81640625" style="1106" customWidth="1"/>
    <col min="15" max="15" width="1.36328125" style="1106" customWidth="1"/>
    <col min="16" max="16" width="15.81640625" style="1106" customWidth="1"/>
    <col min="17" max="17" width="1.36328125" style="1106" customWidth="1"/>
    <col min="18" max="18" width="15.81640625" style="1106" customWidth="1"/>
    <col min="19" max="19" width="0.54296875" style="1106" customWidth="1"/>
    <col min="20" max="20" width="15.81640625" style="1106" customWidth="1"/>
    <col min="21" max="21" width="1.36328125" style="1106" customWidth="1"/>
    <col min="22" max="22" width="15.81640625" style="783" customWidth="1"/>
    <col min="23" max="23" width="1" style="1106" customWidth="1"/>
    <col min="24" max="24" width="3.6328125" style="783" customWidth="1"/>
    <col min="25" max="25" width="1" style="1106" customWidth="1"/>
    <col min="26" max="26" width="15.81640625" style="1106" customWidth="1"/>
    <col min="27" max="27" width="0.81640625" style="1106" customWidth="1"/>
    <col min="28" max="28" width="15.81640625" style="1106" customWidth="1"/>
    <col min="29" max="29" width="0.36328125" style="1106" customWidth="1"/>
    <col min="30" max="30" width="11.90625" style="1106" customWidth="1"/>
    <col min="31" max="31" width="11.453125" style="1106" customWidth="1"/>
    <col min="32" max="32" width="1.90625" style="1106" customWidth="1"/>
    <col min="33" max="33" width="11.6328125" style="1106" customWidth="1"/>
    <col min="34" max="34" width="2.08984375" style="1106" customWidth="1"/>
    <col min="35" max="35" width="11.453125" style="1106" customWidth="1"/>
    <col min="36" max="36" width="0.54296875" style="1106" customWidth="1"/>
    <col min="37" max="37" width="2.36328125" style="1106" customWidth="1"/>
    <col min="38" max="38" width="10.54296875" style="1106" customWidth="1"/>
    <col min="39" max="39" width="11.08984375" style="1106" customWidth="1"/>
    <col min="40" max="40" width="2.1796875" style="1106" customWidth="1"/>
    <col min="41" max="41" width="11.08984375" style="1106" customWidth="1"/>
    <col min="42" max="42" width="2.08984375" style="1106" customWidth="1"/>
    <col min="43" max="43" width="12.453125" style="1106" customWidth="1"/>
    <col min="44" max="48" width="8.90625" style="1106"/>
    <col min="49" max="49" width="8.90625" style="1732"/>
    <col min="50" max="16384" width="8.90625" style="1728"/>
  </cols>
  <sheetData>
    <row r="1" spans="1:49">
      <c r="A1" s="1734" t="s">
        <v>1066</v>
      </c>
      <c r="B1" s="386"/>
      <c r="C1" s="777"/>
      <c r="D1" s="387"/>
      <c r="E1" s="777"/>
      <c r="F1" s="387"/>
      <c r="G1" s="387"/>
      <c r="H1" s="387"/>
      <c r="I1" s="387"/>
      <c r="J1" s="387"/>
      <c r="K1" s="387"/>
      <c r="L1" s="386"/>
      <c r="M1" s="386"/>
      <c r="N1" s="386"/>
      <c r="O1" s="386"/>
      <c r="P1" s="386"/>
      <c r="Q1" s="386"/>
      <c r="R1" s="386"/>
      <c r="S1" s="386"/>
      <c r="T1" s="386"/>
      <c r="U1" s="386"/>
      <c r="V1" s="2178"/>
      <c r="W1" s="386"/>
      <c r="X1" s="2178"/>
      <c r="Y1" s="386"/>
      <c r="Z1" s="386"/>
      <c r="AA1" s="386"/>
      <c r="AB1" s="386"/>
      <c r="AC1" s="387"/>
      <c r="AD1" s="386"/>
      <c r="AE1" s="386"/>
      <c r="AF1" s="386"/>
      <c r="AG1" s="386"/>
      <c r="AH1" s="386"/>
      <c r="AI1" s="386"/>
      <c r="AJ1" s="386"/>
      <c r="AK1" s="386"/>
      <c r="AL1" s="386"/>
      <c r="AM1" s="386"/>
      <c r="AN1" s="386"/>
      <c r="AO1" s="386"/>
      <c r="AP1" s="386"/>
      <c r="AQ1" s="386"/>
      <c r="AR1" s="1728"/>
      <c r="AS1" s="1728"/>
      <c r="AT1" s="1728"/>
      <c r="AU1" s="1728"/>
      <c r="AV1" s="1728"/>
      <c r="AW1" s="1728"/>
    </row>
    <row r="2" spans="1:49" ht="17.25" customHeight="1">
      <c r="A2" s="388"/>
      <c r="B2" s="389"/>
      <c r="C2" s="778"/>
      <c r="D2" s="387"/>
      <c r="E2" s="778"/>
      <c r="F2" s="387"/>
      <c r="G2" s="387"/>
      <c r="H2" s="387"/>
      <c r="I2" s="387"/>
      <c r="J2" s="387"/>
      <c r="K2" s="387"/>
      <c r="L2" s="386"/>
      <c r="M2" s="386"/>
      <c r="N2" s="386"/>
      <c r="O2" s="386"/>
      <c r="P2" s="386"/>
      <c r="Q2" s="386"/>
      <c r="R2" s="386"/>
      <c r="S2" s="386"/>
      <c r="T2" s="386"/>
      <c r="U2" s="386"/>
      <c r="V2" s="2178"/>
      <c r="W2" s="386"/>
      <c r="X2" s="2178"/>
      <c r="Y2" s="386"/>
      <c r="Z2" s="2179"/>
      <c r="AA2" s="386"/>
      <c r="AB2" s="386"/>
      <c r="AC2" s="387"/>
      <c r="AD2" s="386"/>
      <c r="AE2" s="386"/>
      <c r="AF2" s="386"/>
      <c r="AG2" s="386"/>
      <c r="AH2" s="386"/>
      <c r="AI2" s="386"/>
      <c r="AJ2" s="386"/>
      <c r="AK2" s="386"/>
      <c r="AL2" s="386"/>
      <c r="AM2" s="386"/>
      <c r="AN2" s="386"/>
      <c r="AO2" s="386"/>
      <c r="AP2" s="386"/>
      <c r="AQ2" s="386"/>
      <c r="AR2" s="1728"/>
      <c r="AS2" s="1728"/>
      <c r="AT2" s="1728"/>
      <c r="AU2" s="1728"/>
      <c r="AV2" s="1728"/>
      <c r="AW2" s="1728"/>
    </row>
    <row r="3" spans="1:49" ht="21" customHeight="1">
      <c r="A3" s="391" t="s">
        <v>0</v>
      </c>
      <c r="B3" s="348"/>
      <c r="C3" s="779"/>
      <c r="D3" s="342"/>
      <c r="E3" s="779"/>
      <c r="F3" s="342"/>
      <c r="G3" s="342"/>
      <c r="H3" s="342"/>
      <c r="I3" s="342"/>
      <c r="J3" s="342"/>
      <c r="K3" s="342"/>
      <c r="L3" s="356"/>
      <c r="M3" s="356"/>
      <c r="N3" s="356"/>
      <c r="O3" s="356"/>
      <c r="P3" s="356"/>
      <c r="Q3" s="356"/>
      <c r="R3" s="356"/>
      <c r="S3" s="356"/>
      <c r="T3" s="1575"/>
      <c r="U3" s="356"/>
      <c r="V3" s="1575" t="s">
        <v>85</v>
      </c>
      <c r="W3" s="356"/>
      <c r="X3" s="2180"/>
      <c r="Y3" s="356"/>
      <c r="Z3" s="356"/>
      <c r="AA3" s="356"/>
      <c r="AB3" s="2181"/>
      <c r="AC3" s="342"/>
      <c r="AD3" s="356"/>
      <c r="AE3" s="356"/>
      <c r="AF3" s="356"/>
      <c r="AG3" s="356"/>
      <c r="AH3" s="356"/>
      <c r="AI3" s="356"/>
      <c r="AJ3" s="356"/>
      <c r="AK3" s="356"/>
      <c r="AL3" s="356"/>
      <c r="AM3" s="356"/>
      <c r="AN3" s="356"/>
      <c r="AO3" s="356"/>
      <c r="AP3" s="356"/>
      <c r="AQ3" s="392"/>
      <c r="AR3" s="1728"/>
      <c r="AS3" s="1728"/>
      <c r="AT3" s="1728"/>
      <c r="AU3" s="1728"/>
      <c r="AV3" s="1728"/>
      <c r="AW3" s="1728"/>
    </row>
    <row r="4" spans="1:49" ht="21.75" customHeight="1">
      <c r="A4" s="391" t="s">
        <v>84</v>
      </c>
      <c r="B4" s="348"/>
      <c r="C4" s="779"/>
      <c r="D4" s="342"/>
      <c r="E4" s="779"/>
      <c r="F4" s="342"/>
      <c r="G4" s="342"/>
      <c r="H4" s="342"/>
      <c r="I4" s="342"/>
      <c r="J4" s="342"/>
      <c r="K4" s="342"/>
      <c r="L4" s="356"/>
      <c r="M4" s="356"/>
      <c r="N4" s="356"/>
      <c r="O4" s="356"/>
      <c r="P4" s="356"/>
      <c r="Q4" s="356"/>
      <c r="R4" s="356"/>
      <c r="S4" s="356"/>
      <c r="T4" s="1576"/>
      <c r="U4" s="356"/>
      <c r="V4" s="1576"/>
      <c r="W4" s="356"/>
      <c r="X4" s="2180"/>
      <c r="Y4" s="356"/>
      <c r="Z4" s="356"/>
      <c r="AA4" s="356"/>
      <c r="AB4" s="2182"/>
      <c r="AC4" s="342"/>
      <c r="AD4" s="356"/>
      <c r="AE4" s="356"/>
      <c r="AF4" s="356"/>
      <c r="AG4" s="356"/>
      <c r="AH4" s="356"/>
      <c r="AI4" s="356"/>
      <c r="AJ4" s="356"/>
      <c r="AK4" s="356"/>
      <c r="AL4" s="356"/>
      <c r="AM4" s="356"/>
      <c r="AN4" s="356"/>
      <c r="AO4" s="356"/>
      <c r="AP4" s="356"/>
      <c r="AQ4" s="356"/>
      <c r="AR4" s="1728"/>
      <c r="AS4" s="1728"/>
      <c r="AT4" s="1728"/>
      <c r="AU4" s="1728"/>
      <c r="AV4" s="1728"/>
      <c r="AW4" s="1728"/>
    </row>
    <row r="5" spans="1:49" ht="21.75" customHeight="1">
      <c r="A5" s="3534" t="str">
        <f>+'Exh D-Governmental  '!A5:E5</f>
        <v>FISCAL YEAR 2017-2018</v>
      </c>
      <c r="B5" s="3535"/>
      <c r="C5" s="3535"/>
      <c r="D5" s="3535"/>
      <c r="E5" s="3535"/>
      <c r="F5" s="342"/>
      <c r="G5" s="1560"/>
      <c r="H5" s="342"/>
      <c r="I5" s="342"/>
      <c r="J5" s="342"/>
      <c r="K5" s="342"/>
      <c r="L5" s="356"/>
      <c r="M5" s="356"/>
      <c r="N5" s="356"/>
      <c r="O5" s="356"/>
      <c r="P5" s="356"/>
      <c r="Q5" s="356"/>
      <c r="R5" s="356"/>
      <c r="S5" s="356"/>
      <c r="T5" s="356"/>
      <c r="U5" s="356"/>
      <c r="V5" s="2180"/>
      <c r="W5" s="356"/>
      <c r="X5" s="2180"/>
      <c r="Y5" s="356"/>
      <c r="Z5" s="356"/>
      <c r="AA5" s="356"/>
      <c r="AB5" s="356"/>
      <c r="AC5" s="342"/>
      <c r="AD5" s="356"/>
      <c r="AE5" s="356"/>
      <c r="AF5" s="356"/>
      <c r="AG5" s="356"/>
      <c r="AH5" s="356"/>
      <c r="AI5" s="356"/>
      <c r="AJ5" s="356"/>
      <c r="AK5" s="356"/>
      <c r="AL5" s="356"/>
      <c r="AM5" s="356"/>
      <c r="AN5" s="356"/>
      <c r="AO5" s="356"/>
      <c r="AP5" s="356"/>
      <c r="AQ5" s="356"/>
      <c r="AR5" s="1728"/>
      <c r="AS5" s="1728"/>
      <c r="AT5" s="1728"/>
      <c r="AU5" s="1728"/>
      <c r="AV5" s="1728"/>
      <c r="AW5" s="1728"/>
    </row>
    <row r="6" spans="1:49" ht="17.25" customHeight="1">
      <c r="A6" s="346" t="str">
        <f>'Exh D-Governmental  '!A6</f>
        <v>FOR TEN MONTHS ENDED JANUARY 31, 2018</v>
      </c>
      <c r="B6" s="347"/>
      <c r="C6" s="779"/>
      <c r="D6" s="342"/>
      <c r="E6" s="779"/>
      <c r="F6" s="342"/>
      <c r="G6" s="342"/>
      <c r="H6" s="342"/>
      <c r="I6" s="342"/>
      <c r="J6" s="342"/>
      <c r="K6" s="342"/>
      <c r="L6" s="356"/>
      <c r="M6" s="356"/>
      <c r="N6" s="356"/>
      <c r="O6" s="356"/>
      <c r="P6" s="356"/>
      <c r="Q6" s="356"/>
      <c r="R6" s="356"/>
      <c r="S6" s="356"/>
      <c r="T6" s="356"/>
      <c r="U6" s="356"/>
      <c r="V6" s="2180"/>
      <c r="W6" s="356"/>
      <c r="X6" s="2180"/>
      <c r="Y6" s="356"/>
      <c r="Z6" s="356"/>
      <c r="AA6" s="356"/>
      <c r="AB6" s="356"/>
      <c r="AC6" s="342"/>
      <c r="AD6" s="356"/>
      <c r="AE6" s="356"/>
      <c r="AF6" s="356"/>
      <c r="AG6" s="356"/>
      <c r="AH6" s="356"/>
      <c r="AI6" s="356"/>
      <c r="AJ6" s="356"/>
      <c r="AK6" s="356"/>
      <c r="AL6" s="356"/>
      <c r="AM6" s="356"/>
      <c r="AN6" s="356"/>
      <c r="AO6" s="356"/>
      <c r="AP6" s="356"/>
      <c r="AQ6" s="356"/>
      <c r="AR6" s="1728"/>
      <c r="AS6" s="1728"/>
      <c r="AT6" s="1728"/>
      <c r="AU6" s="1728"/>
      <c r="AV6" s="1728"/>
      <c r="AW6" s="1728"/>
    </row>
    <row r="7" spans="1:49" ht="17.399999999999999">
      <c r="A7" s="391" t="s">
        <v>959</v>
      </c>
      <c r="B7" s="348"/>
      <c r="C7" s="779"/>
      <c r="D7" s="342"/>
      <c r="E7" s="779"/>
      <c r="F7" s="342"/>
      <c r="G7" s="342"/>
      <c r="H7" s="342"/>
      <c r="I7" s="342"/>
      <c r="J7" s="342"/>
      <c r="K7" s="342"/>
      <c r="L7" s="356"/>
      <c r="M7" s="356"/>
      <c r="N7" s="356"/>
      <c r="O7" s="356"/>
      <c r="P7" s="356"/>
      <c r="Q7" s="356"/>
      <c r="R7" s="356"/>
      <c r="S7" s="356"/>
      <c r="T7" s="356"/>
      <c r="U7" s="356"/>
      <c r="V7" s="2180"/>
      <c r="W7" s="356"/>
      <c r="X7" s="2180"/>
      <c r="Y7" s="356"/>
      <c r="Z7" s="356"/>
      <c r="AA7" s="356"/>
      <c r="AB7" s="356"/>
      <c r="AC7" s="342"/>
      <c r="AD7" s="356"/>
      <c r="AE7" s="356"/>
      <c r="AF7" s="356"/>
      <c r="AG7" s="356"/>
      <c r="AH7" s="356"/>
      <c r="AI7" s="356"/>
      <c r="AJ7" s="356"/>
      <c r="AK7" s="356"/>
      <c r="AL7" s="356"/>
      <c r="AM7" s="356"/>
      <c r="AN7" s="356"/>
      <c r="AO7" s="356"/>
      <c r="AP7" s="356"/>
      <c r="AQ7" s="356"/>
      <c r="AR7" s="1728"/>
      <c r="AS7" s="1728"/>
      <c r="AT7" s="1728"/>
      <c r="AU7" s="1728"/>
      <c r="AV7" s="1728"/>
      <c r="AW7" s="1728"/>
    </row>
    <row r="8" spans="1:49" ht="15" customHeight="1">
      <c r="A8" s="393"/>
      <c r="B8" s="347"/>
      <c r="C8" s="779"/>
      <c r="D8" s="342"/>
      <c r="E8" s="779"/>
      <c r="F8" s="342"/>
      <c r="G8" s="342"/>
      <c r="H8" s="342"/>
      <c r="I8" s="342"/>
      <c r="J8" s="342"/>
      <c r="K8" s="342"/>
      <c r="L8" s="356"/>
      <c r="M8" s="356"/>
      <c r="N8" s="356"/>
      <c r="O8" s="356"/>
      <c r="P8" s="356"/>
      <c r="Q8" s="356"/>
      <c r="R8" s="356"/>
      <c r="S8" s="356"/>
      <c r="T8" s="356"/>
      <c r="U8" s="356"/>
      <c r="V8" s="2180"/>
      <c r="W8" s="356"/>
      <c r="X8" s="2180"/>
      <c r="Y8" s="356"/>
      <c r="Z8" s="356"/>
      <c r="AA8" s="356"/>
      <c r="AB8" s="356"/>
      <c r="AC8" s="342"/>
      <c r="AD8" s="356"/>
      <c r="AE8" s="356"/>
      <c r="AF8" s="356"/>
      <c r="AG8" s="356"/>
      <c r="AH8" s="356"/>
      <c r="AI8" s="356"/>
      <c r="AJ8" s="356"/>
      <c r="AK8" s="356"/>
      <c r="AL8" s="356"/>
      <c r="AM8" s="356"/>
      <c r="AN8" s="356"/>
      <c r="AO8" s="356"/>
      <c r="AP8" s="356"/>
      <c r="AQ8" s="356"/>
      <c r="AR8" s="1728"/>
      <c r="AS8" s="1728"/>
      <c r="AT8" s="1728"/>
      <c r="AU8" s="1728"/>
      <c r="AV8" s="1728"/>
      <c r="AW8" s="1728"/>
    </row>
    <row r="9" spans="1:49">
      <c r="A9" s="350"/>
      <c r="B9" s="356"/>
      <c r="C9" s="780"/>
      <c r="D9" s="342"/>
      <c r="E9" s="780"/>
      <c r="F9" s="342"/>
      <c r="G9" s="342"/>
      <c r="H9" s="342"/>
      <c r="I9" s="342"/>
      <c r="J9" s="342"/>
      <c r="K9" s="342"/>
      <c r="L9" s="356"/>
      <c r="M9" s="356"/>
      <c r="N9" s="356"/>
      <c r="O9" s="356"/>
      <c r="P9" s="356"/>
      <c r="Q9" s="356"/>
      <c r="R9" s="356"/>
      <c r="S9" s="356"/>
      <c r="T9" s="356"/>
      <c r="U9" s="356"/>
      <c r="V9" s="2180"/>
      <c r="W9" s="356"/>
      <c r="X9" s="2180"/>
      <c r="Y9" s="356"/>
      <c r="Z9" s="356"/>
      <c r="AA9" s="356"/>
      <c r="AB9" s="356"/>
      <c r="AC9" s="342"/>
      <c r="AD9" s="356"/>
      <c r="AE9" s="356"/>
      <c r="AF9" s="356"/>
      <c r="AG9" s="356"/>
      <c r="AH9" s="356"/>
      <c r="AI9" s="356"/>
      <c r="AJ9" s="356"/>
      <c r="AK9" s="356"/>
      <c r="AL9" s="356"/>
      <c r="AM9" s="356"/>
      <c r="AN9" s="356"/>
      <c r="AO9" s="356"/>
      <c r="AP9" s="356"/>
      <c r="AQ9" s="356"/>
      <c r="AR9" s="1728"/>
      <c r="AS9" s="1728"/>
      <c r="AT9" s="1728"/>
      <c r="AU9" s="1728"/>
      <c r="AV9" s="1728"/>
      <c r="AW9" s="1728"/>
    </row>
    <row r="10" spans="1:49">
      <c r="A10" s="350"/>
      <c r="B10" s="356"/>
      <c r="C10" s="780"/>
      <c r="D10" s="342"/>
      <c r="E10" s="780"/>
      <c r="F10" s="342"/>
      <c r="G10" s="342"/>
      <c r="H10" s="342"/>
      <c r="I10" s="342"/>
      <c r="J10" s="342"/>
      <c r="K10" s="342"/>
      <c r="L10" s="356"/>
      <c r="M10" s="356"/>
      <c r="N10" s="356"/>
      <c r="O10" s="356"/>
      <c r="P10" s="356"/>
      <c r="Q10" s="356"/>
      <c r="R10" s="356"/>
      <c r="S10" s="356"/>
      <c r="T10" s="356"/>
      <c r="U10" s="356"/>
      <c r="V10" s="1799"/>
      <c r="W10" s="347"/>
      <c r="X10" s="1799"/>
      <c r="Y10" s="347"/>
      <c r="Z10" s="347"/>
      <c r="AA10" s="347"/>
      <c r="AB10" s="347"/>
      <c r="AC10" s="342"/>
      <c r="AD10" s="356"/>
      <c r="AE10" s="356"/>
      <c r="AF10" s="356"/>
      <c r="AG10" s="356"/>
      <c r="AH10" s="356"/>
      <c r="AI10" s="356"/>
      <c r="AJ10" s="356"/>
      <c r="AK10" s="356"/>
      <c r="AL10" s="356"/>
      <c r="AM10" s="356"/>
      <c r="AN10" s="356"/>
      <c r="AO10" s="356"/>
      <c r="AP10" s="356"/>
      <c r="AQ10" s="356"/>
      <c r="AR10" s="1728"/>
      <c r="AS10" s="1728"/>
      <c r="AT10" s="1728"/>
      <c r="AU10" s="1728"/>
      <c r="AV10" s="1728"/>
      <c r="AW10" s="1728"/>
    </row>
    <row r="11" spans="1:49" ht="15.6">
      <c r="A11" s="1279"/>
      <c r="C11" s="3536" t="s">
        <v>1228</v>
      </c>
      <c r="D11" s="3536"/>
      <c r="E11" s="3536"/>
      <c r="F11" s="3536"/>
      <c r="G11" s="3536"/>
      <c r="H11" s="3536"/>
      <c r="I11" s="3536"/>
      <c r="J11" s="2174"/>
      <c r="K11" s="2174"/>
      <c r="L11" s="396"/>
      <c r="M11" s="394"/>
      <c r="N11" s="3536" t="s">
        <v>1229</v>
      </c>
      <c r="O11" s="3536"/>
      <c r="P11" s="3536"/>
      <c r="Q11" s="3536"/>
      <c r="R11" s="3536"/>
      <c r="S11" s="3536"/>
      <c r="T11" s="3536"/>
      <c r="U11" s="2183"/>
      <c r="V11" s="2557"/>
      <c r="W11" s="2581"/>
      <c r="X11" s="2581"/>
      <c r="Y11" s="2581"/>
      <c r="Z11" s="2581"/>
      <c r="AA11" s="2581"/>
      <c r="AB11" s="2581"/>
      <c r="AC11" s="351"/>
      <c r="AD11" s="394"/>
      <c r="AE11" s="394"/>
      <c r="AF11" s="394"/>
      <c r="AG11" s="394"/>
      <c r="AH11" s="394"/>
      <c r="AI11" s="394"/>
      <c r="AJ11" s="394"/>
      <c r="AK11" s="351"/>
      <c r="AL11" s="394"/>
      <c r="AM11" s="395"/>
      <c r="AN11" s="394"/>
      <c r="AO11" s="394"/>
      <c r="AP11" s="394"/>
      <c r="AQ11" s="394"/>
      <c r="AR11" s="1728"/>
      <c r="AS11" s="1728"/>
      <c r="AT11" s="1728"/>
      <c r="AU11" s="1728"/>
      <c r="AV11" s="1728"/>
      <c r="AW11" s="1728"/>
    </row>
    <row r="12" spans="1:49" ht="15.6">
      <c r="A12" s="1279"/>
      <c r="C12" s="781"/>
      <c r="D12" s="396"/>
      <c r="E12" s="781"/>
      <c r="F12" s="396"/>
      <c r="G12" s="397"/>
      <c r="H12" s="396"/>
      <c r="I12" s="396" t="s">
        <v>86</v>
      </c>
      <c r="J12" s="396"/>
      <c r="K12" s="396" t="s">
        <v>86</v>
      </c>
      <c r="L12" s="396"/>
      <c r="M12" s="2208"/>
      <c r="N12" s="781"/>
      <c r="O12" s="396"/>
      <c r="P12" s="781"/>
      <c r="Q12" s="396"/>
      <c r="R12" s="397"/>
      <c r="S12" s="396"/>
      <c r="T12" s="396" t="s">
        <v>86</v>
      </c>
      <c r="U12" s="394"/>
      <c r="V12" s="396" t="s">
        <v>86</v>
      </c>
      <c r="W12" s="396"/>
      <c r="X12" s="784"/>
      <c r="Y12" s="396"/>
      <c r="Z12" s="397"/>
      <c r="AA12" s="396"/>
      <c r="AB12" s="396"/>
      <c r="AC12" s="351"/>
      <c r="AD12" s="394"/>
      <c r="AE12" s="394"/>
      <c r="AF12" s="394"/>
      <c r="AG12" s="394"/>
      <c r="AH12" s="394"/>
      <c r="AI12" s="394"/>
      <c r="AJ12" s="394"/>
      <c r="AK12" s="351"/>
      <c r="AL12" s="394"/>
      <c r="AM12" s="395"/>
      <c r="AN12" s="394"/>
      <c r="AO12" s="394"/>
      <c r="AP12" s="394"/>
      <c r="AQ12" s="394"/>
      <c r="AR12" s="1728"/>
      <c r="AS12" s="1728"/>
      <c r="AT12" s="1728"/>
      <c r="AU12" s="1728"/>
      <c r="AV12" s="1728"/>
      <c r="AW12" s="1728"/>
    </row>
    <row r="13" spans="1:49" ht="15.6">
      <c r="A13" s="1279"/>
      <c r="B13" s="351"/>
      <c r="C13" s="782"/>
      <c r="D13" s="398"/>
      <c r="E13" s="782"/>
      <c r="F13" s="398"/>
      <c r="G13" s="398"/>
      <c r="H13" s="398"/>
      <c r="I13" s="399" t="s">
        <v>966</v>
      </c>
      <c r="J13" s="399"/>
      <c r="K13" s="399" t="s">
        <v>966</v>
      </c>
      <c r="L13" s="1802"/>
      <c r="M13" s="2209"/>
      <c r="N13" s="782"/>
      <c r="O13" s="398"/>
      <c r="P13" s="782"/>
      <c r="Q13" s="398"/>
      <c r="R13" s="398"/>
      <c r="S13" s="398"/>
      <c r="T13" s="399" t="s">
        <v>966</v>
      </c>
      <c r="U13" s="401"/>
      <c r="V13" s="399" t="s">
        <v>966</v>
      </c>
      <c r="W13" s="1801"/>
      <c r="X13" s="1800"/>
      <c r="Y13" s="1801"/>
      <c r="Z13" s="1801"/>
      <c r="AA13" s="1801"/>
      <c r="AB13" s="1802"/>
      <c r="AC13" s="351"/>
      <c r="AD13" s="351"/>
      <c r="AE13" s="351"/>
      <c r="AF13" s="351"/>
      <c r="AG13" s="351"/>
      <c r="AH13" s="351"/>
      <c r="AI13" s="400"/>
      <c r="AJ13" s="401"/>
      <c r="AK13" s="351"/>
      <c r="AL13" s="351"/>
      <c r="AM13" s="351"/>
      <c r="AN13" s="351"/>
      <c r="AO13" s="351"/>
      <c r="AP13" s="351"/>
      <c r="AQ13" s="400"/>
      <c r="AR13" s="1728"/>
      <c r="AS13" s="1728"/>
      <c r="AT13" s="1728"/>
      <c r="AU13" s="1728"/>
      <c r="AV13" s="1728"/>
      <c r="AW13" s="1728"/>
    </row>
    <row r="14" spans="1:49" ht="15.6">
      <c r="A14" s="1279"/>
      <c r="B14" s="402"/>
      <c r="C14" s="354" t="s">
        <v>1174</v>
      </c>
      <c r="D14" s="1728"/>
      <c r="E14" s="353" t="s">
        <v>1175</v>
      </c>
      <c r="F14" s="352"/>
      <c r="G14" s="352"/>
      <c r="H14" s="352"/>
      <c r="I14" s="353" t="s">
        <v>87</v>
      </c>
      <c r="J14" s="353"/>
      <c r="K14" s="353" t="s">
        <v>87</v>
      </c>
      <c r="L14" s="401"/>
      <c r="M14" s="2209"/>
      <c r="N14" s="354" t="s">
        <v>1174</v>
      </c>
      <c r="O14" s="1728"/>
      <c r="P14" s="353" t="s">
        <v>1175</v>
      </c>
      <c r="Q14" s="352"/>
      <c r="R14" s="352"/>
      <c r="S14" s="352"/>
      <c r="T14" s="353" t="s">
        <v>87</v>
      </c>
      <c r="U14" s="401"/>
      <c r="V14" s="353" t="s">
        <v>87</v>
      </c>
      <c r="W14" s="1284"/>
      <c r="X14" s="401"/>
      <c r="Y14" s="351"/>
      <c r="Z14" s="351"/>
      <c r="AA14" s="351"/>
      <c r="AB14" s="401"/>
      <c r="AC14" s="351"/>
      <c r="AD14" s="400"/>
      <c r="AE14" s="401"/>
      <c r="AF14" s="351"/>
      <c r="AG14" s="351"/>
      <c r="AH14" s="351"/>
      <c r="AI14" s="400"/>
      <c r="AJ14" s="401"/>
      <c r="AK14" s="351"/>
      <c r="AL14" s="400"/>
      <c r="AM14" s="401"/>
      <c r="AN14" s="351"/>
      <c r="AO14" s="351"/>
      <c r="AP14" s="351"/>
      <c r="AQ14" s="400"/>
      <c r="AR14" s="1728"/>
      <c r="AS14" s="1728"/>
      <c r="AT14" s="1728"/>
      <c r="AU14" s="1728"/>
      <c r="AV14" s="1728"/>
      <c r="AW14" s="1728"/>
    </row>
    <row r="15" spans="1:49" ht="15.6">
      <c r="A15" s="1279"/>
      <c r="B15" s="402"/>
      <c r="C15" s="353" t="s">
        <v>1216</v>
      </c>
      <c r="D15" s="352"/>
      <c r="E15" s="353" t="s">
        <v>1216</v>
      </c>
      <c r="F15" s="352"/>
      <c r="G15" s="352"/>
      <c r="H15" s="352"/>
      <c r="I15" s="353" t="s">
        <v>1174</v>
      </c>
      <c r="J15" s="353"/>
      <c r="K15" s="353" t="s">
        <v>1175</v>
      </c>
      <c r="L15" s="401"/>
      <c r="M15" s="2209"/>
      <c r="N15" s="353" t="s">
        <v>1216</v>
      </c>
      <c r="O15" s="352"/>
      <c r="P15" s="353" t="s">
        <v>1216</v>
      </c>
      <c r="Q15" s="352"/>
      <c r="R15" s="352"/>
      <c r="S15" s="352"/>
      <c r="T15" s="353" t="s">
        <v>1174</v>
      </c>
      <c r="U15" s="401"/>
      <c r="V15" s="353" t="s">
        <v>1175</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28"/>
      <c r="AS15" s="1728"/>
      <c r="AT15" s="1728"/>
      <c r="AU15" s="1728"/>
      <c r="AV15" s="1728"/>
      <c r="AW15" s="1728"/>
    </row>
    <row r="16" spans="1:49" ht="15.6">
      <c r="A16" s="1279"/>
      <c r="B16" s="401"/>
      <c r="C16" s="353" t="s">
        <v>1217</v>
      </c>
      <c r="D16" s="352"/>
      <c r="E16" s="353" t="s">
        <v>1493</v>
      </c>
      <c r="F16" s="352"/>
      <c r="G16" s="354" t="s">
        <v>86</v>
      </c>
      <c r="H16" s="352"/>
      <c r="I16" s="353" t="s">
        <v>88</v>
      </c>
      <c r="J16" s="401"/>
      <c r="K16" s="353" t="s">
        <v>88</v>
      </c>
      <c r="L16" s="401"/>
      <c r="M16" s="2216"/>
      <c r="N16" s="2217" t="s">
        <v>1217</v>
      </c>
      <c r="O16" s="352"/>
      <c r="P16" s="353" t="s">
        <v>1493</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28"/>
      <c r="AS16" s="1728"/>
      <c r="AT16" s="1728"/>
      <c r="AU16" s="1728"/>
      <c r="AV16" s="1728"/>
      <c r="AW16" s="1728"/>
    </row>
    <row r="17" spans="1:49">
      <c r="A17" s="355"/>
      <c r="B17" s="356"/>
      <c r="C17" s="357"/>
      <c r="D17" s="342"/>
      <c r="E17" s="357"/>
      <c r="F17" s="342"/>
      <c r="G17" s="357"/>
      <c r="H17" s="342"/>
      <c r="I17" s="357"/>
      <c r="J17" s="356"/>
      <c r="K17" s="357"/>
      <c r="L17" s="356"/>
      <c r="M17" s="2210"/>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28"/>
      <c r="AS17" s="1728"/>
      <c r="AT17" s="1728"/>
      <c r="AU17" s="1728"/>
      <c r="AV17" s="1728"/>
      <c r="AW17" s="1728"/>
    </row>
    <row r="18" spans="1:49" ht="15.6">
      <c r="A18" s="221" t="s">
        <v>14</v>
      </c>
      <c r="B18" s="1720"/>
      <c r="C18" s="1189"/>
      <c r="D18" s="1189"/>
      <c r="E18" s="1189"/>
      <c r="F18" s="1189"/>
      <c r="G18" s="1189"/>
      <c r="H18" s="1189"/>
      <c r="I18" s="1720"/>
      <c r="J18" s="1189"/>
      <c r="K18" s="1720"/>
      <c r="L18" s="1720"/>
      <c r="M18" s="2211"/>
      <c r="N18" s="1189"/>
      <c r="O18" s="1189"/>
      <c r="P18" s="1189"/>
      <c r="Q18" s="1189"/>
      <c r="R18" s="1189"/>
      <c r="S18" s="1189"/>
      <c r="T18" s="1189"/>
      <c r="U18" s="1720"/>
      <c r="V18" s="1720"/>
      <c r="W18" s="1720"/>
      <c r="X18" s="1720"/>
      <c r="Y18" s="1720"/>
      <c r="Z18" s="1720"/>
      <c r="AA18" s="1720"/>
      <c r="AB18" s="1720"/>
      <c r="AC18" s="1720"/>
      <c r="AD18" s="1720"/>
      <c r="AE18" s="1720"/>
      <c r="AF18" s="1720"/>
      <c r="AG18" s="1720"/>
      <c r="AH18" s="1720"/>
      <c r="AI18" s="1720"/>
      <c r="AJ18" s="1720"/>
      <c r="AK18" s="1720"/>
      <c r="AL18" s="1720"/>
      <c r="AM18" s="1720"/>
      <c r="AN18" s="1720"/>
      <c r="AO18" s="1720"/>
      <c r="AP18" s="1720"/>
      <c r="AQ18" s="1720"/>
      <c r="AR18" s="1728"/>
      <c r="AS18" s="1728"/>
      <c r="AT18" s="1728"/>
      <c r="AU18" s="1728"/>
      <c r="AV18" s="1728"/>
      <c r="AW18" s="1728"/>
    </row>
    <row r="19" spans="1:49">
      <c r="A19" s="1566" t="s">
        <v>89</v>
      </c>
      <c r="B19" s="1721"/>
      <c r="C19" s="1189"/>
      <c r="D19" s="1721"/>
      <c r="E19" s="1189"/>
      <c r="F19" s="1721"/>
      <c r="G19" s="1189"/>
      <c r="H19" s="1721"/>
      <c r="I19" s="1720"/>
      <c r="J19" s="1189"/>
      <c r="K19" s="1720"/>
      <c r="L19" s="1720"/>
      <c r="M19" s="2211"/>
      <c r="N19" s="1189"/>
      <c r="O19" s="1721"/>
      <c r="P19" s="1189"/>
      <c r="Q19" s="1721"/>
      <c r="R19" s="1189"/>
      <c r="S19" s="1721"/>
      <c r="T19" s="1189"/>
      <c r="U19" s="1720"/>
      <c r="V19" s="1720"/>
      <c r="W19" s="1720"/>
      <c r="X19" s="1720"/>
      <c r="Y19" s="1720"/>
      <c r="Z19" s="1720"/>
      <c r="AA19" s="1742"/>
      <c r="AB19" s="1720"/>
      <c r="AC19" s="1720"/>
      <c r="AD19" s="1720"/>
      <c r="AE19" s="1720"/>
      <c r="AF19" s="1720"/>
      <c r="AG19" s="1720"/>
      <c r="AH19" s="1720"/>
      <c r="AI19" s="1720"/>
      <c r="AJ19" s="1720"/>
      <c r="AK19" s="1720"/>
      <c r="AL19" s="1720"/>
      <c r="AM19" s="1720"/>
      <c r="AN19" s="1720"/>
      <c r="AO19" s="1720"/>
      <c r="AP19" s="1720"/>
      <c r="AQ19" s="1720"/>
      <c r="AR19" s="1728"/>
      <c r="AS19" s="1728"/>
      <c r="AT19" s="1728"/>
      <c r="AU19" s="1728"/>
      <c r="AV19" s="1728"/>
      <c r="AW19" s="1728"/>
    </row>
    <row r="20" spans="1:49">
      <c r="A20" s="1566" t="s">
        <v>90</v>
      </c>
      <c r="B20" s="1721" t="s">
        <v>15</v>
      </c>
      <c r="C20" s="1190">
        <v>2620</v>
      </c>
      <c r="D20" s="1192"/>
      <c r="E20" s="1190">
        <v>2576</v>
      </c>
      <c r="F20" s="1192"/>
      <c r="G20" s="1190">
        <f>'Exhibit G State'!AC17</f>
        <v>2575.6999999999998</v>
      </c>
      <c r="H20" s="1192"/>
      <c r="I20" s="1806">
        <f>ROUND(SUM(G20)-SUM(C20),1)</f>
        <v>-44.3</v>
      </c>
      <c r="J20" s="1190"/>
      <c r="K20" s="1806">
        <f>ROUND(SUM(G20)-SUM(E20),1)</f>
        <v>-0.3</v>
      </c>
      <c r="L20" s="1806"/>
      <c r="M20" s="2211"/>
      <c r="N20" s="1190">
        <v>0</v>
      </c>
      <c r="O20" s="1192"/>
      <c r="P20" s="1190">
        <v>0</v>
      </c>
      <c r="Q20" s="1192"/>
      <c r="R20" s="1190">
        <v>0</v>
      </c>
      <c r="S20" s="1192"/>
      <c r="T20" s="1806">
        <f>ROUND(SUM(R20)-SUM(N20),1)</f>
        <v>0</v>
      </c>
      <c r="U20" s="1720"/>
      <c r="V20" s="1806">
        <f>ROUND(SUM(R20)-SUM(P20),1)</f>
        <v>0</v>
      </c>
      <c r="W20" s="1804"/>
      <c r="X20" s="1807"/>
      <c r="Y20" s="1804"/>
      <c r="Z20" s="1805"/>
      <c r="AA20" s="1804"/>
      <c r="AB20" s="1806"/>
      <c r="AC20" s="1720"/>
      <c r="AD20" s="1720"/>
      <c r="AE20" s="1720"/>
      <c r="AF20" s="1720"/>
      <c r="AG20" s="1720"/>
      <c r="AH20" s="1720"/>
      <c r="AI20" s="1720"/>
      <c r="AJ20" s="1720"/>
      <c r="AK20" s="1720"/>
      <c r="AL20" s="1720"/>
      <c r="AM20" s="1720"/>
      <c r="AN20" s="1720"/>
      <c r="AO20" s="1720"/>
      <c r="AP20" s="1720"/>
      <c r="AQ20" s="1720"/>
      <c r="AR20" s="1728"/>
      <c r="AS20" s="1728"/>
      <c r="AT20" s="1728"/>
      <c r="AU20" s="1728"/>
      <c r="AV20" s="1728"/>
      <c r="AW20" s="1728"/>
    </row>
    <row r="21" spans="1:49">
      <c r="A21" s="1566" t="s">
        <v>91</v>
      </c>
      <c r="B21" s="1720" t="s">
        <v>15</v>
      </c>
      <c r="C21" s="1739">
        <v>1747</v>
      </c>
      <c r="D21" s="1111"/>
      <c r="E21" s="1739">
        <v>1726</v>
      </c>
      <c r="F21" s="1111"/>
      <c r="G21" s="1111">
        <f>'Exhibit G State'!AC28</f>
        <v>1725.9</v>
      </c>
      <c r="H21" s="1111"/>
      <c r="I21" s="2800">
        <f t="shared" ref="I21:I26" si="0">ROUND(SUM(G21)-SUM(C21),1)</f>
        <v>-21.1</v>
      </c>
      <c r="J21" s="1111"/>
      <c r="K21" s="2800">
        <f>ROUND(SUM(G21)-SUM(E21),1)</f>
        <v>-0.1</v>
      </c>
      <c r="L21" s="1740"/>
      <c r="M21" s="2211"/>
      <c r="N21" s="1739">
        <v>0</v>
      </c>
      <c r="O21" s="1111"/>
      <c r="P21" s="1739">
        <v>0</v>
      </c>
      <c r="Q21" s="1111"/>
      <c r="R21" s="1111">
        <v>0</v>
      </c>
      <c r="S21" s="1111"/>
      <c r="T21" s="2800">
        <f t="shared" ref="T21:T26" si="1">ROUND(SUM(R21)-SUM(N21),1)</f>
        <v>0</v>
      </c>
      <c r="U21" s="1720"/>
      <c r="V21" s="2800">
        <f>ROUND(SUM(R21)-SUM(P21),1)</f>
        <v>0</v>
      </c>
      <c r="W21" s="1740"/>
      <c r="X21" s="1807"/>
      <c r="Y21" s="1740"/>
      <c r="Z21" s="1740"/>
      <c r="AA21" s="1740"/>
      <c r="AB21" s="1740"/>
      <c r="AC21" s="1740"/>
      <c r="AD21" s="1740"/>
      <c r="AE21" s="1720"/>
      <c r="AF21" s="1720"/>
      <c r="AG21" s="1720"/>
      <c r="AH21" s="1720"/>
      <c r="AI21" s="1720"/>
      <c r="AJ21" s="1720"/>
      <c r="AK21" s="1720"/>
      <c r="AL21" s="1720"/>
      <c r="AM21" s="1720"/>
      <c r="AN21" s="1720"/>
      <c r="AO21" s="1720"/>
      <c r="AP21" s="1720"/>
      <c r="AQ21" s="1720"/>
      <c r="AR21" s="1728"/>
      <c r="AS21" s="1728"/>
      <c r="AT21" s="1728"/>
      <c r="AU21" s="1728"/>
      <c r="AV21" s="1728"/>
      <c r="AW21" s="1728"/>
    </row>
    <row r="22" spans="1:49">
      <c r="A22" s="1566" t="s">
        <v>92</v>
      </c>
      <c r="B22" s="1721" t="s">
        <v>15</v>
      </c>
      <c r="C22" s="1739">
        <v>1164</v>
      </c>
      <c r="D22" s="1262"/>
      <c r="E22" s="1739">
        <v>1263</v>
      </c>
      <c r="F22" s="1262"/>
      <c r="G22" s="1111">
        <f>'Exhibit G State'!AC35</f>
        <v>1309</v>
      </c>
      <c r="H22" s="1262"/>
      <c r="I22" s="2800">
        <f t="shared" si="0"/>
        <v>145</v>
      </c>
      <c r="J22" s="1111"/>
      <c r="K22" s="2800">
        <f t="shared" ref="K22:K26" si="2">ROUND(SUM(G22)-SUM(E22),1)</f>
        <v>46</v>
      </c>
      <c r="L22" s="1740"/>
      <c r="M22" s="2211"/>
      <c r="N22" s="1739">
        <v>0</v>
      </c>
      <c r="O22" s="1262"/>
      <c r="P22" s="1739">
        <v>0</v>
      </c>
      <c r="Q22" s="1262"/>
      <c r="R22" s="1729">
        <v>0</v>
      </c>
      <c r="S22" s="1262"/>
      <c r="T22" s="2800">
        <f t="shared" si="1"/>
        <v>0</v>
      </c>
      <c r="U22" s="1720"/>
      <c r="V22" s="2800">
        <f t="shared" ref="V22:V26" si="3">ROUND(SUM(R22)-SUM(P22),1)</f>
        <v>0</v>
      </c>
      <c r="W22" s="1741"/>
      <c r="X22" s="1807"/>
      <c r="Y22" s="1741"/>
      <c r="Z22" s="1740"/>
      <c r="AA22" s="1741"/>
      <c r="AB22" s="1740"/>
      <c r="AC22" s="1741"/>
      <c r="AD22" s="1740"/>
      <c r="AE22" s="1720"/>
      <c r="AF22" s="1742"/>
      <c r="AG22" s="1720"/>
      <c r="AH22" s="1742"/>
      <c r="AI22" s="1720"/>
      <c r="AJ22" s="1720"/>
      <c r="AK22" s="1742"/>
      <c r="AL22" s="1720"/>
      <c r="AM22" s="1720"/>
      <c r="AN22" s="1742"/>
      <c r="AO22" s="403"/>
      <c r="AP22" s="1742"/>
      <c r="AQ22" s="1720"/>
      <c r="AR22" s="1728"/>
      <c r="AS22" s="1728"/>
      <c r="AT22" s="1728"/>
      <c r="AU22" s="1728"/>
      <c r="AV22" s="1728"/>
      <c r="AW22" s="1728"/>
    </row>
    <row r="23" spans="1:49">
      <c r="A23" s="1566" t="s">
        <v>93</v>
      </c>
      <c r="B23" s="1720" t="s">
        <v>15</v>
      </c>
      <c r="C23" s="1739">
        <v>1168</v>
      </c>
      <c r="D23" s="1111"/>
      <c r="E23" s="1739">
        <v>1158</v>
      </c>
      <c r="F23" s="1111"/>
      <c r="G23" s="1111">
        <f>'Exhibit G State'!AC38</f>
        <v>1166.2</v>
      </c>
      <c r="H23" s="1111"/>
      <c r="I23" s="2800">
        <f t="shared" si="0"/>
        <v>-1.8</v>
      </c>
      <c r="J23" s="1111"/>
      <c r="K23" s="2800">
        <f t="shared" si="2"/>
        <v>8.1999999999999993</v>
      </c>
      <c r="L23" s="1740"/>
      <c r="M23" s="2211"/>
      <c r="N23" s="1739">
        <v>0</v>
      </c>
      <c r="O23" s="1111"/>
      <c r="P23" s="1739">
        <v>0</v>
      </c>
      <c r="Q23" s="1111"/>
      <c r="R23" s="1111">
        <v>0</v>
      </c>
      <c r="S23" s="1111"/>
      <c r="T23" s="2800">
        <f>ROUND(SUM(R23)-SUM(N23),1)</f>
        <v>0</v>
      </c>
      <c r="U23" s="1720"/>
      <c r="V23" s="2800">
        <f t="shared" si="3"/>
        <v>0</v>
      </c>
      <c r="W23" s="1740"/>
      <c r="X23" s="1807"/>
      <c r="Y23" s="1740"/>
      <c r="Z23" s="1740"/>
      <c r="AA23" s="1740"/>
      <c r="AB23" s="1740"/>
      <c r="AC23" s="1740"/>
      <c r="AD23" s="1740"/>
      <c r="AE23" s="1720"/>
      <c r="AF23" s="1720"/>
      <c r="AG23" s="1720"/>
      <c r="AH23" s="1720"/>
      <c r="AI23" s="1720"/>
      <c r="AJ23" s="1720"/>
      <c r="AK23" s="1720"/>
      <c r="AL23" s="1720"/>
      <c r="AM23" s="1720"/>
      <c r="AN23" s="1720"/>
      <c r="AO23" s="1720"/>
      <c r="AP23" s="1720"/>
      <c r="AQ23" s="1720"/>
      <c r="AR23" s="1728"/>
      <c r="AS23" s="1728"/>
      <c r="AT23" s="1728"/>
      <c r="AU23" s="1728"/>
      <c r="AV23" s="1728"/>
      <c r="AW23" s="1728"/>
    </row>
    <row r="24" spans="1:49" ht="15" customHeight="1">
      <c r="A24" s="1566" t="s">
        <v>20</v>
      </c>
      <c r="B24" s="1720" t="s">
        <v>15</v>
      </c>
      <c r="C24" s="1739">
        <v>13767</v>
      </c>
      <c r="D24" s="1739"/>
      <c r="E24" s="1739">
        <v>14476</v>
      </c>
      <c r="F24" s="1739"/>
      <c r="G24" s="1111">
        <f>'Exhibit G State'!AC82</f>
        <v>14458.5</v>
      </c>
      <c r="H24" s="1111"/>
      <c r="I24" s="2800">
        <f t="shared" si="0"/>
        <v>691.5</v>
      </c>
      <c r="J24" s="1111"/>
      <c r="K24" s="2800">
        <f t="shared" si="2"/>
        <v>-17.5</v>
      </c>
      <c r="L24" s="1740"/>
      <c r="M24" s="2211"/>
      <c r="N24" s="1739">
        <v>145</v>
      </c>
      <c r="O24" s="1739"/>
      <c r="P24" s="1739">
        <v>173</v>
      </c>
      <c r="Q24" s="1739"/>
      <c r="R24" s="1275">
        <f>'Exhibit G Federal'!AC51</f>
        <v>172</v>
      </c>
      <c r="S24" s="1111"/>
      <c r="T24" s="2800">
        <f t="shared" si="1"/>
        <v>27</v>
      </c>
      <c r="U24" s="1720"/>
      <c r="V24" s="2800">
        <f t="shared" si="3"/>
        <v>-1</v>
      </c>
      <c r="W24" s="1740"/>
      <c r="X24" s="1807"/>
      <c r="Y24" s="1740"/>
      <c r="Z24" s="1740"/>
      <c r="AA24" s="1740"/>
      <c r="AB24" s="1740"/>
      <c r="AC24" s="1740"/>
      <c r="AD24" s="1740"/>
      <c r="AE24" s="1720"/>
      <c r="AF24" s="1720"/>
      <c r="AG24" s="1720"/>
      <c r="AH24" s="1720"/>
      <c r="AI24" s="1720"/>
      <c r="AJ24" s="1720"/>
      <c r="AK24" s="1720"/>
      <c r="AL24" s="1720"/>
      <c r="AM24" s="1720"/>
      <c r="AN24" s="1720"/>
      <c r="AO24" s="1720"/>
      <c r="AP24" s="1720"/>
      <c r="AQ24" s="1720"/>
      <c r="AR24" s="1728"/>
      <c r="AS24" s="1728"/>
      <c r="AT24" s="1728"/>
      <c r="AU24" s="1728"/>
      <c r="AV24" s="1728"/>
      <c r="AW24" s="1728"/>
    </row>
    <row r="25" spans="1:49" ht="15" customHeight="1">
      <c r="A25" s="1566" t="s">
        <v>21</v>
      </c>
      <c r="B25" s="1720" t="s">
        <v>15</v>
      </c>
      <c r="C25" s="1191">
        <v>0</v>
      </c>
      <c r="D25" s="1111"/>
      <c r="E25" s="1191">
        <v>0</v>
      </c>
      <c r="F25" s="1111"/>
      <c r="G25" s="1275">
        <f>'Exhibit G State'!AC84</f>
        <v>0.5</v>
      </c>
      <c r="H25" s="1111"/>
      <c r="I25" s="2800">
        <f t="shared" si="0"/>
        <v>0.5</v>
      </c>
      <c r="J25" s="1111"/>
      <c r="K25" s="2800">
        <f t="shared" si="2"/>
        <v>0.5</v>
      </c>
      <c r="L25" s="1740"/>
      <c r="M25" s="2211"/>
      <c r="N25" s="1191">
        <v>44563</v>
      </c>
      <c r="O25" s="1111"/>
      <c r="P25" s="1276">
        <v>45623</v>
      </c>
      <c r="Q25" s="1111"/>
      <c r="R25" s="1275">
        <f>'Exhibit G Federal'!AC53</f>
        <v>44568</v>
      </c>
      <c r="S25" s="1111"/>
      <c r="T25" s="2800">
        <f t="shared" si="1"/>
        <v>5</v>
      </c>
      <c r="U25" s="1720"/>
      <c r="V25" s="2800">
        <f t="shared" si="3"/>
        <v>-1055</v>
      </c>
      <c r="W25" s="1740"/>
      <c r="X25" s="1807"/>
      <c r="Y25" s="1740"/>
      <c r="Z25" s="1740"/>
      <c r="AA25" s="1740"/>
      <c r="AB25" s="1740"/>
      <c r="AC25" s="1740"/>
      <c r="AD25" s="1744"/>
      <c r="AE25" s="1745"/>
      <c r="AF25" s="1720"/>
      <c r="AG25" s="1745"/>
      <c r="AH25" s="1720"/>
      <c r="AI25" s="1745"/>
      <c r="AJ25" s="1746"/>
      <c r="AK25" s="1720"/>
      <c r="AL25" s="1720"/>
      <c r="AM25" s="1720"/>
      <c r="AN25" s="1720"/>
      <c r="AO25" s="1720"/>
      <c r="AP25" s="1720"/>
      <c r="AQ25" s="1720"/>
      <c r="AR25" s="1728"/>
      <c r="AS25" s="1728"/>
      <c r="AT25" s="1728"/>
      <c r="AU25" s="1728"/>
      <c r="AV25" s="1728"/>
      <c r="AW25" s="1728"/>
    </row>
    <row r="26" spans="1:49">
      <c r="A26" s="1566" t="s">
        <v>48</v>
      </c>
      <c r="B26" s="1746" t="s">
        <v>15</v>
      </c>
      <c r="C26" s="1740">
        <v>7138</v>
      </c>
      <c r="D26" s="1740"/>
      <c r="E26" s="1740">
        <v>7014</v>
      </c>
      <c r="F26" s="1740"/>
      <c r="G26" s="1884">
        <f>'Exhibit G State'!AC113</f>
        <v>7132</v>
      </c>
      <c r="H26" s="1111"/>
      <c r="I26" s="2800">
        <f t="shared" si="0"/>
        <v>-6</v>
      </c>
      <c r="J26" s="1740"/>
      <c r="K26" s="2800">
        <f t="shared" si="2"/>
        <v>118</v>
      </c>
      <c r="L26" s="1740"/>
      <c r="M26" s="2212"/>
      <c r="N26" s="1740">
        <v>9</v>
      </c>
      <c r="O26" s="1111"/>
      <c r="P26" s="1740">
        <v>0</v>
      </c>
      <c r="Q26" s="1740"/>
      <c r="R26" s="1884">
        <f>+'Exhibit G Federal'!AC82</f>
        <v>0</v>
      </c>
      <c r="S26" s="1111"/>
      <c r="T26" s="2800">
        <f t="shared" si="1"/>
        <v>-9</v>
      </c>
      <c r="U26" s="1746"/>
      <c r="V26" s="2800">
        <f t="shared" si="3"/>
        <v>0</v>
      </c>
      <c r="W26" s="1740"/>
      <c r="X26" s="1807"/>
      <c r="Y26" s="1740"/>
      <c r="Z26" s="1741"/>
      <c r="AA26" s="1740"/>
      <c r="AB26" s="1740"/>
      <c r="AC26" s="1740"/>
      <c r="AD26" s="1744"/>
      <c r="AE26" s="1745"/>
      <c r="AF26" s="1720"/>
      <c r="AG26" s="1745"/>
      <c r="AH26" s="1720"/>
      <c r="AI26" s="1745"/>
      <c r="AJ26" s="1746"/>
      <c r="AK26" s="1720"/>
      <c r="AL26" s="1720"/>
      <c r="AM26" s="1720"/>
      <c r="AN26" s="1720"/>
      <c r="AO26" s="1720"/>
      <c r="AP26" s="1720"/>
      <c r="AQ26" s="1720"/>
      <c r="AR26" s="1728"/>
      <c r="AS26" s="1728"/>
      <c r="AT26" s="1728"/>
      <c r="AU26" s="1728"/>
      <c r="AV26" s="1728"/>
      <c r="AW26" s="1728"/>
    </row>
    <row r="27" spans="1:49" ht="18" customHeight="1">
      <c r="A27" s="373" t="s">
        <v>111</v>
      </c>
      <c r="B27" s="351" t="s">
        <v>15</v>
      </c>
      <c r="C27" s="417">
        <f>ROUND(SUM(C20:C26),1)</f>
        <v>27604</v>
      </c>
      <c r="D27" s="1719"/>
      <c r="E27" s="417">
        <f>ROUND(SUM(E20:E26),1)</f>
        <v>28213</v>
      </c>
      <c r="F27" s="1719"/>
      <c r="G27" s="417">
        <f>ROUND(SUM(G20:G26),1)</f>
        <v>28367.8</v>
      </c>
      <c r="H27" s="1719"/>
      <c r="I27" s="2821">
        <f>ROUND(SUM(I20:I26),1)</f>
        <v>763.8</v>
      </c>
      <c r="J27" s="272"/>
      <c r="K27" s="2821">
        <f>ROUND(SUM(K20:K26),1)</f>
        <v>154.80000000000001</v>
      </c>
      <c r="L27" s="272"/>
      <c r="M27" s="2211"/>
      <c r="N27" s="2821">
        <f>ROUND(SUM(N20:N26),1)</f>
        <v>44717</v>
      </c>
      <c r="O27" s="1719"/>
      <c r="P27" s="417">
        <f>ROUND(SUM(P20:P26),1)</f>
        <v>45796</v>
      </c>
      <c r="Q27" s="1719"/>
      <c r="R27" s="540">
        <f>ROUND(SUM(R20:R26),1)</f>
        <v>44740</v>
      </c>
      <c r="S27" s="1719"/>
      <c r="T27" s="2821">
        <f>ROUND(SUM(T20:T26),1)</f>
        <v>23</v>
      </c>
      <c r="U27" s="351"/>
      <c r="V27" s="540">
        <f>ROUND(SUM(V20:V26),1)</f>
        <v>-1056</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28"/>
      <c r="AS27" s="1728"/>
      <c r="AT27" s="1728"/>
      <c r="AU27" s="1728"/>
      <c r="AV27" s="1728"/>
      <c r="AW27" s="1728"/>
    </row>
    <row r="28" spans="1:49">
      <c r="A28" s="1279"/>
      <c r="B28" s="1720"/>
      <c r="C28" s="1277"/>
      <c r="D28" s="1111"/>
      <c r="E28" s="1277"/>
      <c r="F28" s="1111"/>
      <c r="G28" s="1277"/>
      <c r="H28" s="1111"/>
      <c r="I28" s="1740"/>
      <c r="J28" s="1740"/>
      <c r="K28" s="1740"/>
      <c r="L28" s="1740"/>
      <c r="M28" s="2211"/>
      <c r="N28" s="1740"/>
      <c r="O28" s="1111"/>
      <c r="P28" s="1277"/>
      <c r="Q28" s="1111"/>
      <c r="R28" s="1277"/>
      <c r="S28" s="1111"/>
      <c r="T28" s="1740"/>
      <c r="U28" s="1720"/>
      <c r="V28" s="1740"/>
      <c r="W28" s="1740"/>
      <c r="X28" s="1740"/>
      <c r="Y28" s="1740"/>
      <c r="Z28" s="1740"/>
      <c r="AA28" s="1740"/>
      <c r="AB28" s="1740"/>
      <c r="AC28" s="1740"/>
      <c r="AD28" s="1740"/>
      <c r="AE28" s="1720"/>
      <c r="AF28" s="1720"/>
      <c r="AG28" s="1720"/>
      <c r="AH28" s="1720"/>
      <c r="AI28" s="1720"/>
      <c r="AJ28" s="1720"/>
      <c r="AK28" s="1720"/>
      <c r="AL28" s="1720"/>
      <c r="AM28" s="1720"/>
      <c r="AN28" s="1720"/>
      <c r="AO28" s="1720"/>
      <c r="AP28" s="1720"/>
      <c r="AQ28" s="1720"/>
      <c r="AR28" s="1728"/>
      <c r="AS28" s="1728"/>
      <c r="AT28" s="1728"/>
      <c r="AU28" s="1728"/>
      <c r="AV28" s="1728"/>
      <c r="AW28" s="1728"/>
    </row>
    <row r="29" spans="1:49" ht="15.6">
      <c r="A29" s="221" t="s">
        <v>23</v>
      </c>
      <c r="B29" s="1720"/>
      <c r="C29" s="1111"/>
      <c r="D29" s="1111"/>
      <c r="E29" s="1111"/>
      <c r="F29" s="1111"/>
      <c r="G29" s="1111"/>
      <c r="H29" s="1111"/>
      <c r="I29" s="1740"/>
      <c r="J29" s="1740"/>
      <c r="K29" s="1740"/>
      <c r="L29" s="1740"/>
      <c r="M29" s="2211"/>
      <c r="N29" s="1111"/>
      <c r="O29" s="1111"/>
      <c r="P29" s="1111"/>
      <c r="Q29" s="1111"/>
      <c r="R29" s="1111"/>
      <c r="S29" s="1111"/>
      <c r="T29" s="2800"/>
      <c r="U29" s="1720"/>
      <c r="V29" s="1740"/>
      <c r="W29" s="1740"/>
      <c r="X29" s="1740"/>
      <c r="Y29" s="1740"/>
      <c r="Z29" s="1740"/>
      <c r="AA29" s="1740"/>
      <c r="AB29" s="1740"/>
      <c r="AC29" s="1740"/>
      <c r="AD29" s="1740"/>
      <c r="AE29" s="1720"/>
      <c r="AF29" s="1720"/>
      <c r="AG29" s="1720"/>
      <c r="AH29" s="1720"/>
      <c r="AI29" s="1720"/>
      <c r="AJ29" s="1720"/>
      <c r="AK29" s="1720"/>
      <c r="AL29" s="1720"/>
      <c r="AM29" s="1720"/>
      <c r="AN29" s="1720"/>
      <c r="AO29" s="1720"/>
      <c r="AP29" s="1720"/>
      <c r="AQ29" s="1720"/>
      <c r="AR29" s="1728"/>
      <c r="AS29" s="1728"/>
      <c r="AT29" s="1728"/>
      <c r="AU29" s="1728"/>
      <c r="AV29" s="1728"/>
      <c r="AW29" s="1728"/>
    </row>
    <row r="30" spans="1:49">
      <c r="A30" s="1566" t="s">
        <v>95</v>
      </c>
      <c r="B30" s="1742" t="s">
        <v>15</v>
      </c>
      <c r="C30" s="1262">
        <v>16852</v>
      </c>
      <c r="D30" s="1111"/>
      <c r="E30" s="1262">
        <v>17053</v>
      </c>
      <c r="F30" s="1111"/>
      <c r="G30" s="1262">
        <f>'Exhibit G State'!AC100</f>
        <v>17027.3</v>
      </c>
      <c r="H30" s="1111"/>
      <c r="I30" s="2800">
        <f t="shared" ref="I30:I34" si="4">ROUND(SUM(G30)-SUM(C30),1)</f>
        <v>175.3</v>
      </c>
      <c r="J30" s="1740"/>
      <c r="K30" s="2800">
        <f>ROUND(SUM(G30)-SUM(E30),1)</f>
        <v>-25.7</v>
      </c>
      <c r="L30" s="1740"/>
      <c r="M30" s="2211"/>
      <c r="N30" s="1262">
        <v>42203</v>
      </c>
      <c r="O30" s="1111"/>
      <c r="P30" s="1262">
        <v>42755</v>
      </c>
      <c r="Q30" s="1111"/>
      <c r="R30" s="1262">
        <f>'Exhibit G Federal'!AC69</f>
        <v>42133.9</v>
      </c>
      <c r="S30" s="1111"/>
      <c r="T30" s="2800">
        <f t="shared" ref="T30:T34" si="5">ROUND(SUM(R30)-SUM(N30),1)</f>
        <v>-69.099999999999994</v>
      </c>
      <c r="U30" s="1720"/>
      <c r="V30" s="2800">
        <f>ROUND(SUM(R30)-SUM(P30),1)</f>
        <v>-621.1</v>
      </c>
      <c r="W30" s="1740"/>
      <c r="X30" s="1807"/>
      <c r="Y30" s="1740"/>
      <c r="Z30" s="1740"/>
      <c r="AA30" s="1740"/>
      <c r="AB30" s="1740"/>
      <c r="AC30" s="1740"/>
      <c r="AD30" s="1744"/>
      <c r="AE30" s="1745"/>
      <c r="AF30" s="1720"/>
      <c r="AG30" s="1745"/>
      <c r="AH30" s="1720"/>
      <c r="AI30" s="1745"/>
      <c r="AJ30" s="1746"/>
      <c r="AK30" s="1720"/>
      <c r="AL30" s="1720"/>
      <c r="AM30" s="1720"/>
      <c r="AN30" s="1720"/>
      <c r="AO30" s="1720"/>
      <c r="AP30" s="1720"/>
      <c r="AQ30" s="1720"/>
      <c r="AR30" s="1728"/>
      <c r="AS30" s="1728"/>
      <c r="AT30" s="1728"/>
      <c r="AU30" s="1728"/>
      <c r="AV30" s="1728"/>
      <c r="AW30" s="1728"/>
    </row>
    <row r="31" spans="1:49">
      <c r="A31" s="1566" t="s">
        <v>96</v>
      </c>
      <c r="B31" s="1742" t="s">
        <v>15</v>
      </c>
      <c r="C31" s="1262">
        <v>8671</v>
      </c>
      <c r="D31" s="1111"/>
      <c r="E31" s="1262">
        <v>8723</v>
      </c>
      <c r="F31" s="1111"/>
      <c r="G31" s="1262">
        <f>'Exhibit G State'!AC102+'Exhibit G State'!AC103</f>
        <v>8747.6</v>
      </c>
      <c r="H31" s="1111"/>
      <c r="I31" s="2800">
        <f t="shared" si="4"/>
        <v>76.599999999999994</v>
      </c>
      <c r="J31" s="1740"/>
      <c r="K31" s="2800">
        <f t="shared" ref="K31:K34" si="6">ROUND(SUM(G31)-SUM(E31),1)</f>
        <v>24.6</v>
      </c>
      <c r="L31" s="1740"/>
      <c r="M31" s="2211"/>
      <c r="N31" s="1262">
        <v>1556</v>
      </c>
      <c r="O31" s="1111"/>
      <c r="P31" s="1262">
        <v>1638</v>
      </c>
      <c r="Q31" s="1111"/>
      <c r="R31" s="1262">
        <f>'Exhibit G Federal'!AC71+'Exhibit G Federal'!AC72</f>
        <v>1646.6</v>
      </c>
      <c r="S31" s="1111"/>
      <c r="T31" s="2800">
        <f t="shared" si="5"/>
        <v>90.6</v>
      </c>
      <c r="U31" s="1720"/>
      <c r="V31" s="2800">
        <f t="shared" ref="V31:V34" si="7">ROUND(SUM(R31)-SUM(P31),1)</f>
        <v>8.6</v>
      </c>
      <c r="W31" s="1740"/>
      <c r="X31" s="1807"/>
      <c r="Y31" s="1740"/>
      <c r="Z31" s="1740"/>
      <c r="AA31" s="1740"/>
      <c r="AB31" s="1740"/>
      <c r="AC31" s="1740"/>
      <c r="AD31" s="1741"/>
      <c r="AE31" s="1742"/>
      <c r="AF31" s="1720"/>
      <c r="AG31" s="1742"/>
      <c r="AH31" s="1720"/>
      <c r="AI31" s="1745"/>
      <c r="AJ31" s="1720"/>
      <c r="AK31" s="1720"/>
      <c r="AL31" s="1745"/>
      <c r="AM31" s="1745"/>
      <c r="AN31" s="1720"/>
      <c r="AO31" s="1745"/>
      <c r="AP31" s="1720"/>
      <c r="AQ31" s="1745"/>
      <c r="AR31" s="1728"/>
      <c r="AS31" s="1728"/>
      <c r="AT31" s="1728"/>
      <c r="AU31" s="1728"/>
      <c r="AV31" s="1728"/>
      <c r="AW31" s="1728"/>
    </row>
    <row r="32" spans="1:49">
      <c r="A32" s="1566" t="s">
        <v>71</v>
      </c>
      <c r="B32" s="1742" t="s">
        <v>15</v>
      </c>
      <c r="C32" s="1262">
        <v>1812</v>
      </c>
      <c r="D32" s="1111"/>
      <c r="E32" s="1262">
        <v>1803</v>
      </c>
      <c r="F32" s="1111"/>
      <c r="G32" s="1262">
        <f>'Exhibit G State'!AC104</f>
        <v>1980.8</v>
      </c>
      <c r="H32" s="1111"/>
      <c r="I32" s="2800">
        <f t="shared" si="4"/>
        <v>168.8</v>
      </c>
      <c r="J32" s="1740"/>
      <c r="K32" s="2800">
        <f t="shared" si="6"/>
        <v>177.8</v>
      </c>
      <c r="L32" s="1740"/>
      <c r="M32" s="2211"/>
      <c r="N32" s="1262">
        <v>238</v>
      </c>
      <c r="O32" s="1111"/>
      <c r="P32" s="1262">
        <v>244</v>
      </c>
      <c r="Q32" s="1111"/>
      <c r="R32" s="1262">
        <f>'Exhibit G Federal'!AC73</f>
        <v>234.9</v>
      </c>
      <c r="S32" s="1111"/>
      <c r="T32" s="2800">
        <f t="shared" si="5"/>
        <v>-3.1</v>
      </c>
      <c r="U32" s="1720"/>
      <c r="V32" s="2800">
        <f t="shared" si="7"/>
        <v>-9.1</v>
      </c>
      <c r="W32" s="1740"/>
      <c r="X32" s="1807"/>
      <c r="Y32" s="1740"/>
      <c r="Z32" s="1740"/>
      <c r="AA32" s="1740"/>
      <c r="AB32" s="1740"/>
      <c r="AC32" s="1740"/>
      <c r="AD32" s="1744"/>
      <c r="AE32" s="1745"/>
      <c r="AF32" s="1720"/>
      <c r="AG32" s="1745"/>
      <c r="AH32" s="1720"/>
      <c r="AI32" s="1745"/>
      <c r="AJ32" s="1746"/>
      <c r="AK32" s="1720"/>
      <c r="AL32" s="1745"/>
      <c r="AM32" s="1745"/>
      <c r="AN32" s="1720"/>
      <c r="AO32" s="1745"/>
      <c r="AP32" s="1720"/>
      <c r="AQ32" s="1745"/>
      <c r="AR32" s="1728"/>
      <c r="AS32" s="1728"/>
      <c r="AT32" s="1728"/>
      <c r="AU32" s="1728"/>
      <c r="AV32" s="1728"/>
      <c r="AW32" s="1728"/>
    </row>
    <row r="33" spans="1:49">
      <c r="A33" s="1566" t="s">
        <v>42</v>
      </c>
      <c r="B33" s="1746" t="s">
        <v>15</v>
      </c>
      <c r="C33" s="1191">
        <v>0</v>
      </c>
      <c r="D33" s="1111"/>
      <c r="E33" s="1191">
        <v>0</v>
      </c>
      <c r="F33" s="1111"/>
      <c r="G33" s="1191">
        <f>'Exhibit G State'!AC105</f>
        <v>0</v>
      </c>
      <c r="H33" s="1111"/>
      <c r="I33" s="2800">
        <f t="shared" si="4"/>
        <v>0</v>
      </c>
      <c r="J33" s="1740"/>
      <c r="K33" s="2800">
        <f t="shared" si="6"/>
        <v>0</v>
      </c>
      <c r="L33" s="1740"/>
      <c r="M33" s="2212"/>
      <c r="N33" s="1191">
        <v>0</v>
      </c>
      <c r="O33" s="1111"/>
      <c r="P33" s="1191">
        <v>0</v>
      </c>
      <c r="Q33" s="1111"/>
      <c r="R33" s="1191">
        <v>0</v>
      </c>
      <c r="S33" s="1111"/>
      <c r="T33" s="2800">
        <f t="shared" si="5"/>
        <v>0</v>
      </c>
      <c r="U33" s="1746"/>
      <c r="V33" s="2800">
        <f t="shared" si="7"/>
        <v>0</v>
      </c>
      <c r="W33" s="1740"/>
      <c r="X33" s="1807"/>
      <c r="Y33" s="1740"/>
      <c r="Z33" s="1740"/>
      <c r="AA33" s="1740"/>
      <c r="AB33" s="1740"/>
      <c r="AC33" s="1740"/>
      <c r="AD33" s="1744"/>
      <c r="AE33" s="1745"/>
      <c r="AF33" s="1720"/>
      <c r="AG33" s="1745"/>
      <c r="AH33" s="1720"/>
      <c r="AI33" s="1745"/>
      <c r="AJ33" s="1746"/>
      <c r="AK33" s="1720"/>
      <c r="AL33" s="1720"/>
      <c r="AM33" s="1720"/>
      <c r="AN33" s="1720"/>
      <c r="AO33" s="1720"/>
      <c r="AP33" s="1720"/>
      <c r="AQ33" s="1720"/>
      <c r="AR33" s="1728"/>
      <c r="AS33" s="1728"/>
      <c r="AT33" s="1728"/>
      <c r="AU33" s="1728"/>
      <c r="AV33" s="1728"/>
      <c r="AW33" s="1728"/>
    </row>
    <row r="34" spans="1:49">
      <c r="A34" s="1566" t="s">
        <v>100</v>
      </c>
      <c r="B34" s="1746" t="s">
        <v>15</v>
      </c>
      <c r="C34" s="1275">
        <v>291</v>
      </c>
      <c r="D34" s="1111"/>
      <c r="E34" s="1275">
        <v>581</v>
      </c>
      <c r="F34" s="1111"/>
      <c r="G34" s="1275">
        <f>-'Exhibit G State'!AC114</f>
        <v>601</v>
      </c>
      <c r="H34" s="1111"/>
      <c r="I34" s="2800">
        <f t="shared" si="4"/>
        <v>310</v>
      </c>
      <c r="J34" s="1740"/>
      <c r="K34" s="2800">
        <f t="shared" si="6"/>
        <v>20</v>
      </c>
      <c r="L34" s="1740"/>
      <c r="M34" s="2212"/>
      <c r="N34" s="1275">
        <v>1694</v>
      </c>
      <c r="O34" s="1111"/>
      <c r="P34" s="1275">
        <v>1669</v>
      </c>
      <c r="Q34" s="1111"/>
      <c r="R34" s="1275">
        <f>-'Exhibit G Federal'!AC83</f>
        <v>1615.8</v>
      </c>
      <c r="S34" s="1111"/>
      <c r="T34" s="2800">
        <f t="shared" si="5"/>
        <v>-78.2</v>
      </c>
      <c r="U34" s="1746"/>
      <c r="V34" s="2800">
        <f t="shared" si="7"/>
        <v>-53.2</v>
      </c>
      <c r="W34" s="1740"/>
      <c r="X34" s="1807"/>
      <c r="Y34" s="1740"/>
      <c r="Z34" s="1741"/>
      <c r="AA34" s="1740"/>
      <c r="AB34" s="1740"/>
      <c r="AC34" s="1740"/>
      <c r="AD34" s="1744"/>
      <c r="AE34" s="1745"/>
      <c r="AF34" s="1720"/>
      <c r="AG34" s="1745"/>
      <c r="AH34" s="1720"/>
      <c r="AI34" s="1745"/>
      <c r="AJ34" s="1746"/>
      <c r="AK34" s="1720"/>
      <c r="AL34" s="1720"/>
      <c r="AM34" s="1720"/>
      <c r="AN34" s="1720"/>
      <c r="AO34" s="1720"/>
      <c r="AP34" s="1720"/>
      <c r="AQ34" s="1720"/>
      <c r="AR34" s="1728"/>
      <c r="AS34" s="1728"/>
      <c r="AT34" s="1728"/>
      <c r="AU34" s="1728"/>
      <c r="AV34" s="1728"/>
      <c r="AW34" s="1728"/>
    </row>
    <row r="35" spans="1:49" ht="18" customHeight="1">
      <c r="A35" s="373" t="s">
        <v>120</v>
      </c>
      <c r="B35" s="351" t="s">
        <v>15</v>
      </c>
      <c r="C35" s="540">
        <f>ROUND(SUM(C30:C34),1)</f>
        <v>27626</v>
      </c>
      <c r="D35" s="1719"/>
      <c r="E35" s="540">
        <f>ROUND(SUM(E30:E34),1)</f>
        <v>28160</v>
      </c>
      <c r="F35" s="1719"/>
      <c r="G35" s="540">
        <f>ROUND(SUM(G30:G34),1)</f>
        <v>28356.7</v>
      </c>
      <c r="H35" s="1719"/>
      <c r="I35" s="2821">
        <f>ROUND(SUM(I30:I34),1)</f>
        <v>730.7</v>
      </c>
      <c r="J35" s="272"/>
      <c r="K35" s="540">
        <f>ROUND(SUM(K30:K34),1)</f>
        <v>196.7</v>
      </c>
      <c r="L35" s="272"/>
      <c r="M35" s="2215"/>
      <c r="N35" s="540">
        <f>ROUND(SUM(N30:N34),1)</f>
        <v>45691</v>
      </c>
      <c r="O35" s="1719"/>
      <c r="P35" s="540">
        <f>ROUND(SUM(P30:P34),1)</f>
        <v>46306</v>
      </c>
      <c r="Q35" s="1719"/>
      <c r="R35" s="540">
        <f>ROUND(SUM(R30:R34),1)</f>
        <v>45631.199999999997</v>
      </c>
      <c r="S35" s="1719"/>
      <c r="T35" s="2821">
        <f>ROUND(SUM(T30:T34),1)</f>
        <v>-59.8</v>
      </c>
      <c r="U35" s="351"/>
      <c r="V35" s="540">
        <f>ROUND(SUM(V30:V34),1)</f>
        <v>-674.8</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28"/>
      <c r="AS35" s="1728"/>
      <c r="AT35" s="1728"/>
      <c r="AU35" s="1728"/>
      <c r="AV35" s="1728"/>
      <c r="AW35" s="1728"/>
    </row>
    <row r="36" spans="1:49">
      <c r="A36" s="1279"/>
      <c r="B36" s="1720"/>
      <c r="C36" s="1277"/>
      <c r="D36" s="1111"/>
      <c r="E36" s="1277"/>
      <c r="F36" s="1111"/>
      <c r="G36" s="1277"/>
      <c r="H36" s="1111"/>
      <c r="I36" s="1740"/>
      <c r="J36" s="1740"/>
      <c r="K36" s="1740"/>
      <c r="L36" s="1740"/>
      <c r="M36" s="2211"/>
      <c r="N36" s="1740"/>
      <c r="O36" s="1111"/>
      <c r="P36" s="1277"/>
      <c r="Q36" s="1111"/>
      <c r="R36" s="1277"/>
      <c r="S36" s="1111"/>
      <c r="T36" s="1740"/>
      <c r="U36" s="1720"/>
      <c r="V36" s="1740"/>
      <c r="W36" s="1740"/>
      <c r="X36" s="1740"/>
      <c r="Y36" s="1740"/>
      <c r="Z36" s="1740"/>
      <c r="AA36" s="1740"/>
      <c r="AB36" s="1740"/>
      <c r="AC36" s="1740"/>
      <c r="AD36" s="1740"/>
      <c r="AE36" s="1720"/>
      <c r="AF36" s="1720"/>
      <c r="AG36" s="1720"/>
      <c r="AH36" s="1720"/>
      <c r="AI36" s="1720"/>
      <c r="AJ36" s="1720"/>
      <c r="AK36" s="1720"/>
      <c r="AL36" s="1720"/>
      <c r="AM36" s="1720"/>
      <c r="AN36" s="1720"/>
      <c r="AO36" s="1720"/>
      <c r="AP36" s="1720"/>
      <c r="AQ36" s="1720"/>
      <c r="AR36" s="1728"/>
      <c r="AS36" s="1728"/>
      <c r="AT36" s="1728"/>
      <c r="AU36" s="1728"/>
      <c r="AV36" s="1728"/>
      <c r="AW36" s="1728"/>
    </row>
    <row r="37" spans="1:49" ht="15.6">
      <c r="A37" s="221" t="s">
        <v>121</v>
      </c>
      <c r="B37" s="1720"/>
      <c r="C37" s="1111"/>
      <c r="D37" s="1111"/>
      <c r="E37" s="1111"/>
      <c r="F37" s="1111"/>
      <c r="G37" s="1111"/>
      <c r="H37" s="1111"/>
      <c r="I37" s="1740"/>
      <c r="J37" s="1740"/>
      <c r="K37" s="1740"/>
      <c r="L37" s="1740"/>
      <c r="M37" s="2211"/>
      <c r="N37" s="1111"/>
      <c r="O37" s="1111"/>
      <c r="P37" s="1111"/>
      <c r="Q37" s="1111"/>
      <c r="R37" s="1111"/>
      <c r="S37" s="1111"/>
      <c r="T37" s="2800"/>
      <c r="U37" s="1720"/>
      <c r="V37" s="1740"/>
      <c r="W37" s="1740"/>
      <c r="X37" s="1740"/>
      <c r="Y37" s="1740"/>
      <c r="Z37" s="1740"/>
      <c r="AA37" s="1740"/>
      <c r="AB37" s="1740"/>
      <c r="AC37" s="1740"/>
      <c r="AD37" s="1740"/>
      <c r="AE37" s="1720"/>
      <c r="AF37" s="1720"/>
      <c r="AG37" s="1720"/>
      <c r="AH37" s="1720"/>
      <c r="AI37" s="1720"/>
      <c r="AJ37" s="1720"/>
      <c r="AK37" s="1720"/>
      <c r="AL37" s="1720"/>
      <c r="AM37" s="1720"/>
      <c r="AN37" s="1720"/>
      <c r="AO37" s="1720"/>
      <c r="AP37" s="1720"/>
      <c r="AQ37" s="1720"/>
      <c r="AR37" s="1728"/>
      <c r="AS37" s="1728"/>
      <c r="AT37" s="1728"/>
      <c r="AU37" s="1728"/>
      <c r="AV37" s="1728"/>
      <c r="AW37" s="1728"/>
    </row>
    <row r="38" spans="1:49" ht="15.6">
      <c r="A38" s="221" t="s">
        <v>122</v>
      </c>
      <c r="B38" s="1720"/>
      <c r="C38" s="1111"/>
      <c r="D38" s="1111"/>
      <c r="E38" s="1111"/>
      <c r="F38" s="1111"/>
      <c r="G38" s="1111"/>
      <c r="H38" s="1111"/>
      <c r="I38" s="1740"/>
      <c r="J38" s="1740"/>
      <c r="K38" s="1740"/>
      <c r="L38" s="1740"/>
      <c r="M38" s="2211"/>
      <c r="N38" s="1111"/>
      <c r="O38" s="1111"/>
      <c r="P38" s="1111"/>
      <c r="Q38" s="1111"/>
      <c r="R38" s="1111"/>
      <c r="S38" s="1111"/>
      <c r="T38" s="2800"/>
      <c r="U38" s="1720"/>
      <c r="V38" s="1740"/>
      <c r="W38" s="1740"/>
      <c r="X38" s="1740"/>
      <c r="Y38" s="1740"/>
      <c r="Z38" s="1740"/>
      <c r="AA38" s="1740"/>
      <c r="AB38" s="1740"/>
      <c r="AC38" s="1740"/>
      <c r="AD38" s="1740"/>
      <c r="AE38" s="1720"/>
      <c r="AF38" s="1720"/>
      <c r="AG38" s="1720"/>
      <c r="AH38" s="1720"/>
      <c r="AI38" s="1720"/>
      <c r="AJ38" s="1720"/>
      <c r="AK38" s="1720"/>
      <c r="AL38" s="1720"/>
      <c r="AM38" s="1720"/>
      <c r="AN38" s="1720"/>
      <c r="AO38" s="1720"/>
      <c r="AP38" s="1720"/>
      <c r="AQ38" s="1720"/>
      <c r="AR38" s="1728"/>
      <c r="AS38" s="1728"/>
      <c r="AT38" s="1728"/>
      <c r="AU38" s="1728"/>
      <c r="AV38" s="1728"/>
      <c r="AW38" s="1728"/>
    </row>
    <row r="39" spans="1:49" ht="15.6">
      <c r="A39" s="373" t="s">
        <v>104</v>
      </c>
      <c r="B39" s="1718" t="s">
        <v>15</v>
      </c>
      <c r="C39" s="272">
        <f>ROUND(SUM(C27)-SUM(C35),1)</f>
        <v>-22</v>
      </c>
      <c r="D39" s="282"/>
      <c r="E39" s="272">
        <f>ROUND(SUM(E27)-SUM(E35),1)</f>
        <v>53</v>
      </c>
      <c r="F39" s="282"/>
      <c r="G39" s="272">
        <f>ROUND(SUM(G27)-SUM(G35),1)</f>
        <v>11.1</v>
      </c>
      <c r="H39" s="282"/>
      <c r="I39" s="2801">
        <f>ROUND(SUM(I27)-SUM(I35),1)</f>
        <v>33.1</v>
      </c>
      <c r="J39" s="272"/>
      <c r="K39" s="2801">
        <f>ROUND(SUM(K27)-SUM(K35),1)</f>
        <v>-41.9</v>
      </c>
      <c r="L39" s="272"/>
      <c r="M39" s="2213"/>
      <c r="N39" s="272">
        <f>ROUND(SUM(N27)-SUM(N35),1)</f>
        <v>-974</v>
      </c>
      <c r="O39" s="282"/>
      <c r="P39" s="272">
        <f>ROUND(SUM(P27)-SUM(P35),1)</f>
        <v>-510</v>
      </c>
      <c r="Q39" s="282"/>
      <c r="R39" s="272">
        <f>ROUND(SUM(R27)-SUM(R35),1)</f>
        <v>-891.2</v>
      </c>
      <c r="S39" s="282"/>
      <c r="T39" s="2801">
        <f>ROUND(SUM(T27)-SUM(T35),1)</f>
        <v>82.8</v>
      </c>
      <c r="U39" s="351"/>
      <c r="V39" s="2801">
        <f>ROUND(SUM(V27)-SUM(V35),1)</f>
        <v>-381.2</v>
      </c>
      <c r="W39" s="735"/>
      <c r="X39" s="272"/>
      <c r="Y39" s="735"/>
      <c r="Z39" s="272"/>
      <c r="AA39" s="735"/>
      <c r="AB39" s="272"/>
      <c r="AC39" s="735"/>
      <c r="AD39" s="272"/>
      <c r="AE39" s="351"/>
      <c r="AF39" s="374"/>
      <c r="AG39" s="351"/>
      <c r="AH39" s="374"/>
      <c r="AI39" s="351"/>
      <c r="AJ39" s="351"/>
      <c r="AK39" s="374"/>
      <c r="AL39" s="351"/>
      <c r="AM39" s="351"/>
      <c r="AN39" s="374"/>
      <c r="AO39" s="351"/>
      <c r="AP39" s="374"/>
      <c r="AQ39" s="351"/>
      <c r="AR39" s="1728"/>
      <c r="AS39" s="1728"/>
      <c r="AT39" s="1728"/>
      <c r="AU39" s="1728"/>
      <c r="AV39" s="1728"/>
      <c r="AW39" s="1728"/>
    </row>
    <row r="40" spans="1:49" ht="15" customHeight="1">
      <c r="C40" s="1205"/>
      <c r="D40" s="1729"/>
      <c r="E40" s="1205"/>
      <c r="F40" s="1729"/>
      <c r="G40" s="1205"/>
      <c r="H40" s="1729"/>
      <c r="I40" s="2801"/>
      <c r="J40" s="272"/>
      <c r="K40" s="2801"/>
      <c r="L40" s="272"/>
      <c r="M40" s="2213"/>
      <c r="N40" s="1205"/>
      <c r="O40" s="1729"/>
      <c r="P40" s="1205"/>
      <c r="Q40" s="1729"/>
      <c r="R40" s="1205"/>
      <c r="S40" s="1729"/>
      <c r="T40" s="2801"/>
      <c r="U40" s="351"/>
      <c r="V40" s="2801"/>
      <c r="W40" s="1205"/>
      <c r="X40" s="1205"/>
      <c r="Y40" s="1205"/>
      <c r="Z40" s="1205"/>
      <c r="AA40" s="1205"/>
      <c r="AB40" s="1205"/>
      <c r="AC40" s="1205"/>
      <c r="AD40" s="1205"/>
      <c r="AR40" s="1728"/>
      <c r="AS40" s="1728"/>
      <c r="AT40" s="1728"/>
      <c r="AU40" s="1728"/>
      <c r="AV40" s="1728"/>
      <c r="AW40" s="1728"/>
    </row>
    <row r="41" spans="1:49" ht="15.6">
      <c r="A41" s="373" t="str">
        <f>+'Exh D-Governmental  '!A49</f>
        <v>Fund Balances (Deficits) at April 1</v>
      </c>
      <c r="B41" s="1106" t="s">
        <v>15</v>
      </c>
      <c r="C41" s="272">
        <v>3732</v>
      </c>
      <c r="D41" s="1729"/>
      <c r="E41" s="272">
        <v>3732</v>
      </c>
      <c r="F41" s="1729"/>
      <c r="G41" s="272">
        <v>3732.3</v>
      </c>
      <c r="H41" s="1729"/>
      <c r="I41" s="1719">
        <f>ROUND(SUM(G41)-SUM(C41),1)</f>
        <v>0.3</v>
      </c>
      <c r="J41" s="279"/>
      <c r="K41" s="1719">
        <f>ROUND(SUM(G41)-SUM(E41),1)</f>
        <v>0.3</v>
      </c>
      <c r="L41" s="279"/>
      <c r="M41" s="2213"/>
      <c r="N41" s="272">
        <v>540</v>
      </c>
      <c r="O41" s="1729"/>
      <c r="P41" s="272">
        <v>540</v>
      </c>
      <c r="Q41" s="1729"/>
      <c r="R41" s="272">
        <v>539.9</v>
      </c>
      <c r="S41" s="1729"/>
      <c r="T41" s="1719">
        <f>ROUND(SUM(R41)-SUM(N41),1)</f>
        <v>-0.1</v>
      </c>
      <c r="U41" s="351"/>
      <c r="V41" s="1719">
        <f>ROUND(SUM(R41)-SUM(P41),1)</f>
        <v>-0.1</v>
      </c>
      <c r="W41" s="1205"/>
      <c r="X41" s="272"/>
      <c r="Y41" s="1205"/>
      <c r="Z41" s="272"/>
      <c r="AA41" s="1205"/>
      <c r="AB41" s="279"/>
      <c r="AC41" s="1205"/>
      <c r="AD41" s="1205"/>
      <c r="AR41" s="1728"/>
      <c r="AS41" s="1728"/>
      <c r="AT41" s="1728"/>
      <c r="AU41" s="1728"/>
      <c r="AV41" s="1728"/>
      <c r="AW41" s="1728"/>
    </row>
    <row r="42" spans="1:49" ht="18" customHeight="1" thickBot="1">
      <c r="A42" s="2420" t="str">
        <f>+'Exh D-Governmental  '!A50</f>
        <v>Fund Balances (Deficits) at January 31, 2018</v>
      </c>
      <c r="B42" s="380" t="s">
        <v>15</v>
      </c>
      <c r="C42" s="296">
        <f>ROUND(SUM(C39:C41),1)</f>
        <v>3710</v>
      </c>
      <c r="D42" s="381"/>
      <c r="E42" s="296">
        <f>ROUND(SUM(E39:E41),1)</f>
        <v>3785</v>
      </c>
      <c r="F42" s="381"/>
      <c r="G42" s="296">
        <f>ROUND(SUM(G39:G41),1)</f>
        <v>3743.4</v>
      </c>
      <c r="H42" s="381"/>
      <c r="I42" s="3341">
        <f>ROUND(SUM(I39:I41),1)</f>
        <v>33.4</v>
      </c>
      <c r="J42" s="421"/>
      <c r="K42" s="296">
        <f>ROUND(SUM(K39:K41),1)</f>
        <v>-41.6</v>
      </c>
      <c r="L42" s="421"/>
      <c r="M42" s="2214"/>
      <c r="N42" s="296">
        <f>ROUND(SUM(N39:N41),1)</f>
        <v>-434</v>
      </c>
      <c r="O42" s="296">
        <f>ROUND(SUM(O39:O41),1)</f>
        <v>0</v>
      </c>
      <c r="P42" s="296">
        <f>ROUND(SUM(P39:P41),1)</f>
        <v>30</v>
      </c>
      <c r="Q42" s="381"/>
      <c r="R42" s="296">
        <f>ROUND(SUM(R39:R41),1)</f>
        <v>-351.3</v>
      </c>
      <c r="S42" s="381"/>
      <c r="T42" s="3341">
        <f>ROUND(SUM(T39:T41),1)</f>
        <v>82.7</v>
      </c>
      <c r="U42" s="351"/>
      <c r="V42" s="296">
        <f>ROUND(SUM(V39:V41),1)</f>
        <v>-381.3</v>
      </c>
      <c r="W42" s="1810"/>
      <c r="X42" s="421"/>
      <c r="Y42" s="1810"/>
      <c r="Z42" s="421"/>
      <c r="AA42" s="1810"/>
      <c r="AB42" s="421"/>
      <c r="AR42" s="1728"/>
      <c r="AS42" s="1728"/>
      <c r="AT42" s="1728"/>
      <c r="AU42" s="1728"/>
      <c r="AV42" s="1728"/>
      <c r="AW42" s="1728"/>
    </row>
    <row r="43" spans="1:49" ht="15" customHeight="1" thickTop="1">
      <c r="A43" s="355"/>
      <c r="G43" s="1106"/>
      <c r="J43" s="1106"/>
      <c r="V43" s="1106"/>
      <c r="W43" s="1811"/>
      <c r="X43" s="1278"/>
      <c r="Y43" s="1811"/>
      <c r="Z43" s="1811"/>
      <c r="AA43" s="1811"/>
      <c r="AB43" s="1811"/>
      <c r="AR43" s="1728"/>
      <c r="AS43" s="1728"/>
      <c r="AT43" s="1728"/>
      <c r="AU43" s="1728"/>
      <c r="AV43" s="1728"/>
      <c r="AW43" s="1728"/>
    </row>
    <row r="44" spans="1:49">
      <c r="A44" s="1733" t="str">
        <f>'Exh D-Governmental  '!A52</f>
        <v>(*)     Source:  2017-18 Enacted Financial Plan dated May 26, 2017.</v>
      </c>
      <c r="AR44" s="1728"/>
      <c r="AS44" s="1728"/>
      <c r="AT44" s="1728"/>
      <c r="AU44" s="1728"/>
      <c r="AV44" s="1728"/>
      <c r="AW44" s="1728"/>
    </row>
    <row r="45" spans="1:49">
      <c r="A45" s="1135" t="str">
        <f>'Exh D-Governmental  '!A53</f>
        <v>(**)    Source: 2018-19 Executive Budget dated January 17, 2018.</v>
      </c>
      <c r="B45" s="1728"/>
      <c r="C45" s="1728"/>
      <c r="D45" s="1728"/>
      <c r="E45" s="1728"/>
      <c r="F45" s="1728"/>
      <c r="G45" s="1728"/>
      <c r="H45" s="1728"/>
      <c r="I45" s="1728"/>
      <c r="J45" s="1728"/>
      <c r="K45" s="1728"/>
      <c r="L45" s="1284"/>
      <c r="M45" s="1284"/>
      <c r="N45" s="1728"/>
      <c r="O45" s="1728"/>
      <c r="P45" s="1728"/>
      <c r="Q45" s="1728"/>
      <c r="R45" s="1728"/>
      <c r="S45" s="1728"/>
      <c r="T45" s="1728"/>
      <c r="U45" s="1728"/>
      <c r="V45" s="1284"/>
      <c r="W45" s="1284"/>
      <c r="X45" s="1284"/>
      <c r="Y45" s="1284"/>
      <c r="Z45" s="1284"/>
      <c r="AA45" s="1284"/>
      <c r="AB45" s="1284"/>
      <c r="AC45" s="1728"/>
      <c r="AD45" s="1728"/>
      <c r="AE45" s="1728"/>
      <c r="AF45" s="1728"/>
      <c r="AG45" s="1728"/>
      <c r="AH45" s="1728"/>
      <c r="AI45" s="1728"/>
      <c r="AJ45" s="1728"/>
      <c r="AK45" s="1728"/>
      <c r="AL45" s="1728"/>
      <c r="AM45" s="1728"/>
      <c r="AN45" s="1728"/>
      <c r="AO45" s="1728"/>
      <c r="AP45" s="1728"/>
      <c r="AQ45" s="1728"/>
      <c r="AR45" s="1728"/>
      <c r="AS45" s="1728"/>
      <c r="AT45" s="1728"/>
      <c r="AU45" s="1728"/>
      <c r="AV45" s="1728"/>
      <c r="AW45" s="1728"/>
    </row>
    <row r="46" spans="1:49">
      <c r="A46" s="2675"/>
      <c r="B46" s="1728"/>
      <c r="C46" s="1748"/>
      <c r="D46" s="1728"/>
      <c r="E46" s="1728"/>
      <c r="F46" s="1728"/>
      <c r="G46" s="1728"/>
      <c r="H46" s="1728"/>
      <c r="I46" s="1728"/>
      <c r="J46" s="1728"/>
      <c r="K46" s="1728"/>
      <c r="L46" s="1284"/>
      <c r="M46" s="1284"/>
      <c r="N46" s="1728"/>
      <c r="O46" s="1728"/>
      <c r="P46" s="1728"/>
      <c r="Q46" s="1728"/>
      <c r="R46" s="1728"/>
      <c r="S46" s="1728"/>
      <c r="T46" s="1728"/>
      <c r="U46" s="1728"/>
      <c r="V46" s="1284"/>
      <c r="W46" s="1284"/>
      <c r="X46" s="1284"/>
      <c r="Y46" s="1284"/>
      <c r="Z46" s="1284"/>
      <c r="AA46" s="1284"/>
      <c r="AB46" s="1284"/>
      <c r="AC46" s="1728"/>
      <c r="AD46" s="1728"/>
      <c r="AE46" s="1728"/>
      <c r="AF46" s="1728"/>
      <c r="AG46" s="1728"/>
      <c r="AH46" s="1728"/>
      <c r="AI46" s="1728"/>
      <c r="AJ46" s="1728"/>
      <c r="AK46" s="1728"/>
      <c r="AL46" s="1728"/>
      <c r="AM46" s="1728"/>
      <c r="AN46" s="1728"/>
      <c r="AO46" s="1728"/>
      <c r="AP46" s="1728"/>
      <c r="AQ46" s="1728"/>
      <c r="AR46" s="1728"/>
      <c r="AS46" s="1728"/>
      <c r="AT46" s="1728"/>
      <c r="AU46" s="1728"/>
      <c r="AV46" s="1728"/>
      <c r="AW46" s="1728"/>
    </row>
    <row r="47" spans="1:49">
      <c r="A47" s="1693"/>
    </row>
    <row r="48" spans="1:49">
      <c r="A48" s="404"/>
      <c r="B48" s="1728"/>
      <c r="C48" s="1728"/>
      <c r="D48" s="1728"/>
      <c r="E48" s="1728"/>
      <c r="F48" s="1728"/>
      <c r="G48" s="1728"/>
      <c r="H48" s="1728"/>
      <c r="I48" s="1728"/>
      <c r="J48" s="1728"/>
      <c r="K48" s="1728"/>
      <c r="L48" s="1284"/>
      <c r="M48" s="1284"/>
      <c r="N48" s="1728"/>
      <c r="O48" s="1728"/>
      <c r="P48" s="1728"/>
      <c r="Q48" s="1728"/>
      <c r="R48" s="1728"/>
      <c r="S48" s="1728"/>
      <c r="T48" s="1728"/>
      <c r="U48" s="1728"/>
      <c r="V48" s="1284"/>
      <c r="W48" s="1284"/>
      <c r="X48" s="1284"/>
      <c r="Y48" s="1284"/>
      <c r="Z48" s="1284"/>
      <c r="AA48" s="1284"/>
      <c r="AB48" s="1284"/>
      <c r="AC48" s="1728"/>
      <c r="AD48" s="1728"/>
      <c r="AE48" s="1728"/>
      <c r="AF48" s="1728"/>
      <c r="AG48" s="1728"/>
      <c r="AH48" s="1728"/>
      <c r="AI48" s="1728"/>
      <c r="AJ48" s="1728"/>
      <c r="AK48" s="1728"/>
      <c r="AL48" s="1728"/>
      <c r="AM48" s="1728"/>
      <c r="AN48" s="1728"/>
      <c r="AO48" s="1728"/>
      <c r="AP48" s="1728"/>
      <c r="AQ48" s="1728"/>
      <c r="AR48" s="1728"/>
      <c r="AS48" s="1728"/>
      <c r="AT48" s="1728"/>
      <c r="AU48" s="1728"/>
      <c r="AV48" s="1728"/>
      <c r="AW48" s="1728"/>
    </row>
    <row r="49" spans="1:49">
      <c r="A49" s="404"/>
      <c r="B49" s="1728"/>
      <c r="C49" s="1728"/>
      <c r="D49" s="1728"/>
      <c r="E49" s="1728"/>
      <c r="F49" s="1728"/>
      <c r="G49" s="1728"/>
      <c r="H49" s="1728"/>
      <c r="I49" s="1728"/>
      <c r="J49" s="1728"/>
      <c r="K49" s="1728"/>
      <c r="L49" s="1284"/>
      <c r="M49" s="1284"/>
      <c r="N49" s="1728"/>
      <c r="O49" s="1728"/>
      <c r="P49" s="1728"/>
      <c r="Q49" s="1728"/>
      <c r="R49" s="1728"/>
      <c r="S49" s="1728"/>
      <c r="T49" s="1728"/>
      <c r="U49" s="1728"/>
      <c r="V49" s="1284"/>
      <c r="W49" s="1284"/>
      <c r="X49" s="1284"/>
      <c r="Y49" s="1284"/>
      <c r="Z49" s="1284"/>
      <c r="AA49" s="1284"/>
      <c r="AB49" s="1284"/>
      <c r="AC49" s="1728"/>
      <c r="AD49" s="1728"/>
      <c r="AE49" s="1728"/>
      <c r="AF49" s="1728"/>
      <c r="AG49" s="1728"/>
      <c r="AH49" s="1728"/>
      <c r="AI49" s="1728"/>
      <c r="AJ49" s="1728"/>
      <c r="AK49" s="1728"/>
      <c r="AL49" s="1728"/>
      <c r="AM49" s="1728"/>
      <c r="AN49" s="1728"/>
      <c r="AO49" s="1728"/>
      <c r="AP49" s="1728"/>
      <c r="AQ49" s="1728"/>
      <c r="AR49" s="1728"/>
      <c r="AS49" s="1728"/>
      <c r="AT49" s="1728"/>
      <c r="AU49" s="1728"/>
      <c r="AV49" s="1728"/>
      <c r="AW49" s="172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5" workbookViewId="0"/>
  </sheetViews>
  <sheetFormatPr defaultColWidth="8.90625" defaultRowHeight="15"/>
  <cols>
    <col min="1" max="1" width="47.90625" style="1728" customWidth="1"/>
    <col min="2" max="2" width="2" style="1106" customWidth="1"/>
    <col min="3" max="3" width="15.81640625" style="783" customWidth="1"/>
    <col min="4" max="4" width="4.81640625" style="1732" customWidth="1"/>
    <col min="5" max="5" width="15.81640625" style="783" customWidth="1"/>
    <col min="6" max="6" width="4.81640625" style="1732" customWidth="1"/>
    <col min="7" max="7" width="15.81640625" style="1732" customWidth="1"/>
    <col min="8" max="8" width="4.81640625" style="1732" customWidth="1"/>
    <col min="9" max="9" width="15.81640625" style="1732" customWidth="1"/>
    <col min="10" max="10" width="2" style="1106" customWidth="1"/>
    <col min="11" max="11" width="11.90625" style="1106" customWidth="1"/>
    <col min="12" max="12" width="11.453125" style="1106" customWidth="1"/>
    <col min="13" max="13" width="1.90625" style="1106" customWidth="1"/>
    <col min="14" max="14" width="11.6328125" style="1106" customWidth="1"/>
    <col min="15" max="15" width="2.08984375" style="1106" customWidth="1"/>
    <col min="16" max="16" width="11.453125" style="1106" customWidth="1"/>
    <col min="17" max="17" width="0.54296875" style="1106" customWidth="1"/>
    <col min="18" max="18" width="2.36328125" style="1106" customWidth="1"/>
    <col min="19" max="19" width="10.54296875" style="1106" customWidth="1"/>
    <col min="20" max="20" width="11.08984375" style="1106" customWidth="1"/>
    <col min="21" max="21" width="2.1796875" style="1106" customWidth="1"/>
    <col min="22" max="22" width="11.08984375" style="1106" customWidth="1"/>
    <col min="23" max="23" width="2.08984375" style="1106" customWidth="1"/>
    <col min="24" max="24" width="12.453125" style="1106" customWidth="1"/>
    <col min="25" max="29" width="8.90625" style="1106"/>
    <col min="30" max="30" width="8.90625" style="1732"/>
    <col min="31" max="16384" width="8.90625" style="1728"/>
  </cols>
  <sheetData>
    <row r="1" spans="1:24">
      <c r="A1" s="1734" t="s">
        <v>1066</v>
      </c>
      <c r="B1" s="386"/>
      <c r="C1" s="777"/>
      <c r="D1" s="387"/>
      <c r="E1" s="777"/>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7"/>
      <c r="D2" s="387"/>
      <c r="E2" s="777"/>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0"/>
      <c r="D3" s="342"/>
      <c r="E3" s="780"/>
      <c r="F3" s="342"/>
      <c r="G3" s="342"/>
      <c r="H3" s="342"/>
      <c r="I3" s="1575"/>
      <c r="J3" s="342"/>
      <c r="K3" s="1575" t="s">
        <v>85</v>
      </c>
      <c r="L3" s="356"/>
      <c r="M3" s="356"/>
      <c r="N3" s="356"/>
      <c r="O3" s="356"/>
      <c r="P3" s="356"/>
      <c r="Q3" s="356"/>
      <c r="R3" s="356"/>
      <c r="S3" s="356"/>
      <c r="T3" s="356"/>
      <c r="U3" s="356"/>
      <c r="V3" s="356"/>
      <c r="W3" s="356"/>
      <c r="X3" s="392"/>
    </row>
    <row r="4" spans="1:24" ht="21.75" customHeight="1">
      <c r="A4" s="391" t="s">
        <v>84</v>
      </c>
      <c r="B4" s="348"/>
      <c r="C4" s="780"/>
      <c r="D4" s="342"/>
      <c r="E4" s="780"/>
      <c r="F4" s="342"/>
      <c r="G4" s="342"/>
      <c r="H4" s="342"/>
      <c r="I4" s="1576"/>
      <c r="J4" s="342"/>
      <c r="K4" s="1576"/>
      <c r="L4" s="356"/>
      <c r="M4" s="356"/>
      <c r="N4" s="356"/>
      <c r="O4" s="356"/>
      <c r="P4" s="356"/>
      <c r="Q4" s="356"/>
      <c r="R4" s="356"/>
      <c r="S4" s="356"/>
      <c r="T4" s="356"/>
      <c r="U4" s="356"/>
      <c r="V4" s="356"/>
      <c r="W4" s="356"/>
      <c r="X4" s="356"/>
    </row>
    <row r="5" spans="1:24" ht="21.75" customHeight="1">
      <c r="A5" s="3534" t="str">
        <f>+'Exh D-Governmental  '!A5:E5</f>
        <v>FISCAL YEAR 2017-2018</v>
      </c>
      <c r="B5" s="3535"/>
      <c r="C5" s="780"/>
      <c r="D5" s="342"/>
      <c r="E5" s="780"/>
      <c r="F5" s="342"/>
      <c r="G5" s="342"/>
      <c r="H5" s="342"/>
      <c r="I5" s="342"/>
      <c r="J5" s="342"/>
      <c r="K5" s="356"/>
      <c r="L5" s="356"/>
      <c r="M5" s="356"/>
      <c r="N5" s="356"/>
      <c r="O5" s="356"/>
      <c r="P5" s="356"/>
      <c r="Q5" s="356"/>
      <c r="R5" s="356"/>
      <c r="S5" s="356"/>
      <c r="T5" s="356"/>
      <c r="U5" s="356"/>
      <c r="V5" s="356"/>
      <c r="W5" s="356"/>
      <c r="X5" s="356"/>
    </row>
    <row r="6" spans="1:24" ht="17.25" customHeight="1">
      <c r="A6" s="2629" t="str">
        <f>'Exh D-Governmental  '!A6</f>
        <v>FOR TEN MONTHS ENDED JANUARY 31, 2018</v>
      </c>
      <c r="B6" s="347"/>
      <c r="C6" s="780"/>
      <c r="D6" s="342"/>
      <c r="E6" s="780"/>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0"/>
      <c r="D7" s="342"/>
      <c r="E7" s="780"/>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0"/>
      <c r="D8" s="342"/>
      <c r="E8" s="780"/>
      <c r="F8" s="342"/>
      <c r="G8" s="342"/>
      <c r="H8" s="342"/>
      <c r="I8" s="342"/>
      <c r="J8" s="342"/>
      <c r="K8" s="356"/>
      <c r="L8" s="356"/>
      <c r="M8" s="356"/>
      <c r="N8" s="356"/>
      <c r="O8" s="356"/>
      <c r="P8" s="356"/>
      <c r="Q8" s="356"/>
      <c r="R8" s="356"/>
      <c r="S8" s="356"/>
      <c r="T8" s="356"/>
      <c r="U8" s="356"/>
      <c r="V8" s="356"/>
      <c r="W8" s="356"/>
      <c r="X8" s="356"/>
    </row>
    <row r="9" spans="1:24">
      <c r="A9" s="350"/>
      <c r="B9" s="356"/>
      <c r="C9" s="780"/>
      <c r="D9" s="342"/>
      <c r="E9" s="780"/>
      <c r="F9" s="342"/>
      <c r="G9" s="342"/>
      <c r="H9" s="342"/>
      <c r="I9" s="342"/>
      <c r="J9" s="342"/>
      <c r="K9" s="356"/>
      <c r="L9" s="356"/>
      <c r="M9" s="356"/>
      <c r="N9" s="356"/>
      <c r="O9" s="356"/>
      <c r="P9" s="356"/>
      <c r="Q9" s="356"/>
      <c r="R9" s="356"/>
      <c r="S9" s="356"/>
      <c r="T9" s="356"/>
      <c r="U9" s="356"/>
      <c r="V9" s="356"/>
      <c r="W9" s="356"/>
      <c r="X9" s="356"/>
    </row>
    <row r="10" spans="1:24">
      <c r="A10" s="350"/>
      <c r="B10" s="356"/>
      <c r="C10" s="779"/>
      <c r="D10" s="348"/>
      <c r="E10" s="779"/>
      <c r="F10" s="348"/>
      <c r="G10" s="348"/>
      <c r="H10" s="348"/>
      <c r="I10" s="348"/>
      <c r="J10" s="342"/>
      <c r="K10" s="356"/>
      <c r="L10" s="356"/>
      <c r="M10" s="356"/>
      <c r="N10" s="356"/>
      <c r="O10" s="356"/>
      <c r="P10" s="356"/>
      <c r="Q10" s="356"/>
      <c r="R10" s="356"/>
      <c r="S10" s="356"/>
      <c r="T10" s="356"/>
      <c r="U10" s="356"/>
      <c r="V10" s="356"/>
      <c r="W10" s="356"/>
      <c r="X10" s="356"/>
    </row>
    <row r="11" spans="1:24" ht="15.6">
      <c r="A11" s="1279"/>
      <c r="C11" s="3536" t="s">
        <v>1233</v>
      </c>
      <c r="D11" s="3536"/>
      <c r="E11" s="3536"/>
      <c r="F11" s="3536"/>
      <c r="G11" s="3536"/>
      <c r="H11" s="3536"/>
      <c r="I11" s="3536"/>
      <c r="J11" s="2190"/>
      <c r="K11" s="2191"/>
      <c r="L11" s="394"/>
      <c r="M11" s="394"/>
      <c r="N11" s="394"/>
      <c r="O11" s="394"/>
      <c r="P11" s="394"/>
      <c r="Q11" s="394"/>
      <c r="R11" s="351"/>
      <c r="S11" s="394"/>
      <c r="T11" s="395"/>
      <c r="U11" s="394"/>
      <c r="V11" s="394"/>
      <c r="W11" s="394"/>
      <c r="X11" s="394"/>
    </row>
    <row r="12" spans="1:24" ht="15.6">
      <c r="A12" s="1279"/>
      <c r="C12" s="784"/>
      <c r="D12" s="396"/>
      <c r="E12" s="784"/>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79"/>
      <c r="B13" s="351"/>
      <c r="C13" s="782"/>
      <c r="D13" s="398"/>
      <c r="E13" s="782"/>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79"/>
      <c r="B14" s="402"/>
      <c r="C14" s="354" t="s">
        <v>1174</v>
      </c>
      <c r="D14" s="352"/>
      <c r="E14" s="353" t="s">
        <v>1175</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79"/>
      <c r="B15" s="402"/>
      <c r="C15" s="353" t="s">
        <v>1216</v>
      </c>
      <c r="D15" s="352"/>
      <c r="E15" s="353" t="s">
        <v>1216</v>
      </c>
      <c r="F15" s="352"/>
      <c r="G15" s="352"/>
      <c r="H15" s="352"/>
      <c r="I15" s="353" t="s">
        <v>1174</v>
      </c>
      <c r="J15" s="351"/>
      <c r="K15" s="353" t="s">
        <v>1175</v>
      </c>
      <c r="L15" s="401"/>
      <c r="M15" s="351"/>
      <c r="N15" s="351"/>
      <c r="O15" s="351"/>
      <c r="P15" s="400"/>
      <c r="Q15" s="401"/>
      <c r="R15" s="351"/>
      <c r="S15" s="400"/>
      <c r="T15" s="401"/>
      <c r="U15" s="351"/>
      <c r="V15" s="351"/>
      <c r="W15" s="351"/>
      <c r="X15" s="400"/>
    </row>
    <row r="16" spans="1:24" ht="15.6">
      <c r="A16" s="1279"/>
      <c r="B16" s="401"/>
      <c r="C16" s="353" t="s">
        <v>1217</v>
      </c>
      <c r="D16" s="352"/>
      <c r="E16" s="353" t="s">
        <v>1493</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20"/>
      <c r="C18" s="1189"/>
      <c r="D18" s="1189"/>
      <c r="E18" s="1189"/>
      <c r="F18" s="1189"/>
      <c r="G18" s="1189"/>
      <c r="H18" s="1189"/>
      <c r="I18" s="1189"/>
      <c r="J18" s="1720"/>
      <c r="K18" s="1189"/>
      <c r="L18" s="1720"/>
      <c r="M18" s="1720"/>
      <c r="N18" s="1720"/>
      <c r="O18" s="1720"/>
      <c r="P18" s="1720"/>
      <c r="Q18" s="1720"/>
      <c r="R18" s="1720"/>
      <c r="S18" s="1720"/>
      <c r="T18" s="1720"/>
      <c r="U18" s="1720"/>
      <c r="V18" s="1720"/>
      <c r="W18" s="1720"/>
      <c r="X18" s="1720"/>
    </row>
    <row r="19" spans="1:24">
      <c r="A19" s="1566" t="s">
        <v>89</v>
      </c>
      <c r="B19" s="1721"/>
      <c r="C19" s="1189"/>
      <c r="D19" s="1189"/>
      <c r="E19" s="1189"/>
      <c r="F19" s="1189"/>
      <c r="G19" s="1189"/>
      <c r="H19" s="1721"/>
      <c r="I19" s="1189"/>
      <c r="J19" s="1720"/>
      <c r="K19" s="1189"/>
      <c r="L19" s="1720"/>
      <c r="M19" s="1720"/>
      <c r="N19" s="1720"/>
      <c r="O19" s="1720"/>
      <c r="P19" s="1720"/>
      <c r="Q19" s="1720"/>
      <c r="R19" s="1720"/>
      <c r="S19" s="1720"/>
      <c r="T19" s="1720"/>
      <c r="U19" s="1720"/>
      <c r="V19" s="1720"/>
      <c r="W19" s="1720"/>
      <c r="X19" s="1720"/>
    </row>
    <row r="20" spans="1:24">
      <c r="A20" s="1566" t="s">
        <v>90</v>
      </c>
      <c r="B20" s="1721" t="s">
        <v>15</v>
      </c>
      <c r="C20" s="1192">
        <v>10652</v>
      </c>
      <c r="D20" s="1192"/>
      <c r="E20" s="1670">
        <v>11230</v>
      </c>
      <c r="F20" s="1192"/>
      <c r="G20" s="1863">
        <f>+'Exhibit H'!AA16</f>
        <v>11315.3</v>
      </c>
      <c r="H20" s="1192"/>
      <c r="I20" s="1190">
        <f t="shared" ref="I20:I25" si="0">ROUND(SUM(G20)-SUM(C20),1)</f>
        <v>663.3</v>
      </c>
      <c r="J20" s="1720"/>
      <c r="K20" s="1190">
        <f>ROUND(SUM(G20)-SUM(E20),1)</f>
        <v>85.3</v>
      </c>
      <c r="L20" s="1806"/>
      <c r="M20" s="1720"/>
      <c r="N20" s="1720"/>
      <c r="O20" s="1720"/>
      <c r="P20" s="1720"/>
      <c r="Q20" s="1720"/>
      <c r="R20" s="1720"/>
      <c r="S20" s="1720"/>
      <c r="T20" s="1720"/>
      <c r="U20" s="1720"/>
      <c r="V20" s="1720"/>
      <c r="W20" s="1720"/>
      <c r="X20" s="1720"/>
    </row>
    <row r="21" spans="1:24">
      <c r="A21" s="1566" t="s">
        <v>91</v>
      </c>
      <c r="B21" s="1720" t="s">
        <v>15</v>
      </c>
      <c r="C21" s="1739">
        <v>5726</v>
      </c>
      <c r="D21" s="1111"/>
      <c r="E21" s="1739">
        <v>5682</v>
      </c>
      <c r="F21" s="1111"/>
      <c r="G21" s="1672">
        <f>+'Exhibit H'!AA20</f>
        <v>5683.3</v>
      </c>
      <c r="H21" s="1111"/>
      <c r="I21" s="2800">
        <f t="shared" si="0"/>
        <v>-42.7</v>
      </c>
      <c r="J21" s="1740"/>
      <c r="K21" s="2800">
        <f>ROUND(SUM(G21)-SUM(E21),1)</f>
        <v>1.3</v>
      </c>
      <c r="L21" s="1806"/>
      <c r="M21" s="1720"/>
      <c r="N21" s="1720"/>
      <c r="O21" s="1720"/>
      <c r="P21" s="1720"/>
      <c r="Q21" s="1720"/>
      <c r="R21" s="1720"/>
      <c r="S21" s="1720"/>
      <c r="T21" s="1720"/>
      <c r="U21" s="1720"/>
      <c r="V21" s="1720"/>
      <c r="W21" s="1720"/>
      <c r="X21" s="1720"/>
    </row>
    <row r="22" spans="1:24">
      <c r="A22" s="1566" t="s">
        <v>93</v>
      </c>
      <c r="B22" s="1720" t="s">
        <v>15</v>
      </c>
      <c r="C22" s="1743">
        <v>933</v>
      </c>
      <c r="D22" s="1111"/>
      <c r="E22" s="1743">
        <v>870</v>
      </c>
      <c r="F22" s="1111"/>
      <c r="G22" s="1672">
        <f>+'Exhibit H'!AA23</f>
        <v>864.6</v>
      </c>
      <c r="H22" s="1111"/>
      <c r="I22" s="2800">
        <f t="shared" si="0"/>
        <v>-68.400000000000006</v>
      </c>
      <c r="J22" s="1740"/>
      <c r="K22" s="2800">
        <f t="shared" ref="K22:K25" si="1">ROUND(SUM(G22)-SUM(E22),1)</f>
        <v>-5.4</v>
      </c>
      <c r="L22" s="1806"/>
      <c r="M22" s="1720"/>
      <c r="N22" s="1720"/>
      <c r="O22" s="1720"/>
      <c r="P22" s="1720"/>
      <c r="Q22" s="1720"/>
      <c r="R22" s="1720"/>
      <c r="S22" s="1720"/>
      <c r="T22" s="1720"/>
      <c r="U22" s="1720"/>
      <c r="V22" s="1720"/>
      <c r="W22" s="1720"/>
      <c r="X22" s="1720"/>
    </row>
    <row r="23" spans="1:24" ht="15" customHeight="1">
      <c r="A23" s="1566" t="s">
        <v>20</v>
      </c>
      <c r="B23" s="1720" t="s">
        <v>15</v>
      </c>
      <c r="C23" s="1743">
        <v>392</v>
      </c>
      <c r="D23" s="1111"/>
      <c r="E23" s="1743">
        <v>379</v>
      </c>
      <c r="F23" s="1111"/>
      <c r="G23" s="1672">
        <f>+'Exhibit H'!AA43</f>
        <v>377.3</v>
      </c>
      <c r="H23" s="1111"/>
      <c r="I23" s="2800">
        <f t="shared" si="0"/>
        <v>-14.7</v>
      </c>
      <c r="J23" s="1740"/>
      <c r="K23" s="2800">
        <f t="shared" si="1"/>
        <v>-1.7</v>
      </c>
      <c r="L23" s="1806"/>
      <c r="M23" s="1720"/>
      <c r="N23" s="1720"/>
      <c r="O23" s="1720"/>
      <c r="P23" s="1720"/>
      <c r="Q23" s="1720"/>
      <c r="R23" s="1720"/>
      <c r="S23" s="1720"/>
      <c r="T23" s="1720"/>
      <c r="U23" s="1720"/>
      <c r="V23" s="1720"/>
      <c r="W23" s="1720"/>
      <c r="X23" s="1720"/>
    </row>
    <row r="24" spans="1:24" ht="15" customHeight="1">
      <c r="A24" s="1566" t="s">
        <v>21</v>
      </c>
      <c r="B24" s="1720" t="s">
        <v>15</v>
      </c>
      <c r="C24" s="1739">
        <v>37</v>
      </c>
      <c r="D24" s="1111"/>
      <c r="E24" s="1739">
        <v>37</v>
      </c>
      <c r="F24" s="1111"/>
      <c r="G24" s="1672">
        <f>+'Exhibit H'!AA45</f>
        <v>38.299999999999997</v>
      </c>
      <c r="H24" s="1111"/>
      <c r="I24" s="2800">
        <f t="shared" si="0"/>
        <v>1.3</v>
      </c>
      <c r="J24" s="1740"/>
      <c r="K24" s="2800">
        <f t="shared" si="1"/>
        <v>1.3</v>
      </c>
      <c r="L24" s="1806"/>
      <c r="M24" s="1720"/>
      <c r="N24" s="1745"/>
      <c r="O24" s="1720"/>
      <c r="P24" s="1745"/>
      <c r="Q24" s="1746"/>
      <c r="R24" s="1720"/>
      <c r="S24" s="1720"/>
      <c r="T24" s="1720"/>
      <c r="U24" s="1720"/>
      <c r="V24" s="1720"/>
      <c r="W24" s="1720"/>
      <c r="X24" s="1720"/>
    </row>
    <row r="25" spans="1:24">
      <c r="A25" s="1566" t="s">
        <v>48</v>
      </c>
      <c r="B25" s="1746" t="s">
        <v>15</v>
      </c>
      <c r="C25" s="1747">
        <v>2716</v>
      </c>
      <c r="D25" s="1111"/>
      <c r="E25" s="1747">
        <v>2709</v>
      </c>
      <c r="F25" s="1111"/>
      <c r="G25" s="2648">
        <f>+'Exhibit H'!AA62</f>
        <v>2634.4</v>
      </c>
      <c r="H25" s="1111"/>
      <c r="I25" s="2800">
        <f t="shared" si="0"/>
        <v>-81.599999999999994</v>
      </c>
      <c r="J25" s="1740"/>
      <c r="K25" s="2800">
        <f t="shared" si="1"/>
        <v>-74.599999999999994</v>
      </c>
      <c r="L25" s="1806"/>
      <c r="M25" s="1720"/>
      <c r="N25" s="1745"/>
      <c r="O25" s="1720"/>
      <c r="P25" s="1745"/>
      <c r="Q25" s="1746"/>
      <c r="R25" s="1720"/>
      <c r="S25" s="1720"/>
      <c r="T25" s="1720"/>
      <c r="U25" s="1720"/>
      <c r="V25" s="1720"/>
      <c r="W25" s="1720"/>
      <c r="X25" s="1720"/>
    </row>
    <row r="26" spans="1:24" ht="18" customHeight="1">
      <c r="A26" s="1798" t="s">
        <v>111</v>
      </c>
      <c r="B26" s="351" t="s">
        <v>15</v>
      </c>
      <c r="C26" s="417">
        <f>ROUND(SUM(C20:C25),1)</f>
        <v>20456</v>
      </c>
      <c r="D26" s="1719"/>
      <c r="E26" s="417">
        <f>ROUND(SUM(E20:E25),1)</f>
        <v>20907</v>
      </c>
      <c r="F26" s="1719"/>
      <c r="G26" s="2649">
        <f>ROUND(SUM(G20:G25),1)</f>
        <v>20913.2</v>
      </c>
      <c r="H26" s="1719"/>
      <c r="I26" s="417">
        <f>ROUND(SUM(I20:I25),1)</f>
        <v>457.2</v>
      </c>
      <c r="J26" s="272"/>
      <c r="K26" s="417">
        <f>ROUND(SUM(K20:K25),1)</f>
        <v>6.2</v>
      </c>
      <c r="L26" s="1806"/>
      <c r="M26" s="351"/>
      <c r="N26" s="351"/>
      <c r="O26" s="351"/>
      <c r="P26" s="351"/>
      <c r="Q26" s="351"/>
      <c r="R26" s="351"/>
      <c r="S26" s="351"/>
      <c r="T26" s="351"/>
      <c r="U26" s="351"/>
      <c r="V26" s="351"/>
      <c r="W26" s="351"/>
      <c r="X26" s="351"/>
    </row>
    <row r="27" spans="1:24">
      <c r="A27" s="1279"/>
      <c r="B27" s="1720"/>
      <c r="C27" s="1277"/>
      <c r="D27" s="1111"/>
      <c r="E27" s="1277"/>
      <c r="F27" s="1111"/>
      <c r="G27" s="1896"/>
      <c r="H27" s="1111"/>
      <c r="I27" s="1277"/>
      <c r="J27" s="1740"/>
      <c r="K27" s="1277"/>
      <c r="L27" s="1806"/>
      <c r="M27" s="1720"/>
      <c r="N27" s="1720"/>
      <c r="O27" s="1720"/>
      <c r="P27" s="1720"/>
      <c r="Q27" s="1720"/>
      <c r="R27" s="1720"/>
      <c r="S27" s="1720"/>
      <c r="T27" s="1720"/>
      <c r="U27" s="1720"/>
      <c r="V27" s="1720"/>
      <c r="W27" s="1720"/>
      <c r="X27" s="1720"/>
    </row>
    <row r="28" spans="1:24" ht="15.6">
      <c r="A28" s="221" t="s">
        <v>23</v>
      </c>
      <c r="B28" s="1720"/>
      <c r="C28" s="1111"/>
      <c r="D28" s="1111"/>
      <c r="E28" s="1111"/>
      <c r="F28" s="1111"/>
      <c r="G28" s="1672"/>
      <c r="H28" s="1111"/>
      <c r="I28" s="1111"/>
      <c r="J28" s="1740"/>
      <c r="K28" s="1111"/>
      <c r="L28" s="1806"/>
      <c r="M28" s="1720"/>
      <c r="N28" s="1720"/>
      <c r="O28" s="1720"/>
      <c r="P28" s="1720"/>
      <c r="Q28" s="1720"/>
      <c r="R28" s="1720"/>
      <c r="S28" s="1720"/>
      <c r="T28" s="1720"/>
      <c r="U28" s="1720"/>
      <c r="V28" s="1720"/>
      <c r="W28" s="1720"/>
      <c r="X28" s="1720"/>
    </row>
    <row r="29" spans="1:24">
      <c r="A29" s="1566" t="s">
        <v>96</v>
      </c>
      <c r="B29" s="1742" t="s">
        <v>15</v>
      </c>
      <c r="C29" s="1262">
        <v>32</v>
      </c>
      <c r="D29" s="1111"/>
      <c r="E29" s="1262">
        <v>33</v>
      </c>
      <c r="F29" s="1111"/>
      <c r="G29" s="1272">
        <f>+'Exhibit H'!AA51</f>
        <v>33.299999999999997</v>
      </c>
      <c r="H29" s="1111"/>
      <c r="I29" s="2800">
        <f t="shared" ref="I29:I31" si="2">ROUND(SUM(G29)-SUM(C29),1)</f>
        <v>1.3</v>
      </c>
      <c r="J29" s="1740"/>
      <c r="K29" s="2800">
        <f>ROUND(SUM(G29)-SUM(E29),1)</f>
        <v>0.3</v>
      </c>
      <c r="L29" s="1806"/>
      <c r="M29" s="1720"/>
      <c r="N29" s="1742"/>
      <c r="O29" s="1720"/>
      <c r="P29" s="1745"/>
      <c r="Q29" s="1720"/>
      <c r="R29" s="1720"/>
      <c r="S29" s="1745"/>
      <c r="T29" s="1745"/>
      <c r="U29" s="1720"/>
      <c r="V29" s="1745"/>
      <c r="W29" s="1720"/>
      <c r="X29" s="1745"/>
    </row>
    <row r="30" spans="1:24" ht="14.25" customHeight="1">
      <c r="A30" s="1566" t="s">
        <v>97</v>
      </c>
      <c r="B30" s="1746" t="s">
        <v>15</v>
      </c>
      <c r="C30" s="1191">
        <v>2283</v>
      </c>
      <c r="D30" s="1111"/>
      <c r="E30" s="1191">
        <v>2214</v>
      </c>
      <c r="F30" s="1111"/>
      <c r="G30" s="2069">
        <f>+'Exhibit H'!AA53</f>
        <v>2224.1</v>
      </c>
      <c r="H30" s="1111"/>
      <c r="I30" s="2800">
        <f t="shared" si="2"/>
        <v>-58.9</v>
      </c>
      <c r="J30" s="1740"/>
      <c r="K30" s="2800">
        <f t="shared" ref="K30:K31" si="3">ROUND(SUM(G30)-SUM(E30),1)</f>
        <v>10.1</v>
      </c>
      <c r="L30" s="1806"/>
      <c r="M30" s="1720"/>
      <c r="N30" s="1742"/>
      <c r="O30" s="1720"/>
      <c r="P30" s="1720"/>
      <c r="Q30" s="1720"/>
      <c r="R30" s="1720"/>
      <c r="S30" s="1745"/>
      <c r="T30" s="1745"/>
      <c r="U30" s="1720"/>
      <c r="V30" s="1745"/>
      <c r="W30" s="1720"/>
      <c r="X30" s="1745"/>
    </row>
    <row r="31" spans="1:24">
      <c r="A31" s="1566" t="s">
        <v>100</v>
      </c>
      <c r="B31" s="1746" t="s">
        <v>15</v>
      </c>
      <c r="C31" s="1275">
        <v>15675</v>
      </c>
      <c r="D31" s="1111"/>
      <c r="E31" s="1275">
        <v>16155</v>
      </c>
      <c r="F31" s="1111"/>
      <c r="G31" s="1272">
        <f>-'Exhibit H'!AA63</f>
        <v>15846.5</v>
      </c>
      <c r="H31" s="1111"/>
      <c r="I31" s="2800">
        <f t="shared" si="2"/>
        <v>171.5</v>
      </c>
      <c r="J31" s="1740"/>
      <c r="K31" s="2800">
        <f t="shared" si="3"/>
        <v>-308.5</v>
      </c>
      <c r="L31" s="1806"/>
      <c r="M31" s="1720"/>
      <c r="N31" s="1745"/>
      <c r="O31" s="1720"/>
      <c r="P31" s="1745"/>
      <c r="Q31" s="1746"/>
      <c r="R31" s="1720"/>
      <c r="S31" s="1720"/>
      <c r="T31" s="1720"/>
      <c r="U31" s="1720"/>
      <c r="V31" s="1720"/>
      <c r="W31" s="1720"/>
      <c r="X31" s="1720"/>
    </row>
    <row r="32" spans="1:24" ht="18" customHeight="1">
      <c r="A32" s="1798" t="s">
        <v>120</v>
      </c>
      <c r="B32" s="351" t="s">
        <v>15</v>
      </c>
      <c r="C32" s="417">
        <f>ROUND(SUM(C29:C31),1)</f>
        <v>17990</v>
      </c>
      <c r="D32" s="1719"/>
      <c r="E32" s="417">
        <f>ROUND(SUM(E29:E31),1)</f>
        <v>18402</v>
      </c>
      <c r="F32" s="1719"/>
      <c r="G32" s="2649">
        <f>ROUND(SUM(G29:G31),1)</f>
        <v>18103.900000000001</v>
      </c>
      <c r="H32" s="1719"/>
      <c r="I32" s="417">
        <f>ROUND(SUM(I29:I31),1)</f>
        <v>113.9</v>
      </c>
      <c r="J32" s="272"/>
      <c r="K32" s="417">
        <f>ROUND(SUM(K29:K31),1)</f>
        <v>-298.10000000000002</v>
      </c>
      <c r="L32" s="1806"/>
      <c r="M32" s="351"/>
      <c r="N32" s="351"/>
      <c r="O32" s="351"/>
      <c r="P32" s="351"/>
      <c r="Q32" s="351"/>
      <c r="R32" s="351"/>
      <c r="S32" s="351"/>
      <c r="T32" s="351"/>
      <c r="U32" s="351"/>
      <c r="V32" s="351"/>
      <c r="W32" s="351"/>
      <c r="X32" s="351"/>
    </row>
    <row r="33" spans="1:24">
      <c r="A33" s="1279"/>
      <c r="B33" s="1720"/>
      <c r="C33" s="1277"/>
      <c r="D33" s="1111"/>
      <c r="E33" s="1277"/>
      <c r="F33" s="1111"/>
      <c r="G33" s="1896"/>
      <c r="H33" s="1111"/>
      <c r="I33" s="1277"/>
      <c r="J33" s="1740"/>
      <c r="K33" s="1277"/>
      <c r="L33" s="1806"/>
      <c r="M33" s="1720"/>
      <c r="N33" s="1720"/>
      <c r="O33" s="1720"/>
      <c r="P33" s="1720"/>
      <c r="Q33" s="1720"/>
      <c r="R33" s="1720"/>
      <c r="S33" s="1720"/>
      <c r="T33" s="1720"/>
      <c r="U33" s="1720"/>
      <c r="V33" s="1720"/>
      <c r="W33" s="1720"/>
      <c r="X33" s="1720"/>
    </row>
    <row r="34" spans="1:24" ht="15.6">
      <c r="A34" s="221" t="s">
        <v>121</v>
      </c>
      <c r="B34" s="1720"/>
      <c r="C34" s="1111"/>
      <c r="D34" s="1111"/>
      <c r="E34" s="1111"/>
      <c r="F34" s="1111"/>
      <c r="G34" s="1672"/>
      <c r="H34" s="1111"/>
      <c r="I34" s="1111"/>
      <c r="J34" s="1740"/>
      <c r="K34" s="1111"/>
      <c r="L34" s="1806"/>
      <c r="M34" s="1720"/>
      <c r="N34" s="1720"/>
      <c r="O34" s="1720"/>
      <c r="P34" s="1720"/>
      <c r="Q34" s="1720"/>
      <c r="R34" s="1720"/>
      <c r="S34" s="1720"/>
      <c r="T34" s="1720"/>
      <c r="U34" s="1720"/>
      <c r="V34" s="1720"/>
      <c r="W34" s="1720"/>
      <c r="X34" s="1720"/>
    </row>
    <row r="35" spans="1:24" ht="15.6">
      <c r="A35" s="221" t="s">
        <v>122</v>
      </c>
      <c r="B35" s="1720"/>
      <c r="C35" s="1111"/>
      <c r="D35" s="1111"/>
      <c r="E35" s="1111"/>
      <c r="F35" s="1111"/>
      <c r="G35" s="1672"/>
      <c r="H35" s="1111"/>
      <c r="I35" s="1111"/>
      <c r="J35" s="1740"/>
      <c r="K35" s="1111"/>
      <c r="L35" s="1806"/>
      <c r="M35" s="1720"/>
      <c r="N35" s="1720"/>
      <c r="O35" s="1720"/>
      <c r="P35" s="1720"/>
      <c r="Q35" s="1720"/>
      <c r="R35" s="1720"/>
      <c r="S35" s="1720"/>
      <c r="T35" s="1720"/>
      <c r="U35" s="1720"/>
      <c r="V35" s="1720"/>
      <c r="W35" s="1720"/>
      <c r="X35" s="1720"/>
    </row>
    <row r="36" spans="1:24" ht="15.6">
      <c r="A36" s="1798" t="s">
        <v>104</v>
      </c>
      <c r="B36" s="1794" t="s">
        <v>15</v>
      </c>
      <c r="C36" s="272">
        <f>C26-C32</f>
        <v>2466</v>
      </c>
      <c r="D36" s="282"/>
      <c r="E36" s="272">
        <f>ROUND(SUM(E26)-SUM(E32),1)</f>
        <v>2505</v>
      </c>
      <c r="F36" s="282"/>
      <c r="G36" s="313">
        <f>ROUND(SUM(G26)-SUM(G32),1)</f>
        <v>2809.3</v>
      </c>
      <c r="H36" s="282"/>
      <c r="I36" s="272">
        <f>ROUND(SUM(I26)-SUM(I32),1)</f>
        <v>343.3</v>
      </c>
      <c r="J36" s="735"/>
      <c r="K36" s="272">
        <f>ROUND(SUM(K26)-SUM(K32),1)</f>
        <v>304.3</v>
      </c>
      <c r="L36" s="1806"/>
      <c r="M36" s="374"/>
      <c r="N36" s="351"/>
      <c r="O36" s="374"/>
      <c r="P36" s="351"/>
      <c r="Q36" s="351"/>
      <c r="R36" s="374"/>
      <c r="S36" s="351"/>
      <c r="T36" s="351"/>
      <c r="U36" s="374"/>
      <c r="V36" s="351"/>
      <c r="W36" s="374"/>
      <c r="X36" s="351"/>
    </row>
    <row r="37" spans="1:24" ht="15" customHeight="1">
      <c r="C37" s="1205"/>
      <c r="D37" s="1729"/>
      <c r="E37" s="1205"/>
      <c r="F37" s="1729"/>
      <c r="G37" s="2650"/>
      <c r="H37" s="1729"/>
      <c r="I37" s="1205"/>
      <c r="J37" s="1205"/>
      <c r="K37" s="1205"/>
      <c r="L37" s="1806"/>
    </row>
    <row r="38" spans="1:24" ht="15.6">
      <c r="A38" s="1814" t="str">
        <f>'Exh D-Governmental  '!A49</f>
        <v>Fund Balances (Deficits) at April 1</v>
      </c>
      <c r="B38" s="1106" t="s">
        <v>15</v>
      </c>
      <c r="C38" s="272">
        <v>144</v>
      </c>
      <c r="D38" s="1729"/>
      <c r="E38" s="272">
        <v>144</v>
      </c>
      <c r="F38" s="1729"/>
      <c r="G38" s="313">
        <f>'Exhibit H'!AA12</f>
        <v>144.4</v>
      </c>
      <c r="H38" s="1729"/>
      <c r="I38" s="1719">
        <f t="shared" ref="I38" si="4">ROUND(SUM(G38)-SUM(C38),1)</f>
        <v>0.4</v>
      </c>
      <c r="J38" s="1205"/>
      <c r="K38" s="1719">
        <f>ROUND(SUM(G38)-SUM(E38),1)</f>
        <v>0.4</v>
      </c>
      <c r="L38" s="1806"/>
    </row>
    <row r="39" spans="1:24" ht="18" customHeight="1" thickBot="1">
      <c r="A39" s="2491" t="str">
        <f>+'Exh D-Governmental  '!A50</f>
        <v>Fund Balances (Deficits) at January 31, 2018</v>
      </c>
      <c r="B39" s="380" t="s">
        <v>15</v>
      </c>
      <c r="C39" s="296">
        <f>ROUND(SUM(C36:C38),1)</f>
        <v>2610</v>
      </c>
      <c r="D39" s="381"/>
      <c r="E39" s="296">
        <f>ROUND(SUM(E36:E38),1)</f>
        <v>2649</v>
      </c>
      <c r="F39" s="381"/>
      <c r="G39" s="2651">
        <f>ROUND(SUM(G36:G38),1)</f>
        <v>2953.7</v>
      </c>
      <c r="H39" s="381"/>
      <c r="I39" s="296">
        <f>ROUND(SUM(I36:I38),1)</f>
        <v>343.7</v>
      </c>
      <c r="K39" s="296">
        <f>ROUND(SUM(K36:K38),1)</f>
        <v>304.7</v>
      </c>
      <c r="L39" s="1806"/>
    </row>
    <row r="40" spans="1:24" ht="15" customHeight="1" thickTop="1">
      <c r="A40" s="355"/>
      <c r="C40" s="1278"/>
      <c r="D40" s="1748"/>
      <c r="E40" s="1278"/>
      <c r="F40" s="1748"/>
      <c r="G40" s="1748"/>
      <c r="H40" s="1748"/>
      <c r="I40" s="1748"/>
      <c r="K40" s="1748"/>
    </row>
    <row r="41" spans="1:24">
      <c r="A41" s="1733" t="str">
        <f>'Exh D General Fund  '!A52</f>
        <v>(*)     Source: 2017-18 Enacted Financial Plan dated May 26, 2017.</v>
      </c>
    </row>
    <row r="42" spans="1:24">
      <c r="A42" s="1135" t="str">
        <f>'Exh D-Governmental  '!A53</f>
        <v>(**)    Source: 2018-19 Executive Budget dated January 17, 2018.</v>
      </c>
    </row>
    <row r="43" spans="1:24">
      <c r="A43" s="1749"/>
    </row>
    <row r="44" spans="1:24">
      <c r="A44" s="1749"/>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28" customWidth="1"/>
    <col min="2" max="2" width="2.08984375" style="1732" customWidth="1"/>
    <col min="3" max="3" width="18.08984375" style="783" bestFit="1" customWidth="1"/>
    <col min="4" max="4" width="0.90625" style="1732" customWidth="1"/>
    <col min="5" max="5" width="15.453125" style="783" customWidth="1"/>
    <col min="6" max="6" width="0.6328125" style="1732" customWidth="1"/>
    <col min="7" max="7" width="14" style="1732" customWidth="1"/>
    <col min="8" max="8" width="1.453125" style="1732" customWidth="1"/>
    <col min="9" max="9" width="15" style="1732" customWidth="1"/>
    <col min="10" max="10" width="1.54296875" style="1732" customWidth="1"/>
    <col min="11" max="11" width="15" style="1732" customWidth="1"/>
    <col min="12" max="12" width="1" style="1732" customWidth="1"/>
    <col min="13" max="13" width="15.1796875" style="1750" customWidth="1"/>
    <col min="14" max="14" width="1" style="1732" customWidth="1"/>
    <col min="15" max="15" width="14" style="1732" customWidth="1"/>
    <col min="16" max="19" width="8.90625" style="1732"/>
    <col min="20" max="16384" width="8.90625" style="1728"/>
  </cols>
  <sheetData>
    <row r="1" spans="1:34">
      <c r="A1" s="1124" t="s">
        <v>1066</v>
      </c>
    </row>
    <row r="2" spans="1:34" ht="16.8">
      <c r="A2" s="385"/>
      <c r="B2" s="387"/>
      <c r="C2" s="777"/>
      <c r="D2" s="387"/>
      <c r="E2" s="777"/>
      <c r="F2" s="387"/>
      <c r="G2" s="387"/>
      <c r="H2" s="387"/>
      <c r="I2" s="387"/>
      <c r="J2" s="387"/>
      <c r="K2" s="387"/>
      <c r="L2" s="387"/>
      <c r="M2" s="3003"/>
    </row>
    <row r="3" spans="1:34" ht="21" customHeight="1">
      <c r="A3" s="391" t="s">
        <v>0</v>
      </c>
      <c r="B3" s="348"/>
      <c r="C3" s="779"/>
      <c r="D3" s="342"/>
      <c r="E3" s="780"/>
      <c r="F3" s="342"/>
      <c r="G3" s="342"/>
      <c r="H3" s="342"/>
      <c r="I3" s="342"/>
      <c r="J3" s="342"/>
      <c r="K3" s="342"/>
      <c r="L3" s="342"/>
      <c r="M3" s="1575"/>
      <c r="O3" s="1575" t="s">
        <v>85</v>
      </c>
    </row>
    <row r="4" spans="1:34" ht="17.399999999999999">
      <c r="A4" s="391" t="s">
        <v>84</v>
      </c>
      <c r="B4" s="348"/>
      <c r="C4" s="779"/>
      <c r="D4" s="342"/>
      <c r="E4" s="780"/>
      <c r="F4" s="342"/>
      <c r="G4" s="342"/>
      <c r="H4" s="342"/>
      <c r="I4" s="342"/>
      <c r="J4" s="342"/>
      <c r="K4" s="342"/>
      <c r="L4" s="342"/>
      <c r="M4" s="1576"/>
      <c r="O4" s="1576"/>
    </row>
    <row r="5" spans="1:34" ht="17.399999999999999">
      <c r="A5" s="3338" t="str">
        <f>+'Exh D-Governmental  '!A5:E5</f>
        <v>FISCAL YEAR 2017-2018</v>
      </c>
      <c r="B5"/>
      <c r="C5"/>
      <c r="D5" s="342"/>
      <c r="E5" s="780"/>
      <c r="F5" s="342"/>
      <c r="G5" s="342"/>
      <c r="H5" s="342"/>
      <c r="I5" s="342"/>
      <c r="J5" s="342"/>
      <c r="K5" s="342"/>
      <c r="L5" s="342"/>
      <c r="M5" s="348"/>
    </row>
    <row r="6" spans="1:34" ht="18.899999999999999" customHeight="1">
      <c r="A6" s="2630" t="str">
        <f>+'Exh D-Governmental  '!A6</f>
        <v>FOR TEN MONTHS ENDED JANUARY 31, 2018</v>
      </c>
      <c r="B6" s="347"/>
      <c r="C6" s="779"/>
      <c r="D6" s="342"/>
      <c r="E6" s="780"/>
      <c r="F6" s="342"/>
      <c r="G6" s="342"/>
      <c r="H6" s="342"/>
      <c r="I6" s="342"/>
      <c r="J6" s="342"/>
      <c r="K6" s="342"/>
      <c r="L6" s="342"/>
      <c r="M6" s="348"/>
      <c r="N6" s="342"/>
      <c r="O6" s="356"/>
      <c r="P6" s="356"/>
      <c r="Q6" s="356"/>
      <c r="R6" s="356"/>
      <c r="S6" s="356"/>
      <c r="T6" s="356"/>
      <c r="U6" s="356"/>
      <c r="V6" s="356"/>
      <c r="W6" s="356"/>
      <c r="X6" s="356"/>
      <c r="Y6" s="356"/>
      <c r="Z6" s="356"/>
      <c r="AA6" s="356"/>
      <c r="AB6" s="356"/>
      <c r="AC6" s="1106"/>
      <c r="AD6" s="1106"/>
      <c r="AE6" s="1106"/>
      <c r="AF6" s="1106"/>
      <c r="AG6" s="1106"/>
      <c r="AH6" s="1732"/>
    </row>
    <row r="7" spans="1:34" ht="17.399999999999999">
      <c r="A7" s="391" t="s">
        <v>959</v>
      </c>
      <c r="B7" s="348"/>
      <c r="C7" s="779"/>
      <c r="D7" s="342"/>
      <c r="E7" s="780"/>
      <c r="F7" s="342"/>
      <c r="G7" s="342"/>
      <c r="H7" s="342"/>
      <c r="I7" s="342"/>
      <c r="J7" s="342"/>
      <c r="K7" s="342"/>
      <c r="L7" s="342"/>
      <c r="M7" s="348"/>
    </row>
    <row r="8" spans="1:34" ht="17.399999999999999">
      <c r="A8" s="393"/>
      <c r="B8" s="348"/>
      <c r="C8" s="1799"/>
      <c r="D8" s="356"/>
      <c r="E8" s="780"/>
      <c r="F8" s="342"/>
      <c r="G8" s="342"/>
      <c r="H8" s="342"/>
      <c r="I8" s="342"/>
      <c r="J8" s="342"/>
      <c r="K8" s="342"/>
      <c r="L8" s="342"/>
      <c r="M8" s="348"/>
    </row>
    <row r="9" spans="1:34">
      <c r="A9" s="350"/>
      <c r="B9" s="342"/>
      <c r="C9" s="2180"/>
      <c r="D9" s="356"/>
      <c r="E9" s="780"/>
      <c r="F9" s="342"/>
      <c r="G9" s="342"/>
      <c r="H9" s="342"/>
      <c r="I9" s="342"/>
      <c r="J9" s="342"/>
      <c r="K9" s="342"/>
      <c r="L9" s="342"/>
      <c r="M9" s="348"/>
    </row>
    <row r="10" spans="1:34">
      <c r="A10" s="350"/>
      <c r="B10" s="342"/>
      <c r="C10" s="1799"/>
      <c r="D10" s="347"/>
      <c r="E10" s="779"/>
      <c r="F10" s="348"/>
      <c r="G10" s="348"/>
      <c r="H10" s="348"/>
      <c r="I10" s="348"/>
      <c r="J10" s="348"/>
      <c r="K10" s="348"/>
      <c r="L10" s="348"/>
      <c r="M10" s="348"/>
      <c r="N10" s="1750"/>
    </row>
    <row r="11" spans="1:34" ht="15.6">
      <c r="A11" s="1279"/>
      <c r="B11" s="351"/>
      <c r="C11" s="2175"/>
      <c r="D11" s="2186"/>
      <c r="E11" s="2175"/>
      <c r="F11" s="2184"/>
      <c r="G11" s="2199"/>
      <c r="H11" s="2184"/>
      <c r="I11" s="2558" t="s">
        <v>1234</v>
      </c>
      <c r="J11" s="3000"/>
      <c r="K11" s="3000"/>
      <c r="L11" s="3000"/>
      <c r="M11" s="2184"/>
      <c r="N11" s="2187"/>
      <c r="O11" s="2167"/>
    </row>
    <row r="12" spans="1:34" ht="15.6">
      <c r="A12" s="1279"/>
      <c r="B12" s="351"/>
      <c r="C12" s="352"/>
      <c r="D12" s="352"/>
      <c r="E12" s="352"/>
      <c r="F12" s="352"/>
      <c r="G12" s="352"/>
      <c r="H12" s="352"/>
      <c r="I12" s="352"/>
      <c r="J12" s="352"/>
      <c r="K12" s="352"/>
      <c r="L12" s="352"/>
      <c r="M12" s="399" t="s">
        <v>86</v>
      </c>
      <c r="N12" s="353"/>
      <c r="O12" s="353" t="s">
        <v>86</v>
      </c>
    </row>
    <row r="13" spans="1:34" ht="15.6">
      <c r="A13" s="1279"/>
      <c r="B13" s="351"/>
      <c r="C13" s="352"/>
      <c r="D13" s="352"/>
      <c r="E13" s="352"/>
      <c r="F13" s="352"/>
      <c r="G13" s="352"/>
      <c r="H13" s="352"/>
      <c r="I13" s="352"/>
      <c r="J13" s="352"/>
      <c r="K13" s="352"/>
      <c r="L13" s="352"/>
      <c r="M13" s="399" t="s">
        <v>966</v>
      </c>
      <c r="N13" s="353"/>
      <c r="O13" s="353" t="s">
        <v>966</v>
      </c>
    </row>
    <row r="14" spans="1:34" ht="15.6">
      <c r="A14" s="1279"/>
      <c r="B14" s="351"/>
      <c r="C14" s="354" t="s">
        <v>1174</v>
      </c>
      <c r="D14" s="352"/>
      <c r="E14" s="353" t="s">
        <v>1175</v>
      </c>
      <c r="F14" s="352"/>
      <c r="G14" s="352"/>
      <c r="H14" s="352"/>
      <c r="I14" s="352"/>
      <c r="J14" s="352"/>
      <c r="K14" s="352"/>
      <c r="L14" s="352"/>
      <c r="M14" s="399" t="s">
        <v>87</v>
      </c>
      <c r="N14" s="353"/>
      <c r="O14" s="353" t="s">
        <v>87</v>
      </c>
    </row>
    <row r="15" spans="1:34" ht="15.75" customHeight="1">
      <c r="A15" s="1279"/>
      <c r="B15" s="351"/>
      <c r="C15" s="353" t="s">
        <v>1216</v>
      </c>
      <c r="D15" s="352"/>
      <c r="E15" s="353" t="s">
        <v>1216</v>
      </c>
      <c r="F15" s="352"/>
      <c r="G15" s="352"/>
      <c r="H15" s="352"/>
      <c r="I15" s="352"/>
      <c r="J15" s="352"/>
      <c r="K15" s="352"/>
      <c r="L15" s="352"/>
      <c r="M15" s="399" t="s">
        <v>1174</v>
      </c>
      <c r="N15" s="353"/>
      <c r="O15" s="353" t="s">
        <v>1175</v>
      </c>
    </row>
    <row r="16" spans="1:34" ht="15.6">
      <c r="A16" s="1279"/>
      <c r="B16" s="351"/>
      <c r="C16" s="353" t="s">
        <v>1217</v>
      </c>
      <c r="D16" s="352"/>
      <c r="E16" s="353" t="s">
        <v>1501</v>
      </c>
      <c r="F16" s="352"/>
      <c r="G16" s="354" t="s">
        <v>86</v>
      </c>
      <c r="H16" s="352"/>
      <c r="I16" s="2217" t="s">
        <v>1374</v>
      </c>
      <c r="J16" s="352"/>
      <c r="K16" s="2217" t="s">
        <v>889</v>
      </c>
      <c r="L16" s="352"/>
      <c r="M16" s="399" t="s">
        <v>88</v>
      </c>
      <c r="N16" s="353"/>
      <c r="O16" s="353" t="s">
        <v>88</v>
      </c>
    </row>
    <row r="17" spans="1:34">
      <c r="A17" s="355"/>
      <c r="B17" s="356"/>
      <c r="C17" s="357"/>
      <c r="D17" s="356"/>
      <c r="E17" s="357"/>
      <c r="F17" s="342"/>
      <c r="G17" s="357"/>
      <c r="H17" s="342"/>
      <c r="I17" s="342"/>
      <c r="J17" s="342"/>
      <c r="K17" s="342"/>
      <c r="L17" s="342"/>
      <c r="M17" s="3004"/>
      <c r="O17" s="357"/>
    </row>
    <row r="18" spans="1:34" ht="15.6">
      <c r="A18" s="221" t="s">
        <v>14</v>
      </c>
      <c r="B18" s="1720"/>
      <c r="C18" s="1189"/>
      <c r="D18" s="1720"/>
      <c r="E18" s="1189"/>
      <c r="F18" s="1189"/>
      <c r="G18" s="1189" t="s">
        <v>15</v>
      </c>
      <c r="H18" s="1189"/>
      <c r="I18" s="1189"/>
      <c r="J18" s="1189"/>
      <c r="K18" s="1189"/>
      <c r="L18" s="1189"/>
      <c r="M18" s="3005"/>
      <c r="O18" s="1189"/>
    </row>
    <row r="19" spans="1:34">
      <c r="A19" s="1566" t="s">
        <v>89</v>
      </c>
      <c r="B19" s="1721" t="s">
        <v>15</v>
      </c>
      <c r="C19" s="1190"/>
      <c r="D19" s="1806"/>
      <c r="E19" s="1190"/>
      <c r="F19" s="1190"/>
      <c r="G19" s="1752"/>
      <c r="H19" s="1192"/>
      <c r="I19" s="1192"/>
      <c r="J19" s="1192"/>
      <c r="K19" s="1192"/>
      <c r="L19" s="1192"/>
      <c r="M19" s="1671"/>
      <c r="N19" s="1720"/>
      <c r="O19" s="1190"/>
      <c r="P19" s="1720"/>
      <c r="Q19" s="1720"/>
      <c r="R19" s="1720"/>
      <c r="S19" s="1720"/>
      <c r="T19" s="1720"/>
      <c r="U19" s="1720"/>
      <c r="V19" s="1720"/>
      <c r="W19" s="1720"/>
      <c r="X19" s="1720"/>
      <c r="Y19" s="1720"/>
      <c r="Z19" s="1720"/>
      <c r="AA19" s="1720"/>
      <c r="AB19" s="1720"/>
      <c r="AC19" s="1106"/>
      <c r="AD19" s="1106"/>
      <c r="AE19" s="1106"/>
      <c r="AF19" s="1106"/>
      <c r="AG19" s="1106"/>
      <c r="AH19" s="1732"/>
    </row>
    <row r="20" spans="1:34">
      <c r="A20" s="1566" t="s">
        <v>91</v>
      </c>
      <c r="B20" s="1720" t="s">
        <v>15</v>
      </c>
      <c r="C20" s="1738">
        <f>+'Exh D Captl Projects State Fed'!C20+'Exh D Captl Projects State Fed'!M20</f>
        <v>495</v>
      </c>
      <c r="D20" s="1740"/>
      <c r="E20" s="1738">
        <f>+'Exh D Captl Projects State Fed'!E20</f>
        <v>476</v>
      </c>
      <c r="F20" s="1191"/>
      <c r="G20" s="1738">
        <f>+'Exh D Captl Projects State Fed'!G20</f>
        <v>479.4</v>
      </c>
      <c r="H20" s="1191"/>
      <c r="I20" s="1738">
        <v>0</v>
      </c>
      <c r="J20" s="1191"/>
      <c r="K20" s="3029">
        <f>+G20+I20</f>
        <v>479.4</v>
      </c>
      <c r="L20" s="1191"/>
      <c r="M20" s="1671">
        <f>ROUND(SUM(K20)-(C20),1)</f>
        <v>-15.6</v>
      </c>
      <c r="N20" s="1720"/>
      <c r="O20" s="1671">
        <f>ROUND(SUM(K20)-(E20),1)</f>
        <v>3.4</v>
      </c>
      <c r="P20" s="1720"/>
      <c r="Q20" s="1720"/>
      <c r="R20" s="1720"/>
      <c r="S20" s="1720"/>
      <c r="T20" s="1720"/>
      <c r="U20" s="1720"/>
      <c r="V20" s="1720"/>
      <c r="W20" s="1720"/>
      <c r="X20" s="1720"/>
      <c r="Y20" s="1720"/>
      <c r="Z20" s="1720"/>
      <c r="AA20" s="1720"/>
      <c r="AB20" s="1720"/>
      <c r="AC20" s="1106"/>
      <c r="AD20" s="1106"/>
      <c r="AE20" s="1106"/>
      <c r="AF20" s="1106"/>
      <c r="AG20" s="1106"/>
      <c r="AH20" s="1732"/>
    </row>
    <row r="21" spans="1:34">
      <c r="A21" s="1566" t="s">
        <v>92</v>
      </c>
      <c r="B21" s="1721" t="s">
        <v>15</v>
      </c>
      <c r="C21" s="1275">
        <f>+'Exh D Captl Projects State Fed'!C21+'Exh D Captl Projects State Fed'!M21</f>
        <v>514</v>
      </c>
      <c r="D21" s="1740"/>
      <c r="E21" s="1275">
        <f>+'Exh D Captl Projects State Fed'!E21</f>
        <v>519</v>
      </c>
      <c r="F21" s="1191"/>
      <c r="G21" s="1275">
        <f>+'Exh D Captl Projects State Fed'!G21</f>
        <v>518.4</v>
      </c>
      <c r="H21" s="1191"/>
      <c r="I21" s="1191">
        <v>0</v>
      </c>
      <c r="J21" s="1191"/>
      <c r="K21" s="3030">
        <f t="shared" ref="K21:K26" si="0">+G21+I21</f>
        <v>518.4</v>
      </c>
      <c r="L21" s="1191"/>
      <c r="M21" s="1672">
        <f>ROUND(SUM(K21)-SUM(C21),1)</f>
        <v>4.4000000000000004</v>
      </c>
      <c r="N21" s="1742"/>
      <c r="O21" s="1672">
        <f>ROUND(SUM(K21)-SUM(E21),1)</f>
        <v>-0.6</v>
      </c>
      <c r="P21" s="1720"/>
      <c r="Q21" s="1742"/>
      <c r="R21" s="1720"/>
      <c r="S21" s="1742"/>
      <c r="T21" s="1720"/>
      <c r="U21" s="1720"/>
      <c r="V21" s="1742"/>
      <c r="W21" s="1720"/>
      <c r="X21" s="1720"/>
      <c r="Y21" s="1742"/>
      <c r="Z21" s="403"/>
      <c r="AA21" s="1742"/>
      <c r="AB21" s="1720"/>
      <c r="AC21" s="1106"/>
      <c r="AD21" s="1106"/>
      <c r="AE21" s="1106"/>
      <c r="AF21" s="1106"/>
      <c r="AG21" s="1106"/>
      <c r="AH21" s="1732"/>
    </row>
    <row r="22" spans="1:34">
      <c r="A22" s="1566" t="s">
        <v>93</v>
      </c>
      <c r="B22" s="1720" t="s">
        <v>15</v>
      </c>
      <c r="C22" s="1275">
        <f>+'Exh D Captl Projects State Fed'!C22+'Exh D Captl Projects State Fed'!M22</f>
        <v>96</v>
      </c>
      <c r="D22" s="1740"/>
      <c r="E22" s="1275">
        <f>+'Exh D Captl Projects State Fed'!E22</f>
        <v>95</v>
      </c>
      <c r="F22" s="1191"/>
      <c r="G22" s="1275">
        <f>+'Exh D Captl Projects State Fed'!G22</f>
        <v>95.3</v>
      </c>
      <c r="H22" s="1191"/>
      <c r="I22" s="1191">
        <v>0</v>
      </c>
      <c r="J22" s="1191"/>
      <c r="K22" s="3030">
        <f>+G22+I22</f>
        <v>95.3</v>
      </c>
      <c r="L22" s="1191"/>
      <c r="M22" s="1672">
        <f t="shared" ref="M22" si="1">ROUND(SUM(K22)-SUM(C22),1)</f>
        <v>-0.7</v>
      </c>
      <c r="N22" s="1720"/>
      <c r="O22" s="1672">
        <f t="shared" ref="O22:O26" si="2">ROUND(SUM(K22)-SUM(E22),1)</f>
        <v>0.3</v>
      </c>
      <c r="P22" s="1720"/>
      <c r="Q22" s="1720"/>
      <c r="R22" s="1720"/>
      <c r="S22" s="1720"/>
      <c r="T22" s="1720"/>
      <c r="U22" s="1720"/>
      <c r="V22" s="1720"/>
      <c r="W22" s="1720"/>
      <c r="X22" s="1720"/>
      <c r="Y22" s="1720"/>
      <c r="Z22" s="1720"/>
      <c r="AA22" s="1720"/>
      <c r="AB22" s="1720"/>
      <c r="AC22" s="1106"/>
      <c r="AD22" s="1106"/>
      <c r="AE22" s="1106"/>
      <c r="AF22" s="1106"/>
      <c r="AG22" s="1106"/>
      <c r="AH22" s="1732"/>
    </row>
    <row r="23" spans="1:34">
      <c r="A23" s="1566" t="s">
        <v>20</v>
      </c>
      <c r="B23" s="1720" t="s">
        <v>15</v>
      </c>
      <c r="C23" s="1111">
        <f>+'Exh D Captl Projects State Fed'!C23+'Exh D Captl Projects State Fed'!M23</f>
        <v>5217</v>
      </c>
      <c r="D23" s="1740"/>
      <c r="E23" s="1111">
        <f>+'Exh D Captl Projects State Fed'!E23+'Exh D Captl Projects State Fed'!O23</f>
        <v>4937</v>
      </c>
      <c r="F23" s="1111"/>
      <c r="G23" s="1111">
        <f>+'Exh D Captl Projects State Fed'!G23+'Exh D Captl Projects State Fed'!Q23</f>
        <v>5017.7</v>
      </c>
      <c r="H23" s="1111"/>
      <c r="I23" s="2800">
        <v>0</v>
      </c>
      <c r="J23" s="2800"/>
      <c r="K23" s="3030">
        <f t="shared" si="0"/>
        <v>5017.7</v>
      </c>
      <c r="L23" s="2800"/>
      <c r="M23" s="1672">
        <f>ROUND(SUM(K23)-SUM(C23),1)</f>
        <v>-199.3</v>
      </c>
      <c r="O23" s="1672">
        <f t="shared" si="2"/>
        <v>80.7</v>
      </c>
    </row>
    <row r="24" spans="1:34">
      <c r="A24" s="1566" t="s">
        <v>21</v>
      </c>
      <c r="B24" s="1720" t="s">
        <v>15</v>
      </c>
      <c r="C24" s="1111">
        <f>+'Exh D Captl Projects State Fed'!C24+'Exh D Captl Projects State Fed'!M24</f>
        <v>1696</v>
      </c>
      <c r="D24" s="1740"/>
      <c r="E24" s="1111">
        <f>+'Exh D Captl Projects State Fed'!E24+'Exh D Captl Projects State Fed'!O24</f>
        <v>1873</v>
      </c>
      <c r="F24" s="1111"/>
      <c r="G24" s="1111">
        <f>+'Exh D Captl Projects State Fed'!G24+'Exh D Captl Projects State Fed'!Q24</f>
        <v>1806</v>
      </c>
      <c r="H24" s="1111"/>
      <c r="I24" s="2800">
        <v>0</v>
      </c>
      <c r="J24" s="2800"/>
      <c r="K24" s="3030">
        <f t="shared" si="0"/>
        <v>1806</v>
      </c>
      <c r="L24" s="2800"/>
      <c r="M24" s="1672">
        <f>ROUND(SUM(K24)-SUM(C24),1)</f>
        <v>110</v>
      </c>
      <c r="O24" s="1672">
        <f t="shared" si="2"/>
        <v>-67</v>
      </c>
    </row>
    <row r="25" spans="1:34">
      <c r="A25" s="1566" t="s">
        <v>99</v>
      </c>
      <c r="B25" s="1720" t="s">
        <v>15</v>
      </c>
      <c r="C25" s="1191">
        <f>+'Exh D Captl Projects State Fed'!C25+'Exh D Captl Projects State Fed'!M25</f>
        <v>0</v>
      </c>
      <c r="D25" s="2185"/>
      <c r="E25" s="1191">
        <f>+'Exh D Captl Projects State Fed'!E25+'Exh D Captl Projects State Fed'!O25</f>
        <v>0</v>
      </c>
      <c r="F25" s="1111"/>
      <c r="G25" s="1191">
        <f>+'Exh D Captl Projects State Fed'!G25+'Exh D Captl Projects State Fed'!Q25</f>
        <v>0</v>
      </c>
      <c r="H25" s="1111"/>
      <c r="I25" s="2800">
        <v>0</v>
      </c>
      <c r="J25" s="2800"/>
      <c r="K25" s="3001">
        <f t="shared" si="0"/>
        <v>0</v>
      </c>
      <c r="L25" s="2800"/>
      <c r="M25" s="1672">
        <f>ROUND(SUM(K25)-SUM(C25),1)</f>
        <v>0</v>
      </c>
      <c r="O25" s="1672">
        <f t="shared" si="2"/>
        <v>0</v>
      </c>
    </row>
    <row r="26" spans="1:34">
      <c r="A26" s="1566" t="s">
        <v>1475</v>
      </c>
      <c r="B26" s="1720" t="s">
        <v>15</v>
      </c>
      <c r="C26" s="1262">
        <f>+'Exh D Captl Projects State Fed'!C26+'Exh D Captl Projects State Fed'!M26</f>
        <v>1978</v>
      </c>
      <c r="D26" s="1740"/>
      <c r="E26" s="1262">
        <f>+'Exh D Captl Projects State Fed'!E26+'Exh D Captl Projects State Fed'!O26</f>
        <v>1414</v>
      </c>
      <c r="F26" s="1111"/>
      <c r="G26" s="1262">
        <f>+'Exh D Captl Projects State Fed'!G26+'Exh D Captl Projects State Fed'!Q26</f>
        <v>1187.4000000000001</v>
      </c>
      <c r="H26" s="1111"/>
      <c r="I26" s="2800">
        <f>' Exhbit I '!AC93</f>
        <v>0</v>
      </c>
      <c r="J26" s="2800"/>
      <c r="K26" s="3030">
        <f t="shared" si="0"/>
        <v>1187.4000000000001</v>
      </c>
      <c r="L26" s="2800"/>
      <c r="M26" s="1672">
        <f>ROUND(SUM(K26)-SUM(C26),1)</f>
        <v>-790.6</v>
      </c>
      <c r="O26" s="1672">
        <f t="shared" si="2"/>
        <v>-226.6</v>
      </c>
    </row>
    <row r="27" spans="1:34" ht="18" customHeight="1">
      <c r="A27" s="2066" t="s">
        <v>111</v>
      </c>
      <c r="B27" s="351" t="s">
        <v>15</v>
      </c>
      <c r="C27" s="417">
        <f>ROUND(SUM(C20:C26),1)</f>
        <v>9996</v>
      </c>
      <c r="D27" s="272"/>
      <c r="E27" s="417">
        <f>ROUND(SUM(E20:E26),1)</f>
        <v>9314</v>
      </c>
      <c r="F27" s="1719"/>
      <c r="G27" s="417">
        <f>ROUND(SUM(G20:G26),1)</f>
        <v>9104.2000000000007</v>
      </c>
      <c r="H27" s="1719"/>
      <c r="I27" s="2821">
        <f>ROUND(SUM(I20:I26),1)</f>
        <v>0</v>
      </c>
      <c r="J27" s="1719"/>
      <c r="K27" s="2821">
        <f>ROUND(SUM(K20:K26),1)</f>
        <v>9104.2000000000007</v>
      </c>
      <c r="L27" s="1719"/>
      <c r="M27" s="2649">
        <f>ROUND(SUM(M20:M26),1)</f>
        <v>-891.8</v>
      </c>
      <c r="O27" s="417">
        <f>ROUND(SUM(O20:O26),1)</f>
        <v>-209.8</v>
      </c>
    </row>
    <row r="28" spans="1:34">
      <c r="A28" s="1279"/>
      <c r="B28" s="1720" t="s">
        <v>15</v>
      </c>
      <c r="C28" s="1277"/>
      <c r="D28" s="1740"/>
      <c r="E28" s="1277"/>
      <c r="F28" s="1111"/>
      <c r="G28" s="1277"/>
      <c r="H28" s="1111"/>
      <c r="I28" s="2800"/>
      <c r="J28" s="2800"/>
      <c r="K28" s="2800"/>
      <c r="L28" s="2800"/>
      <c r="M28" s="1896" t="s">
        <v>15</v>
      </c>
      <c r="O28" s="1277" t="s">
        <v>15</v>
      </c>
    </row>
    <row r="29" spans="1:34" ht="15.6">
      <c r="A29" s="221" t="s">
        <v>23</v>
      </c>
      <c r="B29" s="1720" t="s">
        <v>15</v>
      </c>
      <c r="C29" s="1111"/>
      <c r="D29" s="1740"/>
      <c r="E29" s="1111"/>
      <c r="F29" s="1111"/>
      <c r="G29" s="1111"/>
      <c r="H29" s="1111"/>
      <c r="I29" s="2800"/>
      <c r="J29" s="2800"/>
      <c r="K29" s="2800"/>
      <c r="L29" s="2800"/>
      <c r="M29" s="1672"/>
      <c r="O29" s="1111"/>
    </row>
    <row r="30" spans="1:34">
      <c r="A30" s="1566" t="s">
        <v>95</v>
      </c>
      <c r="B30" s="1720" t="s">
        <v>15</v>
      </c>
      <c r="C30" s="1111">
        <f>+'Exh D Captl Projects State Fed'!C30+'Exh D Captl Projects State Fed'!M30</f>
        <v>3775</v>
      </c>
      <c r="D30" s="1740"/>
      <c r="E30" s="1111">
        <f>+'Exh D Captl Projects State Fed'!E30+'Exh D Captl Projects State Fed'!O30</f>
        <v>3021</v>
      </c>
      <c r="F30" s="1111"/>
      <c r="G30" s="1111">
        <f>+'Exh D Captl Projects State Fed'!G30+'Exh D Captl Projects State Fed'!Q30</f>
        <v>3042.2</v>
      </c>
      <c r="H30" s="1111"/>
      <c r="I30" s="2800">
        <v>0</v>
      </c>
      <c r="J30" s="2800"/>
      <c r="K30" s="3030">
        <f t="shared" ref="K30:K32" si="3">+G30+I30</f>
        <v>3042.2</v>
      </c>
      <c r="L30" s="2800"/>
      <c r="M30" s="1672">
        <f>ROUND(SUM(K30)-SUM(C30),1)</f>
        <v>-732.8</v>
      </c>
      <c r="O30" s="1672">
        <f>ROUND(SUM(K30)-SUM(E30),1)</f>
        <v>21.2</v>
      </c>
    </row>
    <row r="31" spans="1:34">
      <c r="A31" s="1566" t="s">
        <v>42</v>
      </c>
      <c r="B31" s="1720" t="s">
        <v>15</v>
      </c>
      <c r="C31" s="1111">
        <f>+'Exh D Captl Projects State Fed'!C31+'Exh D Captl Projects State Fed'!M31</f>
        <v>7078</v>
      </c>
      <c r="D31" s="2185"/>
      <c r="E31" s="1111">
        <f>+'Exh D Captl Projects State Fed'!E31+'Exh D Captl Projects State Fed'!O31</f>
        <v>5907</v>
      </c>
      <c r="F31" s="1111"/>
      <c r="G31" s="1111">
        <f>+'Exh D Captl Projects State Fed'!G31+'Exh D Captl Projects State Fed'!Q31</f>
        <v>5564.3</v>
      </c>
      <c r="H31" s="1111"/>
      <c r="I31" s="2800">
        <v>0</v>
      </c>
      <c r="J31" s="2800"/>
      <c r="K31" s="3030">
        <f t="shared" si="3"/>
        <v>5564.3</v>
      </c>
      <c r="L31" s="2800"/>
      <c r="M31" s="1672">
        <f>ROUND(SUM(K31)-SUM(C31),1)</f>
        <v>-1513.7</v>
      </c>
      <c r="O31" s="1672">
        <f t="shared" ref="O31:O32" si="4">ROUND(SUM(K31)-SUM(E31),1)</f>
        <v>-342.7</v>
      </c>
    </row>
    <row r="32" spans="1:34">
      <c r="A32" s="1566" t="s">
        <v>49</v>
      </c>
      <c r="B32" s="1720" t="s">
        <v>15</v>
      </c>
      <c r="C32" s="1111">
        <f>+'Exh D Captl Projects State Fed'!C32+'Exh D Captl Projects State Fed'!M32</f>
        <v>534</v>
      </c>
      <c r="D32" s="1740"/>
      <c r="E32" s="1111">
        <f>+'Exh D Captl Projects State Fed'!E32+'Exh D Captl Projects State Fed'!O32</f>
        <v>514</v>
      </c>
      <c r="F32" s="1111"/>
      <c r="G32" s="1111">
        <f>+'Exh D Captl Projects State Fed'!G32+'Exh D Captl Projects State Fed'!Q32</f>
        <v>510.5</v>
      </c>
      <c r="H32" s="1111"/>
      <c r="I32" s="2800">
        <f>-' Exhbit I '!AC94</f>
        <v>0</v>
      </c>
      <c r="J32" s="2800"/>
      <c r="K32" s="3030">
        <f t="shared" si="3"/>
        <v>510.5</v>
      </c>
      <c r="L32" s="2800"/>
      <c r="M32" s="1672">
        <f>ROUND(SUM(K32)-SUM(C32),1)</f>
        <v>-23.5</v>
      </c>
      <c r="O32" s="1672">
        <f t="shared" si="4"/>
        <v>-3.5</v>
      </c>
    </row>
    <row r="33" spans="1:34" ht="18" customHeight="1">
      <c r="A33" s="2066" t="s">
        <v>120</v>
      </c>
      <c r="B33" s="351" t="s">
        <v>15</v>
      </c>
      <c r="C33" s="417">
        <f>ROUND(SUM(C30:C32),1)</f>
        <v>11387</v>
      </c>
      <c r="D33" s="272"/>
      <c r="E33" s="417">
        <f>ROUND(SUM(E30:E32),1)</f>
        <v>9442</v>
      </c>
      <c r="F33" s="1719"/>
      <c r="G33" s="417">
        <f>ROUND(SUM(G30:G32),1)</f>
        <v>9117</v>
      </c>
      <c r="H33" s="1719"/>
      <c r="I33" s="2821">
        <f>ROUND(SUM(I30:I32),1)</f>
        <v>0</v>
      </c>
      <c r="J33" s="1719"/>
      <c r="K33" s="2821">
        <f>ROUND(SUM(K30:K32),1)</f>
        <v>9117</v>
      </c>
      <c r="L33" s="1719"/>
      <c r="M33" s="2649">
        <f>ROUND(SUM(M30:M32),1)</f>
        <v>-2270</v>
      </c>
      <c r="O33" s="417">
        <f>ROUND(SUM(O30:O32),1)</f>
        <v>-325</v>
      </c>
    </row>
    <row r="34" spans="1:34">
      <c r="A34" s="1279"/>
      <c r="B34" s="1720" t="s">
        <v>15</v>
      </c>
      <c r="C34" s="1277"/>
      <c r="D34" s="1740"/>
      <c r="E34" s="1277"/>
      <c r="F34" s="1111"/>
      <c r="G34" s="1277"/>
      <c r="H34" s="1111"/>
      <c r="I34" s="2800"/>
      <c r="J34" s="2800"/>
      <c r="K34" s="2800"/>
      <c r="L34" s="2800"/>
      <c r="M34" s="1896"/>
      <c r="O34" s="1277"/>
    </row>
    <row r="35" spans="1:34" ht="15.6">
      <c r="A35" s="221" t="s">
        <v>102</v>
      </c>
      <c r="B35" s="1720"/>
      <c r="C35" s="1111"/>
      <c r="D35" s="1740"/>
      <c r="E35" s="1111"/>
      <c r="F35" s="1111"/>
      <c r="G35" s="1111"/>
      <c r="H35" s="1111"/>
      <c r="I35" s="2800"/>
      <c r="J35" s="2800"/>
      <c r="K35" s="2800"/>
      <c r="L35" s="2800"/>
      <c r="M35" s="1672"/>
      <c r="O35" s="1111"/>
    </row>
    <row r="36" spans="1:34" ht="15.6">
      <c r="A36" s="221" t="s">
        <v>103</v>
      </c>
      <c r="B36" s="1720"/>
      <c r="C36" s="1111"/>
      <c r="D36" s="1740"/>
      <c r="E36" s="1111"/>
      <c r="F36" s="1111"/>
      <c r="G36" s="1111"/>
      <c r="H36" s="1111"/>
      <c r="I36" s="2800"/>
      <c r="J36" s="2800"/>
      <c r="K36" s="2800"/>
      <c r="L36" s="2800"/>
      <c r="M36" s="1672"/>
      <c r="O36" s="1111"/>
    </row>
    <row r="37" spans="1:34" ht="15.6">
      <c r="A37" s="2066" t="s">
        <v>104</v>
      </c>
      <c r="B37" s="374" t="s">
        <v>15</v>
      </c>
      <c r="C37" s="272">
        <f>ROUND(SUM(C27)-SUM(C33),1)</f>
        <v>-1391</v>
      </c>
      <c r="D37" s="272"/>
      <c r="E37" s="272">
        <f>ROUND(SUM(E27)-SUM(E33),1)</f>
        <v>-128</v>
      </c>
      <c r="F37" s="282"/>
      <c r="G37" s="272">
        <f>ROUND(SUM(G27)-SUM(G33),1)</f>
        <v>-12.8</v>
      </c>
      <c r="H37" s="282"/>
      <c r="I37" s="282">
        <v>0</v>
      </c>
      <c r="J37" s="282"/>
      <c r="K37" s="2801">
        <f>ROUND(SUM(K27)-SUM(K33),1)</f>
        <v>-12.8</v>
      </c>
      <c r="L37" s="282"/>
      <c r="M37" s="313">
        <f>ROUND(SUM(M27)-SUM(M33),1)</f>
        <v>1378.2</v>
      </c>
      <c r="N37" s="1106"/>
      <c r="O37" s="272">
        <f>ROUND(SUM(O27)-SUM(O33),1)</f>
        <v>115.2</v>
      </c>
    </row>
    <row r="38" spans="1:34" ht="15.6">
      <c r="B38" s="1106"/>
      <c r="C38" s="1205"/>
      <c r="D38" s="272"/>
      <c r="E38" s="1205"/>
      <c r="F38" s="1729"/>
      <c r="G38" s="1205"/>
      <c r="H38" s="1729"/>
      <c r="I38" s="1729"/>
      <c r="J38" s="1729"/>
      <c r="K38" s="1205"/>
      <c r="L38" s="1729"/>
      <c r="M38" s="2650"/>
      <c r="O38" s="1205"/>
    </row>
    <row r="39" spans="1:34" ht="15.6">
      <c r="A39" s="2066" t="str">
        <f>+'Exh D-Governmental  '!A49</f>
        <v>Fund Balances (Deficits) at April 1</v>
      </c>
      <c r="B39" s="1731" t="s">
        <v>15</v>
      </c>
      <c r="C39" s="272">
        <v>-1060</v>
      </c>
      <c r="D39" s="272"/>
      <c r="E39" s="272">
        <v>-1060</v>
      </c>
      <c r="F39" s="1729"/>
      <c r="G39" s="272">
        <v>-1060.5</v>
      </c>
      <c r="H39" s="1729"/>
      <c r="I39" s="3037">
        <v>0</v>
      </c>
      <c r="J39" s="1729"/>
      <c r="K39" s="2801">
        <v>-1060.5</v>
      </c>
      <c r="L39" s="1729"/>
      <c r="M39" s="3006">
        <f>ROUND(SUM(K39)-(C39),1)</f>
        <v>-0.5</v>
      </c>
      <c r="N39" s="1106"/>
      <c r="O39" s="3006">
        <f>ROUND(SUM(K39)-(E39),1)</f>
        <v>-0.5</v>
      </c>
      <c r="P39" s="1106"/>
      <c r="Q39" s="1106"/>
      <c r="R39" s="1106"/>
      <c r="S39" s="1106"/>
      <c r="T39" s="1106"/>
      <c r="U39" s="1106"/>
      <c r="V39" s="1106"/>
      <c r="W39" s="1106"/>
      <c r="X39" s="1106"/>
      <c r="Y39" s="1106"/>
      <c r="Z39" s="1106"/>
      <c r="AA39" s="1106"/>
      <c r="AB39" s="1106"/>
      <c r="AC39" s="1106"/>
      <c r="AD39" s="1106"/>
      <c r="AE39" s="1106"/>
      <c r="AF39" s="1106"/>
      <c r="AG39" s="1106"/>
      <c r="AH39" s="1732"/>
    </row>
    <row r="40" spans="1:34" ht="16.2" thickBot="1">
      <c r="A40" s="2488" t="str">
        <f>+'Exh D-Governmental  '!A50</f>
        <v>Fund Balances (Deficits) at January 31, 2018</v>
      </c>
      <c r="B40" s="380" t="s">
        <v>15</v>
      </c>
      <c r="C40" s="296">
        <f>ROUND(SUM(C37:C39),1)</f>
        <v>-2451</v>
      </c>
      <c r="D40" s="421"/>
      <c r="E40" s="296">
        <f>ROUND(SUM(E37:E39),1)</f>
        <v>-1188</v>
      </c>
      <c r="F40" s="381"/>
      <c r="G40" s="296">
        <f>ROUND(SUM(G37:G39),1)</f>
        <v>-1073.3</v>
      </c>
      <c r="H40" s="381"/>
      <c r="I40" s="296">
        <f>ROUND(SUM(I37:I39),1)</f>
        <v>0</v>
      </c>
      <c r="J40" s="381"/>
      <c r="K40" s="296">
        <f>ROUND(SUM(K37:K39),1)</f>
        <v>-1073.3</v>
      </c>
      <c r="L40" s="381"/>
      <c r="M40" s="2651">
        <f>ROUND(SUM(M37:M39),1)</f>
        <v>1377.7</v>
      </c>
      <c r="N40" s="1106"/>
      <c r="O40" s="296">
        <f>ROUND(SUM(O37:O39),1)</f>
        <v>114.7</v>
      </c>
      <c r="P40" s="1106"/>
      <c r="Q40" s="1106"/>
      <c r="R40" s="1106"/>
      <c r="S40" s="1106"/>
      <c r="T40" s="1106"/>
      <c r="U40" s="1106"/>
      <c r="V40" s="1106"/>
      <c r="W40" s="1106"/>
      <c r="X40" s="1106"/>
      <c r="Y40" s="1106"/>
      <c r="Z40" s="1106"/>
      <c r="AA40" s="1106"/>
      <c r="AB40" s="1106"/>
      <c r="AC40" s="1106"/>
      <c r="AD40" s="1106"/>
      <c r="AE40" s="1106"/>
      <c r="AF40" s="1106"/>
      <c r="AG40" s="1106"/>
      <c r="AH40" s="1732"/>
    </row>
    <row r="41" spans="1:34" ht="15.6" thickTop="1">
      <c r="B41" s="1106"/>
      <c r="C41" s="1106"/>
      <c r="D41" s="1106"/>
      <c r="E41" s="1106"/>
      <c r="G41" s="1758"/>
    </row>
    <row r="42" spans="1:34">
      <c r="A42" s="1733" t="str">
        <f>'Exh D-Governmental  '!A52</f>
        <v>(*)     Source:  2017-18 Enacted Financial Plan dated May 26, 2017.</v>
      </c>
      <c r="B42" s="1106"/>
      <c r="D42" s="1106"/>
    </row>
    <row r="43" spans="1:34">
      <c r="A43" s="2675" t="str">
        <f>'Exh D-Governmental  '!A53</f>
        <v>(**)    Source: 2018-19 Executive Budget dated January 17, 2018.</v>
      </c>
      <c r="B43" s="1106"/>
      <c r="D43" s="1106"/>
    </row>
    <row r="44" spans="1:34">
      <c r="A44" s="2675"/>
      <c r="B44" s="1106"/>
      <c r="D44" s="1106"/>
    </row>
    <row r="45" spans="1:34">
      <c r="A45" s="1907"/>
      <c r="B45" s="1106"/>
      <c r="D45" s="1106"/>
    </row>
    <row r="46" spans="1:34">
      <c r="A46" s="383"/>
      <c r="B46" s="1106"/>
      <c r="D46" s="1106"/>
    </row>
    <row r="47" spans="1:34">
      <c r="B47" s="1106"/>
      <c r="D47" s="1106"/>
    </row>
    <row r="48" spans="1:34">
      <c r="B48" s="11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28" customWidth="1"/>
    <col min="2" max="2" width="2.08984375" style="1732" customWidth="1"/>
    <col min="3" max="3" width="15.81640625" style="783" customWidth="1"/>
    <col min="4" max="4" width="1.08984375" style="1732" customWidth="1"/>
    <col min="5" max="5" width="15.81640625" style="783" customWidth="1"/>
    <col min="6" max="6" width="1.08984375" style="1732" customWidth="1"/>
    <col min="7" max="7" width="15.81640625" style="1732" customWidth="1"/>
    <col min="8" max="8" width="0.6328125" style="1732" customWidth="1"/>
    <col min="9" max="9" width="19.453125" style="1732" customWidth="1"/>
    <col min="10" max="10" width="1.08984375" style="1106" customWidth="1"/>
    <col min="11" max="11" width="19.453125" style="1732" customWidth="1"/>
    <col min="12" max="12" width="1.36328125" style="1732" customWidth="1"/>
    <col min="13" max="13" width="15.81640625" style="1106" customWidth="1"/>
    <col min="14" max="14" width="1.1796875" style="1106" customWidth="1"/>
    <col min="15" max="15" width="15.81640625" style="1106" customWidth="1"/>
    <col min="16" max="16" width="1.1796875" style="1106" customWidth="1"/>
    <col min="17" max="17" width="15.81640625" style="1106" customWidth="1"/>
    <col min="18" max="18" width="1.36328125" style="1106" customWidth="1"/>
    <col min="19" max="19" width="15.81640625" style="1106" customWidth="1"/>
    <col min="20" max="20" width="1.90625" style="1106" customWidth="1"/>
    <col min="21" max="21" width="15.81640625" style="783" customWidth="1"/>
    <col min="22" max="22" width="0.6328125" style="1106" customWidth="1"/>
    <col min="23" max="23" width="15.81640625" style="783" customWidth="1"/>
    <col min="24" max="24" width="1.36328125" style="1106" customWidth="1"/>
    <col min="25" max="25" width="15.81640625" style="1106" customWidth="1"/>
    <col min="26" max="26" width="1" style="1106" customWidth="1"/>
    <col min="27" max="27" width="15.81640625" style="1106" customWidth="1"/>
    <col min="28" max="28" width="3.6328125" style="1732" bestFit="1" customWidth="1"/>
    <col min="29" max="33" width="8.90625" style="1732"/>
    <col min="34" max="16384" width="8.90625" style="1728"/>
  </cols>
  <sheetData>
    <row r="1" spans="1:48">
      <c r="A1" s="1734" t="s">
        <v>1066</v>
      </c>
    </row>
    <row r="2" spans="1:48" ht="16.8">
      <c r="A2" s="385"/>
      <c r="B2" s="387"/>
      <c r="C2" s="777"/>
      <c r="D2" s="387"/>
      <c r="E2" s="777"/>
      <c r="F2" s="387"/>
      <c r="G2" s="387"/>
      <c r="H2" s="387"/>
      <c r="I2" s="387"/>
      <c r="J2" s="386"/>
      <c r="K2" s="387"/>
      <c r="L2" s="387"/>
      <c r="M2" s="386"/>
      <c r="N2" s="386"/>
      <c r="O2" s="386"/>
      <c r="P2" s="386"/>
      <c r="Q2" s="386"/>
      <c r="R2" s="386"/>
      <c r="S2" s="386"/>
      <c r="T2" s="386"/>
      <c r="U2" s="2178"/>
      <c r="V2" s="386"/>
      <c r="W2" s="2178"/>
      <c r="X2" s="386"/>
      <c r="Y2" s="386"/>
      <c r="Z2" s="386"/>
      <c r="AA2" s="386"/>
    </row>
    <row r="3" spans="1:48" ht="21" customHeight="1">
      <c r="A3" s="391" t="s">
        <v>0</v>
      </c>
      <c r="B3" s="348"/>
      <c r="C3" s="779"/>
      <c r="D3" s="342"/>
      <c r="E3" s="779"/>
      <c r="F3" s="342"/>
      <c r="G3" s="342"/>
      <c r="H3" s="342"/>
      <c r="I3" s="342"/>
      <c r="J3" s="356"/>
      <c r="K3" s="342"/>
      <c r="L3" s="342"/>
      <c r="M3" s="356"/>
      <c r="N3" s="356"/>
      <c r="O3" s="356"/>
      <c r="P3" s="356"/>
      <c r="Q3" s="356"/>
      <c r="R3" s="356"/>
      <c r="S3" s="1575"/>
      <c r="T3" s="356"/>
      <c r="U3" s="1575" t="s">
        <v>85</v>
      </c>
      <c r="V3" s="356"/>
      <c r="W3" s="2180"/>
      <c r="X3" s="356"/>
      <c r="Y3" s="356"/>
      <c r="Z3" s="356"/>
      <c r="AA3" s="2181"/>
    </row>
    <row r="4" spans="1:48" ht="17.399999999999999">
      <c r="A4" s="391" t="s">
        <v>1301</v>
      </c>
      <c r="B4" s="348"/>
      <c r="C4" s="779"/>
      <c r="D4" s="342"/>
      <c r="E4" s="779"/>
      <c r="F4" s="342"/>
      <c r="G4" s="342"/>
      <c r="H4" s="342"/>
      <c r="I4" s="342"/>
      <c r="J4" s="356"/>
      <c r="K4" s="342"/>
      <c r="L4" s="342"/>
      <c r="M4" s="356"/>
      <c r="N4" s="356"/>
      <c r="O4" s="356"/>
      <c r="P4" s="356"/>
      <c r="Q4" s="356"/>
      <c r="R4" s="356"/>
      <c r="S4" s="1576"/>
      <c r="T4" s="356"/>
      <c r="U4" s="1576"/>
      <c r="V4" s="356"/>
      <c r="W4" s="2180"/>
      <c r="X4" s="356"/>
      <c r="Y4" s="356"/>
      <c r="Z4" s="356"/>
      <c r="AA4" s="2182"/>
    </row>
    <row r="5" spans="1:48" ht="18.899999999999999" customHeight="1">
      <c r="A5" s="3534" t="str">
        <f>+'Exh D-Governmental  '!A5:E5</f>
        <v>FISCAL YEAR 2017-2018</v>
      </c>
      <c r="B5" s="3535"/>
      <c r="C5" s="3535"/>
      <c r="D5" s="3535"/>
      <c r="E5" s="3535"/>
      <c r="F5" s="342"/>
      <c r="G5" s="342"/>
      <c r="H5" s="342"/>
      <c r="I5" s="342"/>
      <c r="J5" s="356"/>
      <c r="K5" s="342"/>
      <c r="L5" s="342"/>
      <c r="M5" s="356"/>
      <c r="N5" s="356"/>
      <c r="O5" s="356"/>
      <c r="P5" s="356"/>
      <c r="Q5" s="356"/>
      <c r="R5" s="356"/>
      <c r="S5" s="356"/>
      <c r="T5" s="356"/>
      <c r="U5" s="2180"/>
      <c r="V5" s="356"/>
      <c r="W5" s="2180"/>
      <c r="X5" s="356"/>
      <c r="Y5" s="356"/>
      <c r="Z5" s="356"/>
      <c r="AA5" s="356"/>
    </row>
    <row r="6" spans="1:48" ht="18.899999999999999" customHeight="1">
      <c r="A6" s="2630" t="str">
        <f>'Exh D-Governmental  '!A6</f>
        <v>FOR TEN MONTHS ENDED JANUARY 31, 2018</v>
      </c>
      <c r="B6" s="347"/>
      <c r="C6" s="779"/>
      <c r="D6" s="342"/>
      <c r="E6" s="779"/>
      <c r="F6" s="342"/>
      <c r="G6" s="342"/>
      <c r="H6" s="342"/>
      <c r="I6" s="342"/>
      <c r="J6" s="356"/>
      <c r="K6" s="342"/>
      <c r="L6" s="342"/>
      <c r="M6" s="356"/>
      <c r="N6" s="356"/>
      <c r="O6" s="356"/>
      <c r="P6" s="356"/>
      <c r="Q6" s="356"/>
      <c r="R6" s="356"/>
      <c r="S6" s="356"/>
      <c r="T6" s="356"/>
      <c r="U6" s="2180"/>
      <c r="V6" s="356"/>
      <c r="W6" s="2180"/>
      <c r="X6" s="356"/>
      <c r="Y6" s="356"/>
      <c r="Z6" s="356"/>
      <c r="AA6" s="356"/>
      <c r="AB6" s="342"/>
      <c r="AC6" s="356"/>
      <c r="AD6" s="356"/>
      <c r="AE6" s="356"/>
      <c r="AF6" s="356"/>
      <c r="AG6" s="356"/>
      <c r="AH6" s="356"/>
      <c r="AI6" s="356"/>
      <c r="AJ6" s="356"/>
      <c r="AK6" s="356"/>
      <c r="AL6" s="356"/>
      <c r="AM6" s="356"/>
      <c r="AN6" s="356"/>
      <c r="AO6" s="356"/>
      <c r="AP6" s="356"/>
      <c r="AQ6" s="1106"/>
      <c r="AR6" s="1106"/>
      <c r="AS6" s="1106"/>
      <c r="AT6" s="1106"/>
      <c r="AU6" s="1106"/>
      <c r="AV6" s="1732"/>
    </row>
    <row r="7" spans="1:48" ht="17.399999999999999">
      <c r="A7" s="391" t="s">
        <v>959</v>
      </c>
      <c r="B7" s="348"/>
      <c r="C7" s="779"/>
      <c r="D7" s="342"/>
      <c r="E7" s="779"/>
      <c r="F7" s="342"/>
      <c r="G7" s="342"/>
      <c r="H7" s="342"/>
      <c r="I7" s="342"/>
      <c r="J7" s="356"/>
      <c r="K7" s="342"/>
      <c r="L7" s="342"/>
      <c r="M7" s="356"/>
      <c r="N7" s="356"/>
      <c r="O7" s="356"/>
      <c r="P7" s="356"/>
      <c r="Q7" s="356"/>
      <c r="R7" s="356"/>
      <c r="S7" s="356"/>
      <c r="T7" s="356"/>
      <c r="U7" s="2180"/>
      <c r="V7" s="356"/>
      <c r="W7" s="2180"/>
      <c r="X7" s="356"/>
      <c r="Y7" s="356"/>
      <c r="Z7" s="356"/>
      <c r="AA7" s="356"/>
    </row>
    <row r="8" spans="1:48" ht="17.399999999999999">
      <c r="A8" s="393"/>
      <c r="B8" s="348"/>
      <c r="C8" s="779"/>
      <c r="D8" s="342"/>
      <c r="E8" s="779"/>
      <c r="F8" s="342"/>
      <c r="G8" s="342"/>
      <c r="H8" s="342"/>
      <c r="I8" s="342"/>
      <c r="J8" s="356"/>
      <c r="K8" s="342"/>
      <c r="L8" s="342"/>
      <c r="M8" s="356"/>
      <c r="N8" s="356"/>
      <c r="O8" s="356"/>
      <c r="P8" s="356"/>
      <c r="Q8" s="356"/>
      <c r="R8" s="356"/>
      <c r="S8" s="356"/>
      <c r="T8" s="356"/>
      <c r="U8" s="2180"/>
      <c r="V8" s="356"/>
      <c r="W8" s="2180"/>
      <c r="X8" s="356"/>
      <c r="Y8" s="356"/>
      <c r="Z8" s="356"/>
      <c r="AA8" s="356"/>
    </row>
    <row r="9" spans="1:48">
      <c r="A9" s="350"/>
      <c r="B9" s="342"/>
      <c r="C9" s="780"/>
      <c r="D9" s="342"/>
      <c r="E9" s="780"/>
      <c r="F9" s="342"/>
      <c r="G9" s="342"/>
      <c r="H9" s="342"/>
      <c r="I9" s="342"/>
      <c r="J9" s="356"/>
      <c r="K9" s="342"/>
      <c r="L9" s="342"/>
      <c r="M9" s="356"/>
      <c r="N9" s="356"/>
      <c r="O9" s="356"/>
      <c r="P9" s="356"/>
      <c r="Q9" s="356"/>
      <c r="R9" s="356"/>
      <c r="S9" s="356"/>
      <c r="T9" s="356"/>
      <c r="U9" s="2180"/>
      <c r="V9" s="356"/>
      <c r="W9" s="2180"/>
      <c r="X9" s="356"/>
      <c r="Y9" s="356"/>
      <c r="Z9" s="356"/>
      <c r="AA9" s="356"/>
    </row>
    <row r="10" spans="1:48">
      <c r="A10" s="350"/>
      <c r="B10" s="342"/>
      <c r="C10" s="779"/>
      <c r="D10" s="348"/>
      <c r="E10" s="779"/>
      <c r="F10" s="348"/>
      <c r="G10" s="348"/>
      <c r="H10" s="348"/>
      <c r="I10" s="348"/>
      <c r="J10" s="347"/>
      <c r="K10" s="348"/>
      <c r="L10" s="348"/>
      <c r="M10" s="779"/>
      <c r="N10" s="348"/>
      <c r="O10" s="779"/>
      <c r="P10" s="348"/>
      <c r="Q10" s="348"/>
      <c r="R10" s="348"/>
      <c r="S10" s="348"/>
      <c r="T10" s="347"/>
      <c r="U10" s="1799"/>
      <c r="V10" s="347"/>
      <c r="W10" s="1799"/>
      <c r="X10" s="347"/>
      <c r="Y10" s="347"/>
      <c r="Z10" s="347"/>
      <c r="AA10" s="347"/>
      <c r="AB10" s="1750"/>
    </row>
    <row r="11" spans="1:48" ht="15.6">
      <c r="A11" s="1279"/>
      <c r="B11" s="351"/>
      <c r="C11" s="3536" t="s">
        <v>1235</v>
      </c>
      <c r="D11" s="3536"/>
      <c r="E11" s="3536"/>
      <c r="F11" s="3536"/>
      <c r="G11" s="3536"/>
      <c r="H11" s="3536"/>
      <c r="I11" s="3536"/>
      <c r="J11" s="2174"/>
      <c r="K11" s="2174"/>
      <c r="L11" s="405"/>
      <c r="M11" s="3536" t="s">
        <v>1236</v>
      </c>
      <c r="N11" s="3536"/>
      <c r="O11" s="3536"/>
      <c r="P11" s="3536"/>
      <c r="Q11" s="3536"/>
      <c r="R11" s="3536"/>
      <c r="S11" s="3536"/>
      <c r="T11" s="2187"/>
      <c r="U11" s="2558"/>
      <c r="V11" s="2558"/>
      <c r="W11" s="396"/>
      <c r="X11" s="396"/>
      <c r="Y11" s="396"/>
      <c r="Z11" s="396"/>
      <c r="AA11" s="396"/>
      <c r="AB11" s="1750"/>
    </row>
    <row r="12" spans="1:48" ht="15.6">
      <c r="A12" s="1279"/>
      <c r="B12" s="351"/>
      <c r="C12" s="785"/>
      <c r="D12" s="352"/>
      <c r="E12" s="785"/>
      <c r="F12" s="352"/>
      <c r="G12" s="352"/>
      <c r="H12" s="352"/>
      <c r="I12" s="406" t="s">
        <v>86</v>
      </c>
      <c r="J12" s="406"/>
      <c r="K12" s="406" t="s">
        <v>86</v>
      </c>
      <c r="L12" s="1735"/>
      <c r="M12" s="785"/>
      <c r="N12" s="352"/>
      <c r="O12" s="785"/>
      <c r="P12" s="352"/>
      <c r="Q12" s="352"/>
      <c r="R12" s="352"/>
      <c r="S12" s="406" t="s">
        <v>86</v>
      </c>
      <c r="T12" s="351"/>
      <c r="U12" s="406" t="s">
        <v>86</v>
      </c>
      <c r="V12" s="351"/>
      <c r="W12" s="1817"/>
      <c r="X12" s="351"/>
      <c r="Y12" s="351"/>
      <c r="Z12" s="351"/>
      <c r="AA12" s="406"/>
    </row>
    <row r="13" spans="1:48" ht="15.6">
      <c r="A13" s="1279"/>
      <c r="B13" s="351"/>
      <c r="C13" s="785"/>
      <c r="D13" s="352"/>
      <c r="E13" s="785"/>
      <c r="F13" s="352"/>
      <c r="G13" s="352"/>
      <c r="H13" s="352"/>
      <c r="I13" s="353" t="s">
        <v>966</v>
      </c>
      <c r="J13" s="401"/>
      <c r="K13" s="353" t="s">
        <v>966</v>
      </c>
      <c r="L13" s="1735"/>
      <c r="M13" s="785"/>
      <c r="N13" s="352"/>
      <c r="O13" s="785"/>
      <c r="P13" s="352"/>
      <c r="Q13" s="352"/>
      <c r="R13" s="352"/>
      <c r="S13" s="353" t="s">
        <v>966</v>
      </c>
      <c r="T13" s="351"/>
      <c r="U13" s="353" t="s">
        <v>966</v>
      </c>
      <c r="V13" s="351"/>
      <c r="W13" s="1817"/>
      <c r="X13" s="351"/>
      <c r="Y13" s="351"/>
      <c r="Z13" s="351"/>
      <c r="AA13" s="401"/>
    </row>
    <row r="14" spans="1:48" ht="15.75" customHeight="1">
      <c r="A14" s="1279"/>
      <c r="B14" s="351"/>
      <c r="C14" s="354" t="s">
        <v>1174</v>
      </c>
      <c r="D14" s="1728"/>
      <c r="E14" s="354" t="s">
        <v>1175</v>
      </c>
      <c r="F14" s="352"/>
      <c r="G14" s="352"/>
      <c r="H14" s="352"/>
      <c r="I14" s="353" t="s">
        <v>87</v>
      </c>
      <c r="J14" s="401"/>
      <c r="K14" s="353" t="s">
        <v>87</v>
      </c>
      <c r="L14" s="1735"/>
      <c r="M14" s="354" t="s">
        <v>1174</v>
      </c>
      <c r="N14" s="1728"/>
      <c r="O14" s="354" t="s">
        <v>1175</v>
      </c>
      <c r="P14" s="352"/>
      <c r="Q14" s="352"/>
      <c r="R14" s="352"/>
      <c r="S14" s="353" t="s">
        <v>87</v>
      </c>
      <c r="T14" s="402"/>
      <c r="U14" s="353" t="s">
        <v>87</v>
      </c>
      <c r="V14" s="1284"/>
      <c r="W14" s="400"/>
      <c r="X14" s="351"/>
      <c r="Y14" s="351"/>
      <c r="Z14" s="351"/>
      <c r="AA14" s="401"/>
    </row>
    <row r="15" spans="1:48" ht="15" customHeight="1">
      <c r="A15" s="1279"/>
      <c r="B15" s="351"/>
      <c r="C15" s="353" t="s">
        <v>1216</v>
      </c>
      <c r="D15" s="352"/>
      <c r="E15" s="353" t="s">
        <v>1216</v>
      </c>
      <c r="F15" s="352"/>
      <c r="G15" s="352"/>
      <c r="H15" s="352"/>
      <c r="I15" s="353" t="s">
        <v>1174</v>
      </c>
      <c r="J15" s="400"/>
      <c r="K15" s="354" t="s">
        <v>1175</v>
      </c>
      <c r="L15" s="1818"/>
      <c r="M15" s="353" t="s">
        <v>1216</v>
      </c>
      <c r="N15" s="352"/>
      <c r="O15" s="353" t="s">
        <v>1216</v>
      </c>
      <c r="P15" s="352"/>
      <c r="Q15" s="352"/>
      <c r="R15" s="352"/>
      <c r="S15" s="353" t="s">
        <v>1174</v>
      </c>
      <c r="T15" s="402"/>
      <c r="U15" s="354" t="s">
        <v>1175</v>
      </c>
      <c r="V15" s="351"/>
      <c r="W15" s="401"/>
      <c r="X15" s="351"/>
      <c r="Y15" s="351"/>
      <c r="Z15" s="351"/>
      <c r="AA15" s="400"/>
    </row>
    <row r="16" spans="1:48" ht="15.6">
      <c r="A16" s="1279"/>
      <c r="B16" s="351"/>
      <c r="C16" s="353" t="s">
        <v>1217</v>
      </c>
      <c r="D16" s="352"/>
      <c r="E16" s="353" t="s">
        <v>1493</v>
      </c>
      <c r="F16" s="352"/>
      <c r="G16" s="354" t="s">
        <v>86</v>
      </c>
      <c r="H16" s="352"/>
      <c r="I16" s="353" t="s">
        <v>88</v>
      </c>
      <c r="J16" s="401"/>
      <c r="K16" s="353" t="s">
        <v>88</v>
      </c>
      <c r="L16" s="1735"/>
      <c r="M16" s="353" t="s">
        <v>1217</v>
      </c>
      <c r="N16" s="352"/>
      <c r="O16" s="353" t="s">
        <v>1493</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36"/>
      <c r="M17" s="357"/>
      <c r="N17" s="342"/>
      <c r="O17" s="357"/>
      <c r="P17" s="342"/>
      <c r="Q17" s="357"/>
      <c r="R17" s="342"/>
      <c r="S17" s="357"/>
      <c r="T17" s="356"/>
      <c r="U17" s="357"/>
      <c r="V17" s="356"/>
      <c r="W17" s="356"/>
      <c r="X17" s="356"/>
      <c r="Y17" s="356"/>
      <c r="Z17" s="356"/>
      <c r="AA17" s="356"/>
    </row>
    <row r="18" spans="1:48" ht="15.6">
      <c r="A18" s="221" t="s">
        <v>14</v>
      </c>
      <c r="B18" s="1720"/>
      <c r="C18" s="1189"/>
      <c r="D18" s="1189"/>
      <c r="E18" s="1189"/>
      <c r="F18" s="1189"/>
      <c r="G18" s="1560" t="s">
        <v>15</v>
      </c>
      <c r="H18" s="1189"/>
      <c r="I18" s="1189"/>
      <c r="J18" s="1720"/>
      <c r="K18" s="1189"/>
      <c r="L18" s="1737"/>
      <c r="M18" s="1189"/>
      <c r="N18" s="1189"/>
      <c r="O18" s="1189"/>
      <c r="P18" s="1189"/>
      <c r="Q18" s="1189" t="s">
        <v>15</v>
      </c>
      <c r="R18" s="1189"/>
      <c r="S18" s="1189"/>
      <c r="T18" s="1720"/>
      <c r="U18" s="1189"/>
      <c r="V18" s="1720"/>
      <c r="W18" s="1720"/>
      <c r="X18" s="1720"/>
      <c r="Y18" s="1720"/>
      <c r="Z18" s="1720"/>
      <c r="AA18" s="1720"/>
    </row>
    <row r="19" spans="1:48">
      <c r="A19" s="1566" t="s">
        <v>89</v>
      </c>
      <c r="B19" s="1721" t="s">
        <v>15</v>
      </c>
      <c r="C19" s="1190"/>
      <c r="D19" s="1192"/>
      <c r="E19" s="1190"/>
      <c r="F19" s="1192"/>
      <c r="G19" s="1190"/>
      <c r="H19" s="1192"/>
      <c r="I19" s="1190"/>
      <c r="J19" s="1806"/>
      <c r="K19" s="1190"/>
      <c r="L19" s="1751"/>
      <c r="M19" s="1190"/>
      <c r="N19" s="1190"/>
      <c r="O19" s="1190"/>
      <c r="P19" s="1190"/>
      <c r="Q19" s="1752"/>
      <c r="R19" s="1192"/>
      <c r="S19" s="1190"/>
      <c r="T19" s="1192"/>
      <c r="U19" s="1190"/>
      <c r="V19" s="1806"/>
      <c r="W19" s="1806"/>
      <c r="X19" s="1806"/>
      <c r="Y19" s="2188"/>
      <c r="Z19" s="1804"/>
      <c r="AA19" s="1806"/>
      <c r="AB19" s="1720"/>
      <c r="AC19" s="1720"/>
      <c r="AD19" s="1720"/>
      <c r="AE19" s="1720"/>
      <c r="AF19" s="1720"/>
      <c r="AG19" s="1720"/>
      <c r="AH19" s="1720"/>
      <c r="AI19" s="1720"/>
      <c r="AJ19" s="1720"/>
      <c r="AK19" s="1720"/>
      <c r="AL19" s="1720"/>
      <c r="AM19" s="1720"/>
      <c r="AN19" s="1720"/>
      <c r="AO19" s="1720"/>
      <c r="AP19" s="1720"/>
      <c r="AQ19" s="1106"/>
      <c r="AR19" s="1106"/>
      <c r="AS19" s="1106"/>
      <c r="AT19" s="1106"/>
      <c r="AU19" s="1106"/>
      <c r="AV19" s="1732"/>
    </row>
    <row r="20" spans="1:48">
      <c r="A20" s="1566" t="s">
        <v>91</v>
      </c>
      <c r="B20" s="1720" t="s">
        <v>15</v>
      </c>
      <c r="C20" s="1863">
        <v>495</v>
      </c>
      <c r="D20" s="1190"/>
      <c r="E20" s="1863">
        <v>476</v>
      </c>
      <c r="F20" s="1190"/>
      <c r="G20" s="1738">
        <f>+' Exhibit I State'!AD23</f>
        <v>479.4</v>
      </c>
      <c r="H20" s="1190"/>
      <c r="I20" s="1190">
        <f>ROUND(SUM(G20)-(C20),1)</f>
        <v>-15.6</v>
      </c>
      <c r="J20" s="1806"/>
      <c r="K20" s="1190">
        <f>ROUND(SUM(G20)-(E20),1)</f>
        <v>3.4</v>
      </c>
      <c r="L20" s="1751"/>
      <c r="M20" s="1863">
        <v>0</v>
      </c>
      <c r="N20" s="1193"/>
      <c r="O20" s="1863">
        <v>0</v>
      </c>
      <c r="P20" s="1193"/>
      <c r="Q20" s="1738">
        <v>0</v>
      </c>
      <c r="R20" s="1193"/>
      <c r="S20" s="1190">
        <f t="shared" ref="S20:S22" si="0">ROUND(SUM(Q20)-SUM(M20),1)</f>
        <v>0</v>
      </c>
      <c r="T20" s="1806"/>
      <c r="U20" s="1190">
        <f>ROUND(SUM(Q20)-SUM(O20),1)</f>
        <v>0</v>
      </c>
      <c r="V20" s="2189"/>
      <c r="W20" s="1805"/>
      <c r="X20" s="2189"/>
      <c r="Y20" s="1805"/>
      <c r="Z20" s="2189"/>
      <c r="AA20" s="1806"/>
      <c r="AB20" s="1720"/>
      <c r="AC20" s="1720"/>
      <c r="AD20" s="1720"/>
      <c r="AE20" s="1720"/>
      <c r="AF20" s="1720"/>
      <c r="AG20" s="1720"/>
      <c r="AH20" s="1720"/>
      <c r="AI20" s="1720"/>
      <c r="AJ20" s="1720"/>
      <c r="AK20" s="1720"/>
      <c r="AL20" s="1720"/>
      <c r="AM20" s="1720"/>
      <c r="AN20" s="1720"/>
      <c r="AO20" s="1720"/>
      <c r="AP20" s="1720"/>
      <c r="AQ20" s="1106"/>
      <c r="AR20" s="1106"/>
      <c r="AS20" s="1106"/>
      <c r="AT20" s="1106"/>
      <c r="AU20" s="1106"/>
      <c r="AV20" s="1732"/>
    </row>
    <row r="21" spans="1:48">
      <c r="A21" s="1566" t="s">
        <v>92</v>
      </c>
      <c r="B21" s="1721" t="s">
        <v>15</v>
      </c>
      <c r="C21" s="2069">
        <v>514</v>
      </c>
      <c r="D21" s="1262"/>
      <c r="E21" s="2069">
        <v>519</v>
      </c>
      <c r="F21" s="1262"/>
      <c r="G21" s="1275">
        <f>+' Exhibit I State'!AD28</f>
        <v>518.4</v>
      </c>
      <c r="H21" s="1262"/>
      <c r="I21" s="1111">
        <f>ROUND(SUM(G21)-SUM(C21),1)</f>
        <v>4.4000000000000004</v>
      </c>
      <c r="J21" s="1740"/>
      <c r="K21" s="2800">
        <f>ROUND(SUM(G21)-SUM(E21),1)</f>
        <v>-0.6</v>
      </c>
      <c r="L21" s="1753"/>
      <c r="M21" s="1273">
        <v>0</v>
      </c>
      <c r="N21" s="1191"/>
      <c r="O21" s="1273">
        <v>0</v>
      </c>
      <c r="P21" s="1191"/>
      <c r="Q21" s="1275">
        <v>0</v>
      </c>
      <c r="R21" s="1191"/>
      <c r="S21" s="1111">
        <f t="shared" si="0"/>
        <v>0</v>
      </c>
      <c r="T21" s="1262"/>
      <c r="U21" s="2800">
        <f>ROUND(SUM(Q21)-SUM(O21),1)</f>
        <v>0</v>
      </c>
      <c r="V21" s="1744"/>
      <c r="W21" s="1809"/>
      <c r="X21" s="1744"/>
      <c r="Y21" s="1809"/>
      <c r="Z21" s="1744"/>
      <c r="AA21" s="1740"/>
      <c r="AB21" s="1742"/>
      <c r="AC21" s="1720"/>
      <c r="AD21" s="1720"/>
      <c r="AE21" s="1742"/>
      <c r="AF21" s="1720"/>
      <c r="AG21" s="1742"/>
      <c r="AH21" s="1720"/>
      <c r="AI21" s="1720"/>
      <c r="AJ21" s="1742"/>
      <c r="AK21" s="1720"/>
      <c r="AL21" s="1720"/>
      <c r="AM21" s="1742"/>
      <c r="AN21" s="403"/>
      <c r="AO21" s="1742"/>
      <c r="AP21" s="1720"/>
      <c r="AQ21" s="1106"/>
      <c r="AR21" s="1106"/>
      <c r="AS21" s="1106"/>
      <c r="AT21" s="1106"/>
      <c r="AU21" s="1106"/>
      <c r="AV21" s="1732"/>
    </row>
    <row r="22" spans="1:48">
      <c r="A22" s="1566" t="s">
        <v>93</v>
      </c>
      <c r="B22" s="1720" t="s">
        <v>15</v>
      </c>
      <c r="C22" s="1273">
        <v>96</v>
      </c>
      <c r="D22" s="1111"/>
      <c r="E22" s="1273">
        <v>95</v>
      </c>
      <c r="F22" s="1111"/>
      <c r="G22" s="1275">
        <f>+' Exhibit I State'!AD31</f>
        <v>95.3</v>
      </c>
      <c r="H22" s="1111"/>
      <c r="I22" s="1111">
        <f t="shared" ref="I22" si="1">ROUND(SUM(G22)-SUM(C22),1)</f>
        <v>-0.7</v>
      </c>
      <c r="J22" s="1740"/>
      <c r="K22" s="2800">
        <f t="shared" ref="K22:K26" si="2">ROUND(SUM(G22)-SUM(E22),1)</f>
        <v>0.3</v>
      </c>
      <c r="L22" s="1753"/>
      <c r="M22" s="1273">
        <v>0</v>
      </c>
      <c r="N22" s="1191"/>
      <c r="O22" s="1273">
        <v>0</v>
      </c>
      <c r="P22" s="1191"/>
      <c r="Q22" s="1275">
        <v>0</v>
      </c>
      <c r="R22" s="1191"/>
      <c r="S22" s="1111">
        <f t="shared" si="0"/>
        <v>0</v>
      </c>
      <c r="T22" s="1740"/>
      <c r="U22" s="2800">
        <f t="shared" ref="U22:U26" si="3">ROUND(SUM(Q22)-SUM(O22),1)</f>
        <v>0</v>
      </c>
      <c r="V22" s="1744"/>
      <c r="W22" s="1809"/>
      <c r="X22" s="1744"/>
      <c r="Y22" s="1809"/>
      <c r="Z22" s="1744"/>
      <c r="AA22" s="1740"/>
      <c r="AB22" s="1720"/>
      <c r="AC22" s="1720"/>
      <c r="AD22" s="1720"/>
      <c r="AE22" s="1720"/>
      <c r="AF22" s="1720"/>
      <c r="AG22" s="1720"/>
      <c r="AH22" s="1720"/>
      <c r="AI22" s="1720"/>
      <c r="AJ22" s="1720"/>
      <c r="AK22" s="1720"/>
      <c r="AL22" s="1720"/>
      <c r="AM22" s="1720"/>
      <c r="AN22" s="1720"/>
      <c r="AO22" s="1720"/>
      <c r="AP22" s="1720"/>
      <c r="AQ22" s="1106"/>
      <c r="AR22" s="1106"/>
      <c r="AS22" s="1106"/>
      <c r="AT22" s="1106"/>
      <c r="AU22" s="1106"/>
      <c r="AV22" s="1732"/>
    </row>
    <row r="23" spans="1:48">
      <c r="A23" s="1566" t="s">
        <v>20</v>
      </c>
      <c r="B23" s="1720" t="s">
        <v>15</v>
      </c>
      <c r="C23" s="1672">
        <v>5216</v>
      </c>
      <c r="D23" s="1111"/>
      <c r="E23" s="1672">
        <v>4936</v>
      </c>
      <c r="F23" s="1111"/>
      <c r="G23" s="1275">
        <f>+' Exhibit I State'!AD61</f>
        <v>5015.8</v>
      </c>
      <c r="H23" s="1111"/>
      <c r="I23" s="1111">
        <f>ROUND(SUM(G23)-SUM(C23),1)</f>
        <v>-200.2</v>
      </c>
      <c r="J23" s="1740"/>
      <c r="K23" s="2800">
        <f t="shared" si="2"/>
        <v>79.8</v>
      </c>
      <c r="L23" s="1753"/>
      <c r="M23" s="1672">
        <v>1</v>
      </c>
      <c r="N23" s="1111"/>
      <c r="O23" s="1672">
        <v>1</v>
      </c>
      <c r="P23" s="1111"/>
      <c r="Q23" s="1111">
        <f>+'Exhibit I Federal'!AD43</f>
        <v>1.9</v>
      </c>
      <c r="R23" s="1111"/>
      <c r="S23" s="1111">
        <f>ROUND(SUM(Q23)-SUM(M23),1)</f>
        <v>0.9</v>
      </c>
      <c r="T23" s="1740"/>
      <c r="U23" s="2800">
        <f t="shared" si="3"/>
        <v>0.9</v>
      </c>
      <c r="V23" s="1740"/>
      <c r="W23" s="1809"/>
      <c r="X23" s="1740"/>
      <c r="Y23" s="1809"/>
      <c r="Z23" s="1740"/>
      <c r="AA23" s="1740"/>
    </row>
    <row r="24" spans="1:48">
      <c r="A24" s="1566" t="s">
        <v>21</v>
      </c>
      <c r="B24" s="1720" t="s">
        <v>15</v>
      </c>
      <c r="C24" s="2817">
        <v>2</v>
      </c>
      <c r="D24" s="1111"/>
      <c r="E24" s="2817">
        <v>3</v>
      </c>
      <c r="F24" s="1111"/>
      <c r="G24" s="1275">
        <f>+' Exhibit I State'!AD63</f>
        <v>2.5</v>
      </c>
      <c r="H24" s="1111"/>
      <c r="I24" s="1111">
        <f>ROUND(SUM(G24)-SUM(C24),1)</f>
        <v>0.5</v>
      </c>
      <c r="J24" s="1740"/>
      <c r="K24" s="2800">
        <f t="shared" si="2"/>
        <v>-0.5</v>
      </c>
      <c r="L24" s="1753"/>
      <c r="M24" s="1672">
        <v>1694</v>
      </c>
      <c r="N24" s="1111"/>
      <c r="O24" s="1672">
        <v>1870</v>
      </c>
      <c r="P24" s="1111"/>
      <c r="Q24" s="1111">
        <f>+'Exhibit I Federal'!AD45</f>
        <v>1803.5</v>
      </c>
      <c r="R24" s="1111"/>
      <c r="S24" s="1111">
        <f>ROUND(SUM(Q24)-SUM(M24),1)</f>
        <v>109.5</v>
      </c>
      <c r="T24" s="1740"/>
      <c r="U24" s="2800">
        <f t="shared" si="3"/>
        <v>-66.5</v>
      </c>
      <c r="V24" s="1740"/>
      <c r="W24" s="1809"/>
      <c r="X24" s="1740"/>
      <c r="Y24" s="1809"/>
      <c r="Z24" s="1740"/>
      <c r="AA24" s="1740"/>
    </row>
    <row r="25" spans="1:48">
      <c r="A25" s="1566" t="s">
        <v>99</v>
      </c>
      <c r="B25" s="1720" t="s">
        <v>15</v>
      </c>
      <c r="C25" s="2069">
        <v>0</v>
      </c>
      <c r="D25" s="1111"/>
      <c r="E25" s="2069">
        <v>0</v>
      </c>
      <c r="F25" s="1111"/>
      <c r="G25" s="1191">
        <f>+' Exhibit I State'!AA92</f>
        <v>0</v>
      </c>
      <c r="H25" s="1111"/>
      <c r="I25" s="1111">
        <f>ROUND(SUM(G25)-SUM(C25),1)</f>
        <v>0</v>
      </c>
      <c r="J25" s="1740"/>
      <c r="K25" s="2800">
        <f t="shared" si="2"/>
        <v>0</v>
      </c>
      <c r="L25" s="1754"/>
      <c r="M25" s="1273">
        <v>0</v>
      </c>
      <c r="N25" s="1111"/>
      <c r="O25" s="1273">
        <v>0</v>
      </c>
      <c r="P25" s="1111"/>
      <c r="Q25" s="1191">
        <v>0</v>
      </c>
      <c r="R25" s="1111"/>
      <c r="S25" s="1111">
        <f>ROUND(SUM(Q25)-SUM(M25),1)</f>
        <v>0</v>
      </c>
      <c r="T25" s="1741"/>
      <c r="U25" s="2800">
        <f t="shared" si="3"/>
        <v>0</v>
      </c>
      <c r="V25" s="1740"/>
      <c r="W25" s="1809"/>
      <c r="X25" s="1740"/>
      <c r="Y25" s="1809"/>
      <c r="Z25" s="1740"/>
      <c r="AA25" s="1740"/>
    </row>
    <row r="26" spans="1:48">
      <c r="A26" s="1566" t="s">
        <v>48</v>
      </c>
      <c r="B26" s="1720" t="s">
        <v>15</v>
      </c>
      <c r="C26" s="1272">
        <v>1978</v>
      </c>
      <c r="D26" s="1111"/>
      <c r="E26" s="1272">
        <v>1414</v>
      </c>
      <c r="F26" s="1111"/>
      <c r="G26" s="1272">
        <f>+' Exhibit I State'!AD93</f>
        <v>1187.4000000000001</v>
      </c>
      <c r="H26" s="1111"/>
      <c r="I26" s="1111">
        <f>ROUND(SUM(G26)-SUM(C26),1)</f>
        <v>-790.6</v>
      </c>
      <c r="J26" s="1740"/>
      <c r="K26" s="2800">
        <f t="shared" si="2"/>
        <v>-226.6</v>
      </c>
      <c r="L26" s="1753"/>
      <c r="M26" s="1272">
        <v>0</v>
      </c>
      <c r="N26" s="1111"/>
      <c r="O26" s="1272">
        <v>0</v>
      </c>
      <c r="P26" s="1111"/>
      <c r="Q26" s="1262">
        <f>+'Exhibit I Federal'!I74</f>
        <v>0</v>
      </c>
      <c r="R26" s="1111"/>
      <c r="S26" s="1111">
        <f>ROUND(SUM(Q26)-SUM(M26),1)</f>
        <v>0</v>
      </c>
      <c r="T26" s="1741"/>
      <c r="U26" s="2800">
        <f t="shared" si="3"/>
        <v>0</v>
      </c>
      <c r="V26" s="1740"/>
      <c r="W26" s="1809"/>
      <c r="X26" s="1740"/>
      <c r="Y26" s="1809"/>
      <c r="Z26" s="1740"/>
      <c r="AA26" s="1740"/>
    </row>
    <row r="27" spans="1:48" ht="18" customHeight="1">
      <c r="A27" s="373" t="s">
        <v>111</v>
      </c>
      <c r="B27" s="351" t="s">
        <v>15</v>
      </c>
      <c r="C27" s="2649">
        <f>ROUND(SUM(C20:C26),1)</f>
        <v>8301</v>
      </c>
      <c r="D27" s="1719"/>
      <c r="E27" s="2649">
        <f>ROUND(SUM(E20:E26),1)</f>
        <v>7443</v>
      </c>
      <c r="F27" s="1719"/>
      <c r="G27" s="417">
        <f>ROUND(SUM(G20:G26),1)</f>
        <v>7298.8</v>
      </c>
      <c r="H27" s="1719"/>
      <c r="I27" s="417">
        <f>ROUND(SUM(I20:I26),1)</f>
        <v>-1002.2</v>
      </c>
      <c r="J27" s="272"/>
      <c r="K27" s="417">
        <f>ROUND(SUM(K20:K26),1)</f>
        <v>-144.19999999999999</v>
      </c>
      <c r="L27" s="1755"/>
      <c r="M27" s="2649">
        <f>ROUND(SUM(M20:M26),1)</f>
        <v>1695</v>
      </c>
      <c r="N27" s="1719"/>
      <c r="O27" s="2649">
        <f>ROUND(SUM(O20:O26),1)</f>
        <v>1871</v>
      </c>
      <c r="P27" s="1719"/>
      <c r="Q27" s="417">
        <f>ROUND(SUM(Q20:Q26),1)</f>
        <v>1805.4</v>
      </c>
      <c r="R27" s="1719"/>
      <c r="S27" s="417">
        <f>ROUND(SUM(S20:S26),1)</f>
        <v>110.4</v>
      </c>
      <c r="T27" s="272"/>
      <c r="U27" s="417">
        <f>ROUND(SUM(U20:U26),1)</f>
        <v>-65.599999999999994</v>
      </c>
      <c r="V27" s="272"/>
      <c r="W27" s="272"/>
      <c r="X27" s="272"/>
      <c r="Y27" s="272"/>
      <c r="Z27" s="272"/>
      <c r="AA27" s="272"/>
    </row>
    <row r="28" spans="1:48">
      <c r="A28" s="1279"/>
      <c r="B28" s="1720" t="s">
        <v>15</v>
      </c>
      <c r="C28" s="1896"/>
      <c r="D28" s="1111"/>
      <c r="E28" s="1896"/>
      <c r="F28" s="1111"/>
      <c r="G28" s="1277"/>
      <c r="H28" s="1111"/>
      <c r="I28" s="1277"/>
      <c r="J28" s="1740"/>
      <c r="K28" s="1277"/>
      <c r="L28" s="1753"/>
      <c r="M28" s="1896"/>
      <c r="N28" s="1111"/>
      <c r="O28" s="1896"/>
      <c r="P28" s="1111"/>
      <c r="Q28" s="1277"/>
      <c r="R28" s="1111"/>
      <c r="S28" s="1277" t="s">
        <v>15</v>
      </c>
      <c r="T28" s="1740"/>
      <c r="U28" s="1277"/>
      <c r="V28" s="1740"/>
      <c r="W28" s="1740"/>
      <c r="X28" s="1740"/>
      <c r="Y28" s="1740"/>
      <c r="Z28" s="1740"/>
      <c r="AA28" s="1740"/>
    </row>
    <row r="29" spans="1:48" ht="15.6">
      <c r="A29" s="221" t="s">
        <v>23</v>
      </c>
      <c r="B29" s="1720" t="s">
        <v>15</v>
      </c>
      <c r="C29" s="1672"/>
      <c r="D29" s="1111"/>
      <c r="E29" s="1672"/>
      <c r="F29" s="1111"/>
      <c r="G29" s="1111" t="s">
        <v>15</v>
      </c>
      <c r="H29" s="1111"/>
      <c r="I29" s="1111"/>
      <c r="J29" s="1740"/>
      <c r="K29" s="1111"/>
      <c r="L29" s="1753"/>
      <c r="M29" s="1672"/>
      <c r="N29" s="1111"/>
      <c r="O29" s="1672"/>
      <c r="P29" s="1111"/>
      <c r="Q29" s="1111"/>
      <c r="R29" s="1111"/>
      <c r="S29" s="1111"/>
      <c r="T29" s="1740"/>
      <c r="U29" s="1111"/>
      <c r="V29" s="1740"/>
      <c r="W29" s="1740"/>
      <c r="X29" s="1740"/>
      <c r="Y29" s="1740"/>
      <c r="Z29" s="1740"/>
      <c r="AA29" s="1740"/>
    </row>
    <row r="30" spans="1:48">
      <c r="A30" s="1566" t="s">
        <v>95</v>
      </c>
      <c r="B30" s="1720" t="s">
        <v>15</v>
      </c>
      <c r="C30" s="2069">
        <v>3208</v>
      </c>
      <c r="D30" s="1111"/>
      <c r="E30" s="2069">
        <v>2443</v>
      </c>
      <c r="F30" s="1111"/>
      <c r="G30" s="1191">
        <f>+' Exhibit I State'!AD79</f>
        <v>2440.4</v>
      </c>
      <c r="H30" s="1111"/>
      <c r="I30" s="1111">
        <f>ROUND(SUM(G30)-SUM(C30),1)</f>
        <v>-767.6</v>
      </c>
      <c r="J30" s="1740"/>
      <c r="K30" s="2800">
        <f>ROUND(SUM(G30)-SUM(E30),1)</f>
        <v>-2.6</v>
      </c>
      <c r="L30" s="1753"/>
      <c r="M30" s="1672">
        <v>567</v>
      </c>
      <c r="N30" s="1111"/>
      <c r="O30" s="1672">
        <v>578</v>
      </c>
      <c r="P30" s="1111"/>
      <c r="Q30" s="1111">
        <f>+'Exhibit I Federal'!AD61</f>
        <v>601.79999999999995</v>
      </c>
      <c r="R30" s="1111"/>
      <c r="S30" s="1111">
        <f>ROUND(SUM(Q30)-SUM(M30),1)</f>
        <v>34.799999999999997</v>
      </c>
      <c r="T30" s="1740"/>
      <c r="U30" s="2800">
        <f>ROUND(SUM(Q30)-SUM(O30),1)</f>
        <v>23.8</v>
      </c>
      <c r="V30" s="1740"/>
      <c r="W30" s="1809"/>
      <c r="X30" s="1740"/>
      <c r="Y30" s="1809"/>
      <c r="Z30" s="1740"/>
      <c r="AA30" s="1740"/>
    </row>
    <row r="31" spans="1:48">
      <c r="A31" s="1566" t="s">
        <v>42</v>
      </c>
      <c r="B31" s="1720" t="s">
        <v>15</v>
      </c>
      <c r="C31" s="2069">
        <v>6038</v>
      </c>
      <c r="D31" s="1111"/>
      <c r="E31" s="2069">
        <v>4878</v>
      </c>
      <c r="F31" s="1111"/>
      <c r="G31" s="1191">
        <f>+' Exhibit I State'!AD84</f>
        <v>4521.1000000000004</v>
      </c>
      <c r="H31" s="1111"/>
      <c r="I31" s="1111">
        <f>ROUND(SUM(G31)-SUM(C31),1)</f>
        <v>-1516.9</v>
      </c>
      <c r="J31" s="1740"/>
      <c r="K31" s="2800">
        <f t="shared" ref="K31:K32" si="4">ROUND(SUM(G31)-SUM(E31),1)</f>
        <v>-356.9</v>
      </c>
      <c r="L31" s="1754"/>
      <c r="M31" s="1672">
        <v>1040</v>
      </c>
      <c r="N31" s="1111"/>
      <c r="O31" s="1672">
        <v>1029</v>
      </c>
      <c r="P31" s="1111"/>
      <c r="Q31" s="1111">
        <f>+'Exhibit I Federal'!AD66</f>
        <v>1043.2</v>
      </c>
      <c r="R31" s="1111"/>
      <c r="S31" s="1111">
        <f>ROUND(SUM(Q31)-SUM(M31),1)</f>
        <v>3.2</v>
      </c>
      <c r="T31" s="1740"/>
      <c r="U31" s="2800">
        <f t="shared" ref="U31:U32" si="5">ROUND(SUM(Q31)-SUM(O31),1)</f>
        <v>14.2</v>
      </c>
      <c r="V31" s="1740"/>
      <c r="W31" s="1809"/>
      <c r="X31" s="1740"/>
      <c r="Y31" s="1809"/>
      <c r="Z31" s="1740"/>
      <c r="AA31" s="1740"/>
    </row>
    <row r="32" spans="1:48">
      <c r="A32" s="1566" t="s">
        <v>100</v>
      </c>
      <c r="B32" s="1720" t="s">
        <v>15</v>
      </c>
      <c r="C32" s="1272">
        <v>525</v>
      </c>
      <c r="D32" s="1111"/>
      <c r="E32" s="1272">
        <v>509</v>
      </c>
      <c r="F32" s="1111"/>
      <c r="G32" s="1262">
        <f>-' Exhibit I State'!AD94</f>
        <v>505.8</v>
      </c>
      <c r="H32" s="1111"/>
      <c r="I32" s="1111">
        <f>ROUND(SUM(G32)-SUM(C32),1)</f>
        <v>-19.2</v>
      </c>
      <c r="J32" s="1740"/>
      <c r="K32" s="2800">
        <f t="shared" si="4"/>
        <v>-3.2</v>
      </c>
      <c r="L32" s="1753"/>
      <c r="M32" s="1272">
        <v>9</v>
      </c>
      <c r="N32" s="1111"/>
      <c r="O32" s="1272">
        <v>5</v>
      </c>
      <c r="P32" s="1111"/>
      <c r="Q32" s="1262">
        <f>-'Exhibit I Federal'!AD75</f>
        <v>4.7</v>
      </c>
      <c r="R32" s="1111"/>
      <c r="S32" s="1111">
        <f>ROUND(SUM(Q32)-SUM(M32),1)</f>
        <v>-4.3</v>
      </c>
      <c r="T32" s="1741"/>
      <c r="U32" s="2800">
        <f t="shared" si="5"/>
        <v>-0.3</v>
      </c>
      <c r="V32" s="1740"/>
      <c r="W32" s="1809"/>
      <c r="X32" s="1740"/>
      <c r="Y32" s="1809"/>
      <c r="Z32" s="1740"/>
      <c r="AA32" s="1740"/>
    </row>
    <row r="33" spans="1:48" ht="18" customHeight="1">
      <c r="A33" s="373" t="s">
        <v>120</v>
      </c>
      <c r="B33" s="351" t="s">
        <v>15</v>
      </c>
      <c r="C33" s="2649">
        <f>ROUND(SUM(C30:C32),1)</f>
        <v>9771</v>
      </c>
      <c r="D33" s="1719"/>
      <c r="E33" s="2649">
        <f>ROUND(SUM(E30:E32),1)</f>
        <v>7830</v>
      </c>
      <c r="F33" s="1719"/>
      <c r="G33" s="417">
        <f>ROUND(SUM(G30:G32),1)</f>
        <v>7467.3</v>
      </c>
      <c r="H33" s="1719"/>
      <c r="I33" s="417">
        <f>ROUND(SUM(I30:I32),1)</f>
        <v>-2303.6999999999998</v>
      </c>
      <c r="J33" s="272"/>
      <c r="K33" s="417">
        <f>ROUND(SUM(K30:K32),1)</f>
        <v>-362.7</v>
      </c>
      <c r="L33" s="1755"/>
      <c r="M33" s="417">
        <f>ROUND(SUM(M30:M32),1)</f>
        <v>1616</v>
      </c>
      <c r="N33" s="1719"/>
      <c r="O33" s="2649">
        <f>ROUND(SUM(O30:O32),1)</f>
        <v>1612</v>
      </c>
      <c r="P33" s="1719"/>
      <c r="Q33" s="417">
        <f>ROUND(SUM(Q30:Q32),1)</f>
        <v>1649.7</v>
      </c>
      <c r="R33" s="1719"/>
      <c r="S33" s="417">
        <f>ROUND(SUM(S30:S32),1)</f>
        <v>33.700000000000003</v>
      </c>
      <c r="T33" s="272"/>
      <c r="U33" s="417">
        <f>ROUND(SUM(U30:U32),1)</f>
        <v>37.700000000000003</v>
      </c>
      <c r="V33" s="272"/>
      <c r="W33" s="272"/>
      <c r="X33" s="272"/>
      <c r="Y33" s="272"/>
      <c r="Z33" s="272"/>
      <c r="AA33" s="272"/>
    </row>
    <row r="34" spans="1:48">
      <c r="A34" s="1279"/>
      <c r="B34" s="1720" t="s">
        <v>15</v>
      </c>
      <c r="C34" s="1896"/>
      <c r="D34" s="1111"/>
      <c r="E34" s="1896"/>
      <c r="F34" s="1111"/>
      <c r="G34" s="1277"/>
      <c r="H34" s="1111"/>
      <c r="I34" s="1277"/>
      <c r="J34" s="1740"/>
      <c r="K34" s="1277"/>
      <c r="L34" s="1753"/>
      <c r="M34" s="1277"/>
      <c r="N34" s="1111"/>
      <c r="O34" s="1896"/>
      <c r="P34" s="1111"/>
      <c r="Q34" s="1277"/>
      <c r="R34" s="1111"/>
      <c r="S34" s="1277"/>
      <c r="T34" s="1740"/>
      <c r="U34" s="1277"/>
      <c r="V34" s="1740"/>
      <c r="W34" s="1740"/>
      <c r="X34" s="1740"/>
      <c r="Y34" s="1740"/>
      <c r="Z34" s="1740"/>
      <c r="AA34" s="1740"/>
    </row>
    <row r="35" spans="1:48" ht="15.6">
      <c r="A35" s="221" t="s">
        <v>102</v>
      </c>
      <c r="B35" s="1720"/>
      <c r="C35" s="1672"/>
      <c r="D35" s="1111"/>
      <c r="E35" s="1672"/>
      <c r="F35" s="1111"/>
      <c r="G35" s="1111"/>
      <c r="H35" s="1111"/>
      <c r="I35" s="1111"/>
      <c r="J35" s="1740"/>
      <c r="K35" s="1111"/>
      <c r="L35" s="1753"/>
      <c r="M35" s="1111"/>
      <c r="N35" s="1111"/>
      <c r="O35" s="1672"/>
      <c r="P35" s="1111"/>
      <c r="Q35" s="1111"/>
      <c r="R35" s="1111"/>
      <c r="S35" s="1111"/>
      <c r="T35" s="1740"/>
      <c r="U35" s="1111"/>
      <c r="V35" s="1740"/>
      <c r="W35" s="1740"/>
      <c r="X35" s="1740"/>
      <c r="Y35" s="1740"/>
      <c r="Z35" s="1740"/>
      <c r="AA35" s="1740"/>
    </row>
    <row r="36" spans="1:48" ht="15.6">
      <c r="A36" s="221" t="s">
        <v>103</v>
      </c>
      <c r="B36" s="1720"/>
      <c r="C36" s="1672"/>
      <c r="D36" s="1111"/>
      <c r="E36" s="1672"/>
      <c r="F36" s="1111"/>
      <c r="G36" s="1111"/>
      <c r="H36" s="1111"/>
      <c r="I36" s="1111"/>
      <c r="J36" s="1740"/>
      <c r="K36" s="1111"/>
      <c r="L36" s="1753"/>
      <c r="M36" s="1111"/>
      <c r="N36" s="1111"/>
      <c r="O36" s="1672"/>
      <c r="P36" s="1111"/>
      <c r="Q36" s="1111"/>
      <c r="R36" s="1111"/>
      <c r="S36" s="1111"/>
      <c r="T36" s="1740"/>
      <c r="U36" s="1111"/>
      <c r="V36" s="1740"/>
      <c r="W36" s="1740"/>
      <c r="X36" s="1740"/>
      <c r="Y36" s="1740"/>
      <c r="Z36" s="1740"/>
      <c r="AA36" s="1740"/>
    </row>
    <row r="37" spans="1:48" ht="15.6">
      <c r="A37" s="373" t="s">
        <v>104</v>
      </c>
      <c r="B37" s="374" t="s">
        <v>15</v>
      </c>
      <c r="C37" s="313">
        <f>ROUND(SUM(C27)-SUM(C33),1)</f>
        <v>-1470</v>
      </c>
      <c r="D37" s="282"/>
      <c r="E37" s="313">
        <f>ROUND(SUM(E27)-SUM(E33),1)</f>
        <v>-387</v>
      </c>
      <c r="F37" s="282"/>
      <c r="G37" s="272">
        <f>ROUND(SUM(G27)-SUM(G33),1)</f>
        <v>-168.5</v>
      </c>
      <c r="H37" s="282"/>
      <c r="I37" s="272">
        <f>ROUND(SUM(I27)-SUM(I33),1)</f>
        <v>1301.5</v>
      </c>
      <c r="J37" s="272"/>
      <c r="K37" s="272">
        <f>ROUND(SUM(K27)-SUM(K33),1)</f>
        <v>218.5</v>
      </c>
      <c r="L37" s="1755"/>
      <c r="M37" s="272">
        <f>ROUND(SUM(M27)-SUM(M33),1)</f>
        <v>79</v>
      </c>
      <c r="N37" s="282"/>
      <c r="O37" s="313">
        <f>ROUND(SUM(O27)-SUM(O33),1)</f>
        <v>259</v>
      </c>
      <c r="P37" s="282"/>
      <c r="Q37" s="272">
        <f>ROUND(SUM(Q27)-SUM(Q33),1)</f>
        <v>155.69999999999999</v>
      </c>
      <c r="R37" s="282"/>
      <c r="S37" s="272">
        <f>ROUND(SUM(S27)-SUM(S33),1)</f>
        <v>76.7</v>
      </c>
      <c r="T37" s="282"/>
      <c r="U37" s="2801">
        <f>ROUND(SUM(U27)-SUM(U33),1)</f>
        <v>-103.3</v>
      </c>
      <c r="V37" s="735"/>
      <c r="W37" s="272"/>
      <c r="X37" s="735"/>
      <c r="Y37" s="272"/>
      <c r="Z37" s="735"/>
      <c r="AA37" s="272"/>
      <c r="AB37" s="1106"/>
    </row>
    <row r="38" spans="1:48" ht="15.6">
      <c r="B38" s="1106"/>
      <c r="C38" s="2650"/>
      <c r="D38" s="1729"/>
      <c r="E38" s="2650"/>
      <c r="F38" s="1729"/>
      <c r="G38" s="1205"/>
      <c r="H38" s="1729"/>
      <c r="I38" s="1205"/>
      <c r="J38" s="1205"/>
      <c r="K38" s="1205"/>
      <c r="L38" s="1755"/>
      <c r="M38" s="1205"/>
      <c r="N38" s="1729"/>
      <c r="O38" s="2650"/>
      <c r="P38" s="1729"/>
      <c r="Q38" s="1205"/>
      <c r="R38" s="1729"/>
      <c r="S38" s="1205"/>
      <c r="T38" s="1205"/>
      <c r="U38" s="1205"/>
      <c r="V38" s="1205"/>
      <c r="W38" s="1205"/>
      <c r="X38" s="1205"/>
      <c r="Y38" s="1205"/>
      <c r="Z38" s="1205"/>
      <c r="AA38" s="1205"/>
    </row>
    <row r="39" spans="1:48" ht="15.6">
      <c r="A39" s="373" t="s">
        <v>105</v>
      </c>
      <c r="B39" s="1731" t="s">
        <v>15</v>
      </c>
      <c r="C39" s="313">
        <v>-491</v>
      </c>
      <c r="D39" s="1729"/>
      <c r="E39" s="313">
        <v>-491</v>
      </c>
      <c r="F39" s="1729"/>
      <c r="G39" s="272">
        <v>-490.9</v>
      </c>
      <c r="H39" s="1729"/>
      <c r="I39" s="279">
        <f>ROUND(SUM(G39)-(C39),1)</f>
        <v>0.1</v>
      </c>
      <c r="J39" s="279"/>
      <c r="K39" s="279">
        <f>ROUND(SUM(G39)-(E39),1)</f>
        <v>0.1</v>
      </c>
      <c r="L39" s="1755"/>
      <c r="M39" s="313">
        <v>-569</v>
      </c>
      <c r="N39" s="1729"/>
      <c r="O39" s="313">
        <v>-569</v>
      </c>
      <c r="P39" s="1729"/>
      <c r="Q39" s="272">
        <v>-569.6</v>
      </c>
      <c r="R39" s="1729"/>
      <c r="S39" s="279">
        <f>ROUND(SUM(Q39)-(M39),1)</f>
        <v>-0.6</v>
      </c>
      <c r="T39" s="1205"/>
      <c r="U39" s="279">
        <f>ROUND(SUM(Q39)-(O39),1)</f>
        <v>-0.6</v>
      </c>
      <c r="V39" s="1205"/>
      <c r="W39" s="272"/>
      <c r="X39" s="1205"/>
      <c r="Y39" s="272"/>
      <c r="Z39" s="1205"/>
      <c r="AA39" s="279"/>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732"/>
    </row>
    <row r="40" spans="1:48" ht="16.2" thickBot="1">
      <c r="A40" s="2491" t="str">
        <f>+'Exh D-Governmental  '!A50</f>
        <v>Fund Balances (Deficits) at January 31, 2018</v>
      </c>
      <c r="B40" s="380" t="s">
        <v>15</v>
      </c>
      <c r="C40" s="296">
        <f>ROUND(SUM(C37:C39),1)</f>
        <v>-1961</v>
      </c>
      <c r="D40" s="381"/>
      <c r="E40" s="296">
        <f>ROUND(SUM(E37:E39),1)</f>
        <v>-878</v>
      </c>
      <c r="F40" s="381"/>
      <c r="G40" s="296">
        <f>ROUND(SUM(G37:G39),1)</f>
        <v>-659.4</v>
      </c>
      <c r="H40" s="381"/>
      <c r="I40" s="296">
        <f>ROUND(SUM(I37:I39),1)</f>
        <v>1301.5999999999999</v>
      </c>
      <c r="J40" s="421"/>
      <c r="K40" s="296">
        <f>ROUND(SUM(K37:K39),1)</f>
        <v>218.6</v>
      </c>
      <c r="L40" s="1757"/>
      <c r="M40" s="296">
        <f>ROUND(SUM(M37:M39),1)</f>
        <v>-490</v>
      </c>
      <c r="N40" s="381"/>
      <c r="O40" s="296">
        <f>ROUND(SUM(O37:O39),1)</f>
        <v>-310</v>
      </c>
      <c r="P40" s="381"/>
      <c r="Q40" s="296">
        <f>ROUND(SUM(Q37:Q39),1)</f>
        <v>-413.9</v>
      </c>
      <c r="R40" s="381"/>
      <c r="S40" s="296">
        <f>ROUND(SUM(S37:S39),1)</f>
        <v>76.099999999999994</v>
      </c>
      <c r="T40" s="381"/>
      <c r="U40" s="296">
        <f>ROUND(SUM(U37:U39),1)</f>
        <v>-103.9</v>
      </c>
      <c r="V40" s="1810"/>
      <c r="W40" s="421"/>
      <c r="X40" s="1810"/>
      <c r="Y40" s="421"/>
      <c r="Z40" s="1810"/>
      <c r="AA40" s="421"/>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732"/>
    </row>
    <row r="41" spans="1:48" ht="15.6" thickTop="1">
      <c r="B41" s="1106"/>
      <c r="L41" s="1106"/>
      <c r="N41" s="1732"/>
      <c r="P41" s="1732"/>
      <c r="Q41" s="1758"/>
      <c r="R41" s="1732"/>
      <c r="S41" s="1732"/>
      <c r="U41" s="1732"/>
      <c r="W41" s="1106"/>
      <c r="Y41" s="1730"/>
    </row>
    <row r="42" spans="1:48">
      <c r="A42" s="1733" t="str">
        <f>'Exh D-Governmental  '!A52</f>
        <v>(*)     Source:  2017-18 Enacted Financial Plan dated May 26, 2017.</v>
      </c>
      <c r="B42" s="1106"/>
      <c r="S42" s="2549"/>
    </row>
    <row r="43" spans="1:48">
      <c r="A43" s="2675" t="str">
        <f>'Exh D-Governmental  '!A53</f>
        <v>(**)    Source: 2018-19 Executive Budget dated January 17, 2018.</v>
      </c>
      <c r="B43" s="1106"/>
      <c r="J43" s="1732"/>
      <c r="K43" s="1106"/>
      <c r="L43" s="783"/>
      <c r="U43" s="1106"/>
      <c r="W43" s="1106"/>
      <c r="AB43" s="1106"/>
      <c r="AC43" s="1106"/>
      <c r="AD43" s="1106"/>
      <c r="AE43" s="1106"/>
      <c r="AF43" s="1106"/>
      <c r="AG43" s="1106"/>
      <c r="AH43" s="1106"/>
      <c r="AI43" s="1106"/>
      <c r="AJ43" s="1106"/>
      <c r="AK43" s="1732"/>
    </row>
    <row r="44" spans="1:48">
      <c r="A44" s="2675"/>
      <c r="B44" s="1106"/>
      <c r="Y44" s="1745"/>
      <c r="Z44" s="1720"/>
      <c r="AA44" s="1745"/>
      <c r="AB44" s="1189"/>
      <c r="AC44" s="1759"/>
    </row>
    <row r="45" spans="1:48">
      <c r="A45" s="2675"/>
      <c r="B45" s="1106"/>
    </row>
    <row r="46" spans="1:48">
      <c r="A46" s="1907"/>
      <c r="B46" s="1106"/>
    </row>
    <row r="47" spans="1:48">
      <c r="A47" s="383"/>
      <c r="B47" s="1106"/>
    </row>
    <row r="48" spans="1:48">
      <c r="B48" s="1106"/>
    </row>
    <row r="49" spans="2:7">
      <c r="B49" s="1106"/>
    </row>
    <row r="52" spans="2:7">
      <c r="G52" s="175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51" customWidth="1"/>
    <col min="2" max="2" width="10.90625" style="2451" customWidth="1"/>
    <col min="3" max="3" width="3.81640625" style="2451" customWidth="1"/>
    <col min="4" max="4" width="12.08984375" style="2451" customWidth="1"/>
    <col min="5" max="5" width="1.6328125" style="2451" customWidth="1"/>
    <col min="6" max="6" width="17" style="2451" bestFit="1" customWidth="1"/>
    <col min="7" max="7" width="1.6328125" style="2451" customWidth="1"/>
    <col min="8" max="8" width="12.08984375" style="2451" customWidth="1"/>
    <col min="9" max="9" width="1.6328125" style="2451" customWidth="1"/>
    <col min="10" max="10" width="12.08984375" style="2451" customWidth="1"/>
    <col min="11" max="11" width="1.6328125" style="2451" customWidth="1"/>
    <col min="12" max="12" width="12.08984375" style="2451" customWidth="1"/>
    <col min="13" max="13" width="1.6328125" style="2451" customWidth="1"/>
    <col min="14" max="14" width="13" style="2451" customWidth="1"/>
    <col min="15" max="15" width="1.6328125" style="2451" customWidth="1"/>
    <col min="16" max="16" width="12.08984375" style="2451" customWidth="1"/>
    <col min="17" max="17" width="1.6328125" style="2451" customWidth="1"/>
    <col min="18" max="18" width="12.08984375" style="2451" customWidth="1"/>
    <col min="19" max="19" width="1.6328125" style="2451" customWidth="1"/>
    <col min="20" max="20" width="1" style="2451" customWidth="1"/>
    <col min="21" max="21" width="1.6328125" style="2451" customWidth="1"/>
    <col min="22" max="22" width="12.08984375" style="2451" customWidth="1"/>
    <col min="23" max="23" width="1.6328125" style="2451" customWidth="1"/>
    <col min="24" max="24" width="17" style="2451" bestFit="1" customWidth="1"/>
    <col min="25" max="25" width="1.6328125" style="2451" customWidth="1"/>
    <col min="26" max="26" width="1" style="2451" customWidth="1"/>
    <col min="27" max="27" width="1.6328125" style="2451" customWidth="1"/>
    <col min="28" max="28" width="12.08984375" style="2451" customWidth="1"/>
    <col min="29" max="29" width="1.6328125" style="2451" customWidth="1"/>
    <col min="30" max="30" width="16.1796875" style="2451" bestFit="1" customWidth="1"/>
    <col min="31" max="31" width="1.54296875" style="2451" customWidth="1"/>
    <col min="32" max="32" width="0.453125" style="2451" customWidth="1"/>
    <col min="33" max="33" width="1.54296875" style="2451" customWidth="1"/>
    <col min="34" max="34" width="14.54296875" style="2451" bestFit="1" customWidth="1"/>
    <col min="35" max="35" width="1.6328125" style="2451" customWidth="1"/>
    <col min="36" max="36" width="13.36328125" style="2451" customWidth="1"/>
    <col min="37" max="37" width="2.1796875" style="2451" customWidth="1"/>
    <col min="38" max="38" width="1.6328125" style="2451" customWidth="1"/>
    <col min="39" max="16384" width="9.6328125" style="2451"/>
  </cols>
  <sheetData>
    <row r="1" spans="1:38" s="2678" customFormat="1" ht="15">
      <c r="A1" s="1124" t="s">
        <v>1066</v>
      </c>
    </row>
    <row r="2" spans="1:38" s="2449" customFormat="1">
      <c r="A2" s="2682"/>
      <c r="B2" s="2683"/>
      <c r="C2" s="2683"/>
      <c r="D2" s="2683"/>
      <c r="E2" s="268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row>
    <row r="3" spans="1:38" ht="17.399999999999999">
      <c r="A3" s="2684" t="s">
        <v>0</v>
      </c>
      <c r="B3" s="2685"/>
      <c r="C3" s="2685"/>
      <c r="D3" s="2685"/>
      <c r="E3" s="2685"/>
      <c r="F3" s="2685"/>
      <c r="G3" s="2685"/>
      <c r="H3" s="2685"/>
      <c r="I3" s="2685"/>
      <c r="J3" s="2685"/>
      <c r="K3" s="2685"/>
      <c r="L3" s="2686"/>
      <c r="M3" s="2686"/>
      <c r="N3" s="2686"/>
      <c r="O3" s="2686"/>
      <c r="P3" s="2685"/>
      <c r="Q3" s="2685"/>
      <c r="R3" s="2685"/>
      <c r="S3" s="2686"/>
      <c r="T3" s="2685"/>
      <c r="U3" s="2686"/>
      <c r="V3" s="2686"/>
      <c r="W3" s="2686"/>
      <c r="X3" s="2686"/>
      <c r="Y3" s="2686"/>
      <c r="Z3" s="2686"/>
      <c r="AA3" s="2686"/>
      <c r="AB3" s="2686"/>
      <c r="AC3" s="2686"/>
      <c r="AD3" s="2686"/>
      <c r="AE3" s="2686"/>
      <c r="AF3" s="2685"/>
      <c r="AG3" s="2685"/>
      <c r="AH3" s="2450"/>
      <c r="AI3" s="2450"/>
    </row>
    <row r="4" spans="1:38" ht="17.399999999999999">
      <c r="A4" s="2687" t="s">
        <v>1</v>
      </c>
      <c r="B4" s="2685"/>
      <c r="C4" s="2685"/>
      <c r="D4" s="2685"/>
      <c r="E4" s="2685"/>
      <c r="F4" s="2685"/>
      <c r="G4" s="2685"/>
      <c r="H4" s="2685"/>
      <c r="I4" s="2685"/>
      <c r="J4" s="2685"/>
      <c r="K4" s="2685"/>
      <c r="L4" s="2686"/>
      <c r="M4" s="2686"/>
      <c r="N4" s="2686"/>
      <c r="O4" s="2686"/>
      <c r="P4" s="2685"/>
      <c r="Q4" s="2685"/>
      <c r="R4" s="2685"/>
      <c r="S4" s="2686"/>
      <c r="T4" s="2685"/>
      <c r="U4" s="2686"/>
      <c r="V4" s="2686"/>
      <c r="W4" s="2686"/>
      <c r="X4" s="2686"/>
      <c r="Y4" s="2686"/>
      <c r="Z4" s="2686"/>
      <c r="AA4" s="2686"/>
      <c r="AB4" s="2686"/>
      <c r="AC4" s="2686"/>
      <c r="AD4" s="2686"/>
      <c r="AE4" s="2686"/>
      <c r="AF4" s="2685"/>
      <c r="AG4" s="2685"/>
      <c r="AH4" s="2450"/>
      <c r="AI4" s="2450"/>
    </row>
    <row r="5" spans="1:38" ht="22.8">
      <c r="A5" s="2684" t="s">
        <v>1487</v>
      </c>
      <c r="B5" s="2685"/>
      <c r="C5" s="2685"/>
      <c r="D5" s="2685"/>
      <c r="E5" s="2685"/>
      <c r="F5" s="3189" t="s">
        <v>15</v>
      </c>
      <c r="G5" s="2685" t="s">
        <v>15</v>
      </c>
      <c r="H5" s="2686"/>
      <c r="I5" s="2686"/>
      <c r="J5" s="2686"/>
      <c r="K5" s="2685" t="s">
        <v>15</v>
      </c>
      <c r="L5" s="2686"/>
      <c r="M5" s="2686"/>
      <c r="N5" s="2686"/>
      <c r="O5" s="2686"/>
      <c r="P5" s="3190"/>
      <c r="Q5" s="3190" t="s">
        <v>15</v>
      </c>
      <c r="R5" s="3190"/>
      <c r="S5" s="3190"/>
      <c r="T5" s="3187"/>
      <c r="U5" s="3188"/>
      <c r="V5" s="2686"/>
      <c r="W5" s="2686"/>
      <c r="X5" s="2686"/>
      <c r="Y5" s="2686"/>
      <c r="Z5" s="2686"/>
      <c r="AA5" s="2686"/>
      <c r="AB5" s="2686"/>
      <c r="AC5" s="2686"/>
      <c r="AD5" s="2686"/>
      <c r="AE5" s="2686"/>
      <c r="AF5" s="2685"/>
      <c r="AG5" s="2685"/>
      <c r="AH5" s="2450"/>
      <c r="AI5" s="2450"/>
    </row>
    <row r="6" spans="1:38" ht="14.1" customHeight="1">
      <c r="A6" s="2684" t="s">
        <v>1435</v>
      </c>
      <c r="B6" s="2685"/>
      <c r="C6" s="2685"/>
      <c r="D6" s="2685"/>
      <c r="E6" s="2685"/>
      <c r="F6" s="2685"/>
      <c r="G6" s="2685"/>
      <c r="H6" s="2685"/>
      <c r="I6" s="2685"/>
      <c r="J6" s="2685"/>
      <c r="K6" s="2685"/>
      <c r="L6" s="2686"/>
      <c r="M6" s="2686"/>
      <c r="N6" s="2686"/>
      <c r="O6" s="2686"/>
      <c r="P6" s="2685"/>
      <c r="Q6" s="2685"/>
      <c r="R6" s="2685"/>
      <c r="S6" s="2686"/>
      <c r="T6" s="2685"/>
      <c r="U6" s="2686"/>
      <c r="V6" s="2686"/>
      <c r="W6" s="2686"/>
      <c r="X6" s="2686"/>
      <c r="Y6" s="2686"/>
      <c r="Z6" s="2686"/>
      <c r="AA6" s="2686"/>
      <c r="AB6" s="2686"/>
      <c r="AC6" s="2686"/>
      <c r="AD6" s="2686"/>
      <c r="AE6" s="2686"/>
      <c r="AF6" s="2685"/>
      <c r="AG6" s="2685"/>
      <c r="AH6" s="2450"/>
      <c r="AI6" s="2450"/>
    </row>
    <row r="7" spans="1:38" ht="17.399999999999999">
      <c r="A7" s="2685"/>
      <c r="B7" s="2685"/>
      <c r="C7" s="2685"/>
      <c r="D7" s="2685"/>
      <c r="E7" s="2685"/>
      <c r="F7" s="2685"/>
      <c r="G7" s="2685"/>
      <c r="H7" s="2685"/>
      <c r="I7" s="2685"/>
      <c r="J7" s="2685"/>
      <c r="K7" s="2685"/>
      <c r="L7" s="2686"/>
      <c r="M7" s="2686"/>
      <c r="N7" s="2686"/>
      <c r="O7" s="2686"/>
      <c r="P7" s="2686"/>
      <c r="Q7" s="2686"/>
      <c r="R7" s="2686"/>
      <c r="S7" s="2686"/>
      <c r="T7" s="2686"/>
      <c r="U7" s="2686"/>
      <c r="V7" s="2686"/>
      <c r="W7" s="2686"/>
      <c r="X7" s="2686"/>
      <c r="Y7" s="2686"/>
      <c r="Z7" s="2686"/>
      <c r="AA7" s="2686"/>
      <c r="AB7" s="2688"/>
      <c r="AC7" s="2688"/>
      <c r="AD7" s="2688"/>
      <c r="AE7" s="2688"/>
      <c r="AF7" s="2685"/>
      <c r="AG7" s="2685"/>
      <c r="AH7" s="2450"/>
      <c r="AI7" s="2450"/>
      <c r="AJ7" s="2689" t="s">
        <v>987</v>
      </c>
    </row>
    <row r="8" spans="1:38" ht="15.6">
      <c r="A8" s="1206"/>
      <c r="B8" s="1206"/>
      <c r="C8" s="1206"/>
      <c r="D8" s="1206"/>
      <c r="E8" s="1206"/>
      <c r="F8" s="1206"/>
      <c r="G8" s="1206"/>
      <c r="H8" s="1206"/>
      <c r="I8" s="1206"/>
      <c r="J8" s="1206"/>
      <c r="K8" s="1206"/>
      <c r="L8" s="1207"/>
      <c r="M8" s="1207"/>
      <c r="N8" s="1207"/>
      <c r="O8" s="1207"/>
      <c r="P8" s="1207"/>
      <c r="Q8" s="1207"/>
      <c r="R8" s="1207"/>
      <c r="S8" s="1207"/>
      <c r="T8" s="1207"/>
      <c r="U8" s="1207"/>
      <c r="V8" s="1207"/>
      <c r="W8" s="1207"/>
      <c r="X8" s="1207"/>
      <c r="Y8" s="1207"/>
      <c r="Z8" s="1207"/>
      <c r="AA8" s="1207"/>
      <c r="AB8" s="1207"/>
      <c r="AC8" s="1207"/>
      <c r="AD8" s="1207"/>
      <c r="AE8" s="1207"/>
      <c r="AF8" s="1206"/>
      <c r="AG8" s="1206"/>
      <c r="AH8" s="2450"/>
      <c r="AI8" s="2450"/>
    </row>
    <row r="9" spans="1:38" ht="15.6">
      <c r="A9" s="1206"/>
      <c r="B9" s="1206"/>
      <c r="C9" s="1206"/>
      <c r="D9" s="1207"/>
      <c r="E9" s="1207"/>
      <c r="F9" s="1207"/>
      <c r="G9" s="1207"/>
      <c r="H9" s="1207"/>
      <c r="I9" s="1207"/>
      <c r="J9" s="1207"/>
      <c r="K9" s="1207"/>
      <c r="L9" s="1207"/>
      <c r="M9" s="1207"/>
      <c r="N9" s="1207"/>
      <c r="O9" s="1207"/>
      <c r="P9" s="1207"/>
      <c r="Q9" s="1207"/>
      <c r="R9" s="1207"/>
      <c r="S9" s="1207"/>
      <c r="T9" s="1207"/>
      <c r="U9" s="1207"/>
      <c r="V9" s="2690"/>
      <c r="W9" s="2690"/>
      <c r="X9" s="2690"/>
      <c r="Y9" s="2690"/>
      <c r="Z9" s="2690"/>
      <c r="AA9" s="2690"/>
      <c r="AB9" s="2690"/>
      <c r="AC9" s="2690"/>
      <c r="AD9" s="2690"/>
      <c r="AE9" s="2690"/>
      <c r="AF9" s="1207"/>
      <c r="AG9" s="1207"/>
      <c r="AH9" s="2691"/>
      <c r="AI9" s="2691"/>
    </row>
    <row r="10" spans="1:38" ht="3.9" customHeight="1">
      <c r="A10" s="1206"/>
      <c r="B10" s="1206"/>
      <c r="C10" s="1206"/>
      <c r="D10" s="1206"/>
      <c r="E10" s="1206"/>
      <c r="F10" s="1206"/>
      <c r="G10" s="1206"/>
      <c r="H10" s="1206"/>
      <c r="I10" s="1206"/>
      <c r="J10" s="1206"/>
      <c r="K10" s="1206"/>
      <c r="L10" s="1206"/>
      <c r="M10" s="1206"/>
      <c r="N10" s="1206"/>
      <c r="O10" s="1206"/>
      <c r="P10" s="1206"/>
      <c r="Q10" s="1206"/>
      <c r="R10" s="1206"/>
      <c r="S10" s="1206"/>
      <c r="T10" s="1082"/>
      <c r="U10" s="1082"/>
      <c r="V10" s="1206"/>
      <c r="W10" s="1206"/>
      <c r="X10" s="1206"/>
      <c r="Y10" s="1206"/>
      <c r="Z10" s="1206"/>
      <c r="AA10" s="1206"/>
      <c r="AB10" s="1206"/>
      <c r="AC10" s="1206"/>
      <c r="AD10" s="1206"/>
      <c r="AE10" s="1206"/>
      <c r="AF10" s="1206"/>
      <c r="AG10" s="1206"/>
      <c r="AH10" s="2450"/>
      <c r="AI10" s="2450"/>
    </row>
    <row r="11" spans="1:38" ht="15" customHeight="1">
      <c r="A11" s="1206"/>
      <c r="B11" s="1206"/>
      <c r="C11" s="1206"/>
      <c r="D11" s="2692" t="s">
        <v>3</v>
      </c>
      <c r="E11" s="2692"/>
      <c r="F11" s="2692"/>
      <c r="G11" s="1082"/>
      <c r="H11" s="2692" t="s">
        <v>58</v>
      </c>
      <c r="I11" s="2692"/>
      <c r="J11" s="2692"/>
      <c r="K11" s="1082"/>
      <c r="L11" s="2692" t="s">
        <v>5</v>
      </c>
      <c r="M11" s="2692"/>
      <c r="N11" s="2692"/>
      <c r="O11" s="1082"/>
      <c r="P11" s="2692" t="s">
        <v>123</v>
      </c>
      <c r="Q11" s="2692"/>
      <c r="R11" s="2692"/>
      <c r="S11" s="1206"/>
      <c r="T11" s="1082"/>
      <c r="U11" s="1082"/>
      <c r="V11" s="2693" t="s">
        <v>988</v>
      </c>
      <c r="W11" s="2692"/>
      <c r="X11" s="2692"/>
      <c r="Y11" s="2692"/>
      <c r="Z11" s="2694"/>
      <c r="AA11" s="2694"/>
      <c r="AB11" s="2692"/>
      <c r="AC11" s="2692"/>
      <c r="AD11" s="2692"/>
      <c r="AE11" s="2695"/>
      <c r="AF11" s="2696"/>
      <c r="AG11" s="199"/>
      <c r="AH11" s="2693" t="s">
        <v>989</v>
      </c>
      <c r="AI11" s="2692"/>
      <c r="AJ11" s="2692"/>
    </row>
    <row r="12" spans="1:38" ht="15.6">
      <c r="A12" s="1206"/>
      <c r="B12" s="1206"/>
      <c r="C12" s="1206"/>
      <c r="D12" s="2697" t="s">
        <v>7</v>
      </c>
      <c r="E12" s="2697"/>
      <c r="F12" s="2698" t="s">
        <v>1549</v>
      </c>
      <c r="G12" s="199"/>
      <c r="H12" s="2697" t="s">
        <v>7</v>
      </c>
      <c r="I12" s="2699"/>
      <c r="J12" s="2700" t="str">
        <f>F12</f>
        <v>10 MOS. ENDED</v>
      </c>
      <c r="K12" s="199"/>
      <c r="L12" s="2697" t="s">
        <v>7</v>
      </c>
      <c r="M12" s="2701"/>
      <c r="N12" s="2700" t="str">
        <f>F12</f>
        <v>10 MOS. ENDED</v>
      </c>
      <c r="O12" s="199"/>
      <c r="P12" s="2697" t="s">
        <v>7</v>
      </c>
      <c r="Q12" s="2699"/>
      <c r="R12" s="2700" t="str">
        <f>F12</f>
        <v>10 MOS. ENDED</v>
      </c>
      <c r="S12" s="1207"/>
      <c r="T12" s="199"/>
      <c r="U12" s="199"/>
      <c r="V12" s="2697" t="s">
        <v>7</v>
      </c>
      <c r="W12" s="2697"/>
      <c r="X12" s="2697" t="str">
        <f>F12</f>
        <v>10 MOS. ENDED</v>
      </c>
      <c r="Y12" s="2697"/>
      <c r="Z12" s="2702"/>
      <c r="AA12" s="2702"/>
      <c r="AB12" s="2697" t="s">
        <v>7</v>
      </c>
      <c r="AC12" s="2697"/>
      <c r="AD12" s="2700" t="str">
        <f>F12</f>
        <v>10 MOS. ENDED</v>
      </c>
      <c r="AE12" s="2703"/>
      <c r="AF12" s="2702"/>
      <c r="AG12" s="2704"/>
      <c r="AH12" s="2705" t="s">
        <v>8</v>
      </c>
      <c r="AI12" s="2706"/>
      <c r="AJ12" s="2705" t="s">
        <v>9</v>
      </c>
      <c r="AK12" s="2452"/>
      <c r="AL12" s="2450"/>
    </row>
    <row r="13" spans="1:38" ht="15.6">
      <c r="A13" s="1206"/>
      <c r="B13" s="1206"/>
      <c r="C13" s="1206"/>
      <c r="D13" s="2707" t="s">
        <v>1548</v>
      </c>
      <c r="E13" s="2708"/>
      <c r="F13" s="2707" t="s">
        <v>1550</v>
      </c>
      <c r="G13" s="1207"/>
      <c r="H13" s="2709" t="str">
        <f>D13</f>
        <v>JAN. 2018</v>
      </c>
      <c r="I13" s="2708"/>
      <c r="J13" s="2709" t="str">
        <f>F13</f>
        <v>JAN. 31, 2018</v>
      </c>
      <c r="K13" s="1207"/>
      <c r="L13" s="2709" t="str">
        <f>D13</f>
        <v>JAN. 2018</v>
      </c>
      <c r="M13" s="2708"/>
      <c r="N13" s="2709" t="str">
        <f>F13</f>
        <v>JAN. 31, 2018</v>
      </c>
      <c r="O13" s="1207"/>
      <c r="P13" s="2709" t="str">
        <f>D13</f>
        <v>JAN. 2018</v>
      </c>
      <c r="Q13" s="2708"/>
      <c r="R13" s="2709" t="str">
        <f>F13</f>
        <v>JAN. 31, 2018</v>
      </c>
      <c r="S13" s="1207"/>
      <c r="T13" s="199"/>
      <c r="U13" s="199"/>
      <c r="V13" s="2710" t="str">
        <f>D13</f>
        <v>JAN. 2018</v>
      </c>
      <c r="W13" s="2711"/>
      <c r="X13" s="2710" t="str">
        <f>F13</f>
        <v>JAN. 31, 2018</v>
      </c>
      <c r="Y13" s="2711"/>
      <c r="Z13" s="2712"/>
      <c r="AA13" s="2712"/>
      <c r="AB13" s="2713" t="s">
        <v>1551</v>
      </c>
      <c r="AC13" s="2714"/>
      <c r="AD13" s="2713" t="s">
        <v>1552</v>
      </c>
      <c r="AE13" s="2714"/>
      <c r="AF13" s="2712"/>
      <c r="AG13" s="2711"/>
      <c r="AH13" s="2707" t="s">
        <v>12</v>
      </c>
      <c r="AI13" s="2708"/>
      <c r="AJ13" s="2707" t="s">
        <v>13</v>
      </c>
      <c r="AK13" s="2452"/>
      <c r="AL13" s="2453"/>
    </row>
    <row r="14" spans="1:38" ht="15">
      <c r="A14" s="1206"/>
      <c r="B14" s="1206"/>
      <c r="C14" s="1206"/>
      <c r="D14" s="1082"/>
      <c r="E14" s="1082"/>
      <c r="F14" s="1082"/>
      <c r="G14" s="1206"/>
      <c r="H14" s="1082"/>
      <c r="I14" s="1082"/>
      <c r="J14" s="1082"/>
      <c r="K14" s="1206"/>
      <c r="L14" s="1082"/>
      <c r="M14" s="1082"/>
      <c r="N14" s="1082"/>
      <c r="O14" s="1206"/>
      <c r="P14" s="1082"/>
      <c r="Q14" s="1082"/>
      <c r="R14" s="1082"/>
      <c r="S14" s="1206"/>
      <c r="T14" s="2715"/>
      <c r="U14" s="2715"/>
      <c r="V14" s="2716"/>
      <c r="W14" s="1082"/>
      <c r="X14" s="2716"/>
      <c r="Y14" s="1082"/>
      <c r="Z14" s="2717"/>
      <c r="AA14" s="1082"/>
      <c r="AB14" s="2716"/>
      <c r="AC14" s="1082"/>
      <c r="AD14" s="2716"/>
      <c r="AE14" s="1082"/>
      <c r="AF14" s="2718"/>
      <c r="AG14" s="1082"/>
      <c r="AH14" s="1126"/>
      <c r="AI14" s="1126"/>
      <c r="AJ14" s="2719"/>
      <c r="AK14" s="2450"/>
      <c r="AL14" s="2450"/>
    </row>
    <row r="15" spans="1:38" ht="18" customHeight="1">
      <c r="A15" s="2720" t="s">
        <v>1280</v>
      </c>
      <c r="B15" s="2721"/>
      <c r="C15" s="2721"/>
      <c r="D15" s="1206"/>
      <c r="E15" s="1206"/>
      <c r="F15" s="1206"/>
      <c r="G15" s="1206"/>
      <c r="H15" s="1206"/>
      <c r="I15" s="1206"/>
      <c r="J15" s="1206"/>
      <c r="K15" s="1206"/>
      <c r="L15" s="1206"/>
      <c r="M15" s="1206"/>
      <c r="N15" s="1206"/>
      <c r="O15" s="1206"/>
      <c r="P15" s="1206"/>
      <c r="Q15" s="1206"/>
      <c r="R15" s="1206"/>
      <c r="S15" s="1206"/>
      <c r="T15" s="2715"/>
      <c r="U15" s="2715"/>
      <c r="V15" s="1206"/>
      <c r="W15" s="1206"/>
      <c r="X15" s="1206"/>
      <c r="Y15" s="1206"/>
      <c r="Z15" s="2717"/>
      <c r="AA15" s="1082"/>
      <c r="AB15" s="1206"/>
      <c r="AC15" s="1206"/>
      <c r="AD15" s="1206"/>
      <c r="AE15" s="1206"/>
      <c r="AF15" s="2718"/>
      <c r="AG15" s="1206"/>
      <c r="AH15" s="1124"/>
      <c r="AI15" s="1124"/>
      <c r="AJ15" s="2719"/>
      <c r="AK15" s="2450"/>
      <c r="AL15" s="2450"/>
    </row>
    <row r="16" spans="1:38" ht="18" customHeight="1">
      <c r="A16" s="2721" t="s">
        <v>990</v>
      </c>
      <c r="B16" s="2721"/>
      <c r="C16" s="1125"/>
      <c r="D16" s="2454">
        <v>5581.9000000000015</v>
      </c>
      <c r="E16" s="2722"/>
      <c r="F16" s="2454">
        <v>31993</v>
      </c>
      <c r="G16" s="2722"/>
      <c r="H16" s="1208">
        <v>0</v>
      </c>
      <c r="I16" s="2722"/>
      <c r="J16" s="1208">
        <v>0</v>
      </c>
      <c r="K16" s="2722"/>
      <c r="L16" s="1208">
        <v>0</v>
      </c>
      <c r="M16" s="2722"/>
      <c r="N16" s="1208">
        <v>0</v>
      </c>
      <c r="O16" s="2722"/>
      <c r="P16" s="1208">
        <v>0</v>
      </c>
      <c r="Q16" s="2722"/>
      <c r="R16" s="1208">
        <v>0</v>
      </c>
      <c r="S16" s="1209"/>
      <c r="T16" s="2723"/>
      <c r="U16" s="2724"/>
      <c r="V16" s="2725">
        <f>SUM(D16)+SUM(H16)+SUM(L16)+SUM(P16)</f>
        <v>5581.9000000000015</v>
      </c>
      <c r="W16" s="2722"/>
      <c r="X16" s="2725">
        <f>SUM(F16)+SUM(J16)+SUM(N16)+SUM(R16)</f>
        <v>31993</v>
      </c>
      <c r="Y16" s="2726"/>
      <c r="Z16" s="2727"/>
      <c r="AA16" s="2722"/>
      <c r="AB16" s="2728">
        <v>4135.6999999999971</v>
      </c>
      <c r="AC16" s="2722"/>
      <c r="AD16" s="2728">
        <v>29092.1</v>
      </c>
      <c r="AE16" s="2728"/>
      <c r="AF16" s="2729"/>
      <c r="AG16" s="2726"/>
      <c r="AH16" s="2730">
        <f>ROUND(SUM(X16)-SUM(AD16),1)</f>
        <v>2900.9</v>
      </c>
      <c r="AI16" s="1090"/>
      <c r="AJ16" s="2731">
        <f>ROUND(AH16/AD16,3)</f>
        <v>0.1</v>
      </c>
      <c r="AK16" s="2455"/>
      <c r="AL16" s="2450"/>
    </row>
    <row r="17" spans="1:38" ht="18" customHeight="1">
      <c r="A17" s="2732" t="s">
        <v>1063</v>
      </c>
      <c r="B17" s="2721"/>
      <c r="C17" s="2456"/>
      <c r="D17" s="1095">
        <v>5609.6</v>
      </c>
      <c r="E17" s="1094"/>
      <c r="F17" s="1095">
        <v>17620.2</v>
      </c>
      <c r="G17" s="1094"/>
      <c r="H17" s="1099">
        <v>0</v>
      </c>
      <c r="I17" s="2733"/>
      <c r="J17" s="2457">
        <v>0</v>
      </c>
      <c r="K17" s="1094"/>
      <c r="L17" s="1099">
        <v>0</v>
      </c>
      <c r="M17" s="2733"/>
      <c r="N17" s="1100">
        <v>0</v>
      </c>
      <c r="O17" s="1094"/>
      <c r="P17" s="1099">
        <v>0</v>
      </c>
      <c r="Q17" s="2733"/>
      <c r="R17" s="1100">
        <v>0</v>
      </c>
      <c r="S17" s="1094"/>
      <c r="T17" s="2734"/>
      <c r="U17" s="2734"/>
      <c r="V17" s="2735">
        <f>SUM(D17)+SUM(H17)+SUM(L17)+SUM(P17)</f>
        <v>5609.6</v>
      </c>
      <c r="W17" s="1096"/>
      <c r="X17" s="2735">
        <f>SUM(F17)+SUM(J17)+SUM(N17)+SUM(R17)</f>
        <v>17620.2</v>
      </c>
      <c r="Y17" s="2736"/>
      <c r="Z17" s="2737"/>
      <c r="AA17" s="1076"/>
      <c r="AB17" s="2733">
        <v>3481.6000000000004</v>
      </c>
      <c r="AC17" s="1075"/>
      <c r="AD17" s="2733">
        <v>14790.1</v>
      </c>
      <c r="AE17" s="2733"/>
      <c r="AF17" s="2738"/>
      <c r="AG17" s="2736"/>
      <c r="AH17" s="2739">
        <f>ROUND(SUM(X17)-SUM(AD17),1)</f>
        <v>2830.1</v>
      </c>
      <c r="AI17" s="2740"/>
      <c r="AJ17" s="2741">
        <f>ROUND(AH17/AD17,3)</f>
        <v>0.191</v>
      </c>
      <c r="AK17" s="2455"/>
      <c r="AL17" s="2450"/>
    </row>
    <row r="18" spans="1:38" ht="18" customHeight="1">
      <c r="A18" s="2721" t="s">
        <v>991</v>
      </c>
      <c r="B18" s="2721" t="s">
        <v>15</v>
      </c>
      <c r="C18" s="2721"/>
      <c r="D18" s="1095">
        <v>39.299999999999727</v>
      </c>
      <c r="E18" s="1094"/>
      <c r="F18" s="1095">
        <v>2302.6</v>
      </c>
      <c r="G18" s="1094"/>
      <c r="H18" s="1099">
        <v>0</v>
      </c>
      <c r="I18" s="2733"/>
      <c r="J18" s="2457">
        <v>0</v>
      </c>
      <c r="K18" s="1094"/>
      <c r="L18" s="1099">
        <v>0</v>
      </c>
      <c r="M18" s="2733"/>
      <c r="N18" s="1100">
        <v>0</v>
      </c>
      <c r="O18" s="1094"/>
      <c r="P18" s="1099">
        <v>0</v>
      </c>
      <c r="Q18" s="2733"/>
      <c r="R18" s="1100">
        <v>0</v>
      </c>
      <c r="S18" s="1094"/>
      <c r="T18" s="2734"/>
      <c r="U18" s="2734"/>
      <c r="V18" s="2735">
        <f>SUM(D18)+SUM(H18)+SUM(L18)+SUM(P18)</f>
        <v>39.299999999999727</v>
      </c>
      <c r="W18" s="1096"/>
      <c r="X18" s="2735">
        <f>SUM(F18)+SUM(J18)+SUM(N18)+SUM(R18)</f>
        <v>2302.6</v>
      </c>
      <c r="Y18" s="2736"/>
      <c r="Z18" s="2737"/>
      <c r="AA18" s="1076"/>
      <c r="AB18" s="2733">
        <v>19.5</v>
      </c>
      <c r="AC18" s="1075"/>
      <c r="AD18" s="2733">
        <v>2421.5</v>
      </c>
      <c r="AE18" s="2733"/>
      <c r="AF18" s="2738"/>
      <c r="AG18" s="2736"/>
      <c r="AH18" s="2739">
        <f>ROUND(SUM(X18)-SUM(AD18),1)</f>
        <v>-118.9</v>
      </c>
      <c r="AI18" s="2740"/>
      <c r="AJ18" s="2741">
        <f>ROUND(AH18/AD18,3)</f>
        <v>-4.9000000000000002E-2</v>
      </c>
      <c r="AK18" s="2455"/>
      <c r="AL18" s="2450"/>
    </row>
    <row r="19" spans="1:38" ht="18" customHeight="1">
      <c r="A19" s="2732" t="s">
        <v>992</v>
      </c>
      <c r="B19" s="2721"/>
      <c r="C19" s="2721"/>
      <c r="D19" s="1095">
        <v>-16.299999999999955</v>
      </c>
      <c r="E19" s="1094"/>
      <c r="F19" s="1095">
        <v>-748</v>
      </c>
      <c r="G19" s="1094"/>
      <c r="H19" s="1099">
        <v>0</v>
      </c>
      <c r="I19" s="2733"/>
      <c r="J19" s="2457">
        <v>0</v>
      </c>
      <c r="K19" s="1094"/>
      <c r="L19" s="1099">
        <v>0</v>
      </c>
      <c r="M19" s="2733"/>
      <c r="N19" s="1100">
        <v>0</v>
      </c>
      <c r="O19" s="1094"/>
      <c r="P19" s="1099">
        <v>0</v>
      </c>
      <c r="Q19" s="2733"/>
      <c r="R19" s="1100">
        <v>0</v>
      </c>
      <c r="S19" s="1094"/>
      <c r="T19" s="2734"/>
      <c r="U19" s="2734"/>
      <c r="V19" s="2735">
        <f>SUM(D19)+SUM(H19)+SUM(L19)+SUM(P19)</f>
        <v>-16.299999999999955</v>
      </c>
      <c r="W19" s="1096"/>
      <c r="X19" s="2735">
        <f>SUM(F19)+SUM(J19)+SUM(N19)+SUM(R19)</f>
        <v>-748</v>
      </c>
      <c r="Y19" s="2736"/>
      <c r="Z19" s="2737"/>
      <c r="AA19" s="1076"/>
      <c r="AB19" s="2742">
        <v>-15.199999999999932</v>
      </c>
      <c r="AC19" s="1075"/>
      <c r="AD19" s="2733">
        <v>-770.3</v>
      </c>
      <c r="AE19" s="2733"/>
      <c r="AF19" s="2738"/>
      <c r="AG19" s="2736"/>
      <c r="AH19" s="2739">
        <f>-ROUND(SUM(X19)-SUM(AD19),1)</f>
        <v>-22.3</v>
      </c>
      <c r="AI19" s="2740"/>
      <c r="AJ19" s="2741">
        <f>-ROUND(AH19/AD19,3)</f>
        <v>-2.9000000000000001E-2</v>
      </c>
      <c r="AK19" s="2455"/>
      <c r="AL19" s="2450"/>
    </row>
    <row r="20" spans="1:38" ht="18" customHeight="1">
      <c r="A20" s="2732" t="s">
        <v>993</v>
      </c>
      <c r="B20" s="2721" t="s">
        <v>15</v>
      </c>
      <c r="C20" s="2721"/>
      <c r="D20" s="1095">
        <v>209.40000000000009</v>
      </c>
      <c r="E20" s="1094"/>
      <c r="F20" s="2743">
        <v>1157.9000000000001</v>
      </c>
      <c r="G20" s="1094"/>
      <c r="H20" s="1099">
        <v>0</v>
      </c>
      <c r="I20" s="2733"/>
      <c r="J20" s="2457">
        <v>0</v>
      </c>
      <c r="K20" s="1094"/>
      <c r="L20" s="1099">
        <v>0</v>
      </c>
      <c r="M20" s="2733"/>
      <c r="N20" s="1100">
        <v>0</v>
      </c>
      <c r="O20" s="1094"/>
      <c r="P20" s="1099">
        <v>0</v>
      </c>
      <c r="Q20" s="2733"/>
      <c r="R20" s="1100">
        <v>0</v>
      </c>
      <c r="S20" s="1094"/>
      <c r="T20" s="2734"/>
      <c r="U20" s="2734"/>
      <c r="V20" s="2735">
        <f>SUM(D20)+SUM(H20)+SUM(L20)+SUM(P20)</f>
        <v>209.40000000000009</v>
      </c>
      <c r="W20" s="1096"/>
      <c r="X20" s="2735">
        <f>SUM(F20)+SUM(J20)+SUM(N20)+SUM(R20)</f>
        <v>1157.9000000000001</v>
      </c>
      <c r="Y20" s="2736"/>
      <c r="Z20" s="2737"/>
      <c r="AA20" s="1076"/>
      <c r="AB20" s="2733">
        <v>118.80000000000007</v>
      </c>
      <c r="AC20" s="1075"/>
      <c r="AD20" s="2733">
        <v>1079.2</v>
      </c>
      <c r="AE20" s="2733"/>
      <c r="AF20" s="2738"/>
      <c r="AG20" s="2736"/>
      <c r="AH20" s="2744">
        <f>ROUND(SUM(X20)-SUM(AD20),1)</f>
        <v>78.7</v>
      </c>
      <c r="AI20" s="2740"/>
      <c r="AJ20" s="2745">
        <f>ROUND(AH20/AD20,3)</f>
        <v>7.2999999999999995E-2</v>
      </c>
      <c r="AK20" s="2455"/>
      <c r="AL20" s="2450"/>
    </row>
    <row r="21" spans="1:38" s="2462" customFormat="1" ht="18" customHeight="1">
      <c r="A21" s="2720" t="s">
        <v>994</v>
      </c>
      <c r="B21" s="2720"/>
      <c r="C21" s="2720"/>
      <c r="D21" s="2746">
        <f>ROUND(SUM(D16:D20),1)</f>
        <v>11423.9</v>
      </c>
      <c r="E21" s="186"/>
      <c r="F21" s="2746">
        <f>ROUND(SUM(F16:F20),1)</f>
        <v>52325.7</v>
      </c>
      <c r="G21" s="184"/>
      <c r="H21" s="2746">
        <f>ROUND(SUM(H16:H20),1)</f>
        <v>0</v>
      </c>
      <c r="I21" s="2747"/>
      <c r="J21" s="2746">
        <f>ROUND(SUM(J16:J20),1)</f>
        <v>0</v>
      </c>
      <c r="K21" s="184"/>
      <c r="L21" s="2746">
        <f>ROUND(SUM(L16:L20),1)</f>
        <v>0</v>
      </c>
      <c r="M21" s="2747"/>
      <c r="N21" s="2746">
        <f>ROUND(SUM(N16:N20),1)</f>
        <v>0</v>
      </c>
      <c r="O21" s="184"/>
      <c r="P21" s="2746">
        <f>ROUND(SUM(P16:P20),1)</f>
        <v>0</v>
      </c>
      <c r="Q21" s="2747"/>
      <c r="R21" s="2746">
        <f>ROUND(SUM(R16:R20),1)</f>
        <v>0</v>
      </c>
      <c r="S21" s="184"/>
      <c r="T21" s="2748"/>
      <c r="U21" s="2748"/>
      <c r="V21" s="2749">
        <f>ROUND(SUM(V16:V20),1)</f>
        <v>11423.9</v>
      </c>
      <c r="W21" s="186"/>
      <c r="X21" s="2749">
        <f>ROUND(SUM(X16:X20),1)</f>
        <v>52325.7</v>
      </c>
      <c r="Y21" s="2750"/>
      <c r="Z21" s="2751"/>
      <c r="AA21" s="186"/>
      <c r="AB21" s="2749">
        <f>ROUND(SUM(AB16:AB20),1)</f>
        <v>7740.4</v>
      </c>
      <c r="AC21" s="184"/>
      <c r="AD21" s="2749">
        <f>ROUND(SUM(AD16:AD20),1)</f>
        <v>46612.6</v>
      </c>
      <c r="AE21" s="2752"/>
      <c r="AF21" s="2753"/>
      <c r="AG21" s="2750"/>
      <c r="AH21" s="2754">
        <f>ROUND(SUM(X21)-SUM(AD21),1)</f>
        <v>5713.1</v>
      </c>
      <c r="AI21" s="28"/>
      <c r="AJ21" s="2755">
        <f>ROUND(AH21/AD21,3)</f>
        <v>0.123</v>
      </c>
      <c r="AK21" s="2460"/>
      <c r="AL21" s="2461"/>
    </row>
    <row r="22" spans="1:38" ht="18" customHeight="1">
      <c r="A22" s="2732" t="s">
        <v>995</v>
      </c>
      <c r="B22" s="2721"/>
      <c r="C22" s="2721"/>
      <c r="D22" s="2463">
        <v>-2413.5</v>
      </c>
      <c r="E22" s="2733"/>
      <c r="F22" s="1095">
        <v>-2575.6999999999998</v>
      </c>
      <c r="G22" s="1075"/>
      <c r="H22" s="1095">
        <v>2413.5</v>
      </c>
      <c r="I22" s="2733"/>
      <c r="J22" s="2756">
        <v>2575.6999999999998</v>
      </c>
      <c r="K22" s="1075"/>
      <c r="L22" s="2757">
        <v>0</v>
      </c>
      <c r="M22" s="2733"/>
      <c r="N22" s="2758">
        <v>0</v>
      </c>
      <c r="O22" s="1075"/>
      <c r="P22" s="2757">
        <v>0</v>
      </c>
      <c r="Q22" s="2733"/>
      <c r="R22" s="2758">
        <v>0</v>
      </c>
      <c r="S22" s="1075"/>
      <c r="T22" s="2759"/>
      <c r="U22" s="2759"/>
      <c r="V22" s="2757">
        <v>0</v>
      </c>
      <c r="W22" s="1076"/>
      <c r="X22" s="2757">
        <v>0</v>
      </c>
      <c r="Y22" s="2736"/>
      <c r="Z22" s="2737"/>
      <c r="AA22" s="1076"/>
      <c r="AB22" s="2760">
        <v>0</v>
      </c>
      <c r="AC22" s="1076"/>
      <c r="AD22" s="2760">
        <v>0</v>
      </c>
      <c r="AE22" s="1098"/>
      <c r="AF22" s="2738"/>
      <c r="AG22" s="2736"/>
      <c r="AH22" s="2457">
        <f>ROUND(SUM(X22)-SUM(AD22),1)</f>
        <v>0</v>
      </c>
      <c r="AI22" s="2740"/>
      <c r="AJ22" s="1700">
        <f>ROUND(IF(AD22=0,0,AH22/(AD22)),3)</f>
        <v>0</v>
      </c>
      <c r="AK22" s="2465"/>
      <c r="AL22" s="2450"/>
    </row>
    <row r="23" spans="1:38" ht="18" customHeight="1">
      <c r="A23" s="2732" t="s">
        <v>996</v>
      </c>
      <c r="B23" s="2721"/>
      <c r="C23" s="2721"/>
      <c r="D23" s="1095">
        <v>-2807.2999999999993</v>
      </c>
      <c r="E23" s="1094"/>
      <c r="F23" s="1095">
        <v>-11315.3</v>
      </c>
      <c r="G23" s="1075"/>
      <c r="H23" s="1099">
        <v>0</v>
      </c>
      <c r="I23" s="2733"/>
      <c r="J23" s="2457">
        <v>0</v>
      </c>
      <c r="K23" s="1075"/>
      <c r="L23" s="2739">
        <v>2807.2999999999993</v>
      </c>
      <c r="M23" s="2733"/>
      <c r="N23" s="2739">
        <v>11315.3</v>
      </c>
      <c r="O23" s="1075"/>
      <c r="P23" s="1099">
        <v>0</v>
      </c>
      <c r="Q23" s="2733"/>
      <c r="R23" s="1100">
        <v>0</v>
      </c>
      <c r="S23" s="1075"/>
      <c r="T23" s="2759"/>
      <c r="U23" s="2759"/>
      <c r="V23" s="1099">
        <v>0</v>
      </c>
      <c r="W23" s="1076"/>
      <c r="X23" s="1099">
        <v>0</v>
      </c>
      <c r="Y23" s="2736"/>
      <c r="Z23" s="2737"/>
      <c r="AA23" s="1076"/>
      <c r="AB23" s="2463">
        <v>0</v>
      </c>
      <c r="AC23" s="1076"/>
      <c r="AD23" s="2463">
        <v>0</v>
      </c>
      <c r="AE23" s="1098"/>
      <c r="AF23" s="2738"/>
      <c r="AG23" s="2736"/>
      <c r="AH23" s="2457">
        <f>ROUND(SUM(X23)-SUM(AD23),1)</f>
        <v>0</v>
      </c>
      <c r="AI23" s="2740"/>
      <c r="AJ23" s="1700">
        <f>ROUND(IF(AD23=0,0,AH23/(AD23)),3)</f>
        <v>0</v>
      </c>
      <c r="AK23" s="2465"/>
      <c r="AL23" s="2450"/>
    </row>
    <row r="24" spans="1:38" ht="18" customHeight="1">
      <c r="A24" s="2721" t="s">
        <v>997</v>
      </c>
      <c r="B24" s="2721"/>
      <c r="C24" s="2721"/>
      <c r="D24" s="1095">
        <v>-194.69999999999982</v>
      </c>
      <c r="E24" s="1096"/>
      <c r="F24" s="1095">
        <v>-7064.4</v>
      </c>
      <c r="G24" s="1094"/>
      <c r="H24" s="1099">
        <v>0</v>
      </c>
      <c r="I24" s="2733"/>
      <c r="J24" s="2457">
        <v>0</v>
      </c>
      <c r="K24" s="1094"/>
      <c r="L24" s="1099">
        <v>0</v>
      </c>
      <c r="M24" s="2733"/>
      <c r="N24" s="1100">
        <v>0</v>
      </c>
      <c r="O24" s="1094"/>
      <c r="P24" s="1099">
        <v>0</v>
      </c>
      <c r="Q24" s="2733"/>
      <c r="R24" s="1100">
        <v>0</v>
      </c>
      <c r="S24" s="1094"/>
      <c r="T24" s="2734"/>
      <c r="U24" s="2734"/>
      <c r="V24" s="2735">
        <f>SUM(D24)+SUM(H24)+SUM(L24)+SUM(P24)</f>
        <v>-194.69999999999982</v>
      </c>
      <c r="W24" s="1096"/>
      <c r="X24" s="2735">
        <f>SUM(F24)+SUM(J24)+SUM(N24)+SUM(R24)</f>
        <v>-7064.4</v>
      </c>
      <c r="Y24" s="2736"/>
      <c r="Z24" s="2737"/>
      <c r="AA24" s="1076"/>
      <c r="AB24" s="2742">
        <v>-145.5</v>
      </c>
      <c r="AC24" s="1075"/>
      <c r="AD24" s="2742">
        <v>-6139.7</v>
      </c>
      <c r="AE24" s="2733"/>
      <c r="AF24" s="2738"/>
      <c r="AG24" s="2736"/>
      <c r="AH24" s="2739">
        <f>-ROUND(SUM(X24)-SUM(AD24),1)</f>
        <v>924.7</v>
      </c>
      <c r="AI24" s="2740"/>
      <c r="AJ24" s="2761">
        <f>-ROUND(AH24/AD24,3)</f>
        <v>0.151</v>
      </c>
      <c r="AK24" s="2455"/>
      <c r="AL24" s="2450"/>
    </row>
    <row r="25" spans="1:38" ht="18" customHeight="1">
      <c r="A25" s="2762" t="s">
        <v>998</v>
      </c>
      <c r="B25" s="2721"/>
      <c r="C25" s="2721"/>
      <c r="D25" s="2763">
        <f>ROUND(SUM(D21:D24),1)</f>
        <v>6008.4</v>
      </c>
      <c r="E25" s="186"/>
      <c r="F25" s="2763">
        <f>ROUND(SUM(F21:F24),1)</f>
        <v>31370.3</v>
      </c>
      <c r="G25" s="184"/>
      <c r="H25" s="2763">
        <f>ROUND(SUM(H21:H24),1)</f>
        <v>2413.5</v>
      </c>
      <c r="I25" s="2747"/>
      <c r="J25" s="2763">
        <f>ROUND(SUM(J21:J24),1)</f>
        <v>2575.6999999999998</v>
      </c>
      <c r="K25" s="184"/>
      <c r="L25" s="2763">
        <f>ROUND(SUM(L21:L24),1)</f>
        <v>2807.3</v>
      </c>
      <c r="M25" s="2747"/>
      <c r="N25" s="2763">
        <f>ROUND(SUM(N21:N24),1)</f>
        <v>11315.3</v>
      </c>
      <c r="O25" s="184"/>
      <c r="P25" s="2763">
        <f>ROUND(SUM(P21:P24),1)</f>
        <v>0</v>
      </c>
      <c r="Q25" s="2747"/>
      <c r="R25" s="2763">
        <f>ROUND(SUM(R21:R24),1)</f>
        <v>0</v>
      </c>
      <c r="S25" s="184"/>
      <c r="T25" s="2748"/>
      <c r="U25" s="2748"/>
      <c r="V25" s="2749">
        <f>ROUND(SUM(V21:V24),1)</f>
        <v>11229.2</v>
      </c>
      <c r="W25" s="186"/>
      <c r="X25" s="2749">
        <f>ROUND(SUM(X21:X24),1)</f>
        <v>45261.3</v>
      </c>
      <c r="Y25" s="2839"/>
      <c r="Z25" s="2751"/>
      <c r="AA25" s="186"/>
      <c r="AB25" s="2749">
        <f>ROUND(SUM(AB21:AB24),1)</f>
        <v>7594.9</v>
      </c>
      <c r="AC25" s="184"/>
      <c r="AD25" s="2749">
        <f>ROUND(SUM(AD21:AD24),1)</f>
        <v>40472.9</v>
      </c>
      <c r="AE25" s="186" t="s">
        <v>15</v>
      </c>
      <c r="AF25" s="2753"/>
      <c r="AG25" s="2750"/>
      <c r="AH25" s="2764">
        <f>ROUND(SUM(X25)-SUM(AD25),1)</f>
        <v>4788.3999999999996</v>
      </c>
      <c r="AI25" s="28"/>
      <c r="AJ25" s="2765">
        <f>ROUND(AH25/AD25,3)</f>
        <v>0.11799999999999999</v>
      </c>
      <c r="AK25" s="2460"/>
      <c r="AL25" s="2461"/>
    </row>
    <row r="26" spans="1:38" ht="18" customHeight="1">
      <c r="A26" s="2721"/>
      <c r="B26" s="2721"/>
      <c r="C26" s="2721"/>
      <c r="D26" s="2766"/>
      <c r="E26" s="1076"/>
      <c r="F26" s="2767"/>
      <c r="G26" s="1075"/>
      <c r="H26" s="2766"/>
      <c r="I26" s="1096"/>
      <c r="J26" s="2768"/>
      <c r="K26" s="1075"/>
      <c r="L26" s="2766"/>
      <c r="M26" s="1096"/>
      <c r="N26" s="2768"/>
      <c r="O26" s="1075"/>
      <c r="P26" s="2766"/>
      <c r="Q26" s="1096"/>
      <c r="R26" s="2768"/>
      <c r="S26" s="1075"/>
      <c r="T26" s="2759"/>
      <c r="U26" s="2759"/>
      <c r="V26" s="2767"/>
      <c r="W26" s="1076"/>
      <c r="X26" s="2767"/>
      <c r="Y26" s="1076"/>
      <c r="Z26" s="2737"/>
      <c r="AA26" s="1076"/>
      <c r="AB26" s="2766"/>
      <c r="AC26" s="1075"/>
      <c r="AD26" s="2768"/>
      <c r="AE26" s="1096"/>
      <c r="AF26" s="2738"/>
      <c r="AG26" s="1076"/>
      <c r="AH26" s="1096"/>
      <c r="AI26" s="1090"/>
      <c r="AJ26" s="2840"/>
      <c r="AK26" s="2465"/>
      <c r="AL26" s="2450"/>
    </row>
    <row r="27" spans="1:38" ht="18" customHeight="1">
      <c r="A27" s="2762" t="s">
        <v>1281</v>
      </c>
      <c r="B27" s="2721"/>
      <c r="C27" s="2456"/>
      <c r="D27" s="1095"/>
      <c r="E27" s="1075"/>
      <c r="F27" s="1075"/>
      <c r="G27" s="1075"/>
      <c r="H27" s="1095"/>
      <c r="I27" s="1094"/>
      <c r="J27" s="1094"/>
      <c r="K27" s="1075"/>
      <c r="L27" s="1095"/>
      <c r="M27" s="1094"/>
      <c r="N27" s="1094"/>
      <c r="O27" s="1075"/>
      <c r="P27" s="1095"/>
      <c r="Q27" s="1094"/>
      <c r="R27" s="1094"/>
      <c r="S27" s="1075"/>
      <c r="T27" s="2759"/>
      <c r="U27" s="2759"/>
      <c r="V27" s="1076"/>
      <c r="W27" s="1076"/>
      <c r="X27" s="1075"/>
      <c r="Y27" s="1075"/>
      <c r="Z27" s="2737"/>
      <c r="AA27" s="1076"/>
      <c r="AB27" s="1095"/>
      <c r="AC27" s="1075"/>
      <c r="AD27" s="1094"/>
      <c r="AE27" s="1094"/>
      <c r="AF27" s="2738"/>
      <c r="AG27" s="1075"/>
      <c r="AH27" s="1094"/>
      <c r="AI27" s="1091"/>
      <c r="AJ27" s="2840"/>
      <c r="AK27" s="2465"/>
      <c r="AL27" s="2450"/>
    </row>
    <row r="28" spans="1:38" ht="18" customHeight="1">
      <c r="A28" s="2721" t="s">
        <v>999</v>
      </c>
      <c r="B28" s="2721"/>
      <c r="C28" s="2721"/>
      <c r="D28" s="1095">
        <v>560.29999999999927</v>
      </c>
      <c r="E28" s="1094"/>
      <c r="F28" s="1095">
        <v>5690.9</v>
      </c>
      <c r="G28" s="1075"/>
      <c r="H28" s="1095">
        <v>78.899999999999977</v>
      </c>
      <c r="I28" s="1094"/>
      <c r="J28" s="1095">
        <v>816.3</v>
      </c>
      <c r="K28" s="1075"/>
      <c r="L28" s="2739">
        <v>559.90000000000055</v>
      </c>
      <c r="M28" s="2733"/>
      <c r="N28" s="2739">
        <v>5683.3</v>
      </c>
      <c r="O28" s="1094"/>
      <c r="P28" s="1099">
        <v>0</v>
      </c>
      <c r="Q28" s="2733"/>
      <c r="R28" s="1100">
        <v>0</v>
      </c>
      <c r="S28" s="1075"/>
      <c r="T28" s="2759"/>
      <c r="U28" s="2759"/>
      <c r="V28" s="2735">
        <f t="shared" ref="V28:V35" si="0">SUM(D28)+SUM(H28)+SUM(L28)+SUM(P28)</f>
        <v>1199.0999999999999</v>
      </c>
      <c r="W28" s="1076"/>
      <c r="X28" s="2735">
        <f t="shared" ref="X28:X35" si="1">SUM(F28)+SUM(J28)+SUM(N28)+SUM(R28)</f>
        <v>12190.5</v>
      </c>
      <c r="Y28" s="1075"/>
      <c r="Z28" s="2737"/>
      <c r="AA28" s="1076"/>
      <c r="AB28" s="2733">
        <v>1144.6000000000004</v>
      </c>
      <c r="AC28" s="1075"/>
      <c r="AD28" s="2733">
        <v>11666.400000000001</v>
      </c>
      <c r="AE28" s="2733"/>
      <c r="AF28" s="2769"/>
      <c r="AG28" s="1075"/>
      <c r="AH28" s="1095">
        <f t="shared" ref="AH28:AH36" si="2">ROUND(SUM(X28)-SUM(AD28),1)</f>
        <v>524.1</v>
      </c>
      <c r="AI28" s="2740"/>
      <c r="AJ28" s="2741">
        <f t="shared" ref="AJ28:AJ36" si="3">ROUND(AH28/AD28,3)</f>
        <v>4.4999999999999998E-2</v>
      </c>
      <c r="AK28" s="2455"/>
      <c r="AL28" s="2450"/>
    </row>
    <row r="29" spans="1:38" ht="18" customHeight="1">
      <c r="A29" s="2732" t="s">
        <v>1000</v>
      </c>
      <c r="B29" s="2721"/>
      <c r="C29" s="1211"/>
      <c r="D29" s="1099">
        <v>0</v>
      </c>
      <c r="E29" s="2735"/>
      <c r="F29" s="1100">
        <v>0</v>
      </c>
      <c r="G29" s="1075"/>
      <c r="H29" s="1095">
        <v>0</v>
      </c>
      <c r="I29" s="2733"/>
      <c r="J29" s="1095">
        <v>36.299999999999997</v>
      </c>
      <c r="K29" s="1075"/>
      <c r="L29" s="1099">
        <v>0</v>
      </c>
      <c r="M29" s="2733"/>
      <c r="N29" s="1100">
        <v>0</v>
      </c>
      <c r="O29" s="1094"/>
      <c r="P29" s="2463">
        <v>-0.10000000000000142</v>
      </c>
      <c r="Q29" s="1094"/>
      <c r="R29" s="2463">
        <v>62.5</v>
      </c>
      <c r="S29" s="1075"/>
      <c r="T29" s="2759"/>
      <c r="U29" s="2759"/>
      <c r="V29" s="2735">
        <f t="shared" si="0"/>
        <v>-0.10000000000000142</v>
      </c>
      <c r="W29" s="1076"/>
      <c r="X29" s="2735">
        <f t="shared" si="1"/>
        <v>98.8</v>
      </c>
      <c r="Y29" s="2736"/>
      <c r="Z29" s="2737"/>
      <c r="AA29" s="1076"/>
      <c r="AB29" s="2770">
        <v>9.2999999999999901</v>
      </c>
      <c r="AC29" s="1075"/>
      <c r="AD29" s="2733">
        <v>113.6</v>
      </c>
      <c r="AE29" s="2733"/>
      <c r="AF29" s="2738"/>
      <c r="AG29" s="2736"/>
      <c r="AH29" s="2739">
        <f t="shared" si="2"/>
        <v>-14.8</v>
      </c>
      <c r="AI29" s="2771"/>
      <c r="AJ29" s="3335">
        <f t="shared" si="3"/>
        <v>-0.13</v>
      </c>
      <c r="AK29" s="2455"/>
      <c r="AL29" s="2450"/>
    </row>
    <row r="30" spans="1:38" ht="18" customHeight="1">
      <c r="A30" s="2721" t="s">
        <v>1001</v>
      </c>
      <c r="B30" s="2721"/>
      <c r="C30" s="2721"/>
      <c r="D30" s="1095">
        <v>29.200000000000045</v>
      </c>
      <c r="E30" s="1094"/>
      <c r="F30" s="1095">
        <v>296.10000000000002</v>
      </c>
      <c r="G30" s="1075"/>
      <c r="H30" s="1095">
        <v>72</v>
      </c>
      <c r="I30" s="2733"/>
      <c r="J30" s="2756">
        <v>723.3</v>
      </c>
      <c r="K30" s="1075"/>
      <c r="L30" s="1099">
        <v>0</v>
      </c>
      <c r="M30" s="2733"/>
      <c r="N30" s="1100">
        <v>0</v>
      </c>
      <c r="O30" s="1094"/>
      <c r="P30" s="1099">
        <v>0</v>
      </c>
      <c r="Q30" s="2733"/>
      <c r="R30" s="1100">
        <v>0</v>
      </c>
      <c r="S30" s="1075"/>
      <c r="T30" s="2759"/>
      <c r="U30" s="2759"/>
      <c r="V30" s="2735">
        <f t="shared" si="0"/>
        <v>101.20000000000005</v>
      </c>
      <c r="W30" s="1076"/>
      <c r="X30" s="2735">
        <f t="shared" si="1"/>
        <v>1019.4</v>
      </c>
      <c r="Y30" s="2736"/>
      <c r="Z30" s="2737"/>
      <c r="AA30" s="1076"/>
      <c r="AB30" s="2742">
        <v>99.799999999999955</v>
      </c>
      <c r="AC30" s="1075"/>
      <c r="AD30" s="2742">
        <v>1070.6999999999998</v>
      </c>
      <c r="AE30" s="2742"/>
      <c r="AF30" s="2738"/>
      <c r="AG30" s="2736"/>
      <c r="AH30" s="2739">
        <f t="shared" si="2"/>
        <v>-51.3</v>
      </c>
      <c r="AI30" s="2740"/>
      <c r="AJ30" s="2741">
        <f t="shared" si="3"/>
        <v>-4.8000000000000001E-2</v>
      </c>
      <c r="AK30" s="2455"/>
      <c r="AL30" s="2450"/>
    </row>
    <row r="31" spans="1:38" ht="18" customHeight="1">
      <c r="A31" s="2721" t="s">
        <v>1377</v>
      </c>
      <c r="B31" s="2721"/>
      <c r="C31" s="2721"/>
      <c r="D31" s="1095">
        <v>0</v>
      </c>
      <c r="E31" s="1094"/>
      <c r="F31" s="1095">
        <v>0</v>
      </c>
      <c r="G31" s="1075"/>
      <c r="H31" s="1095">
        <v>0.19999999999999996</v>
      </c>
      <c r="I31" s="2733"/>
      <c r="J31" s="2756">
        <v>1.5</v>
      </c>
      <c r="K31" s="1075"/>
      <c r="L31" s="1099">
        <v>0</v>
      </c>
      <c r="M31" s="2733"/>
      <c r="N31" s="1100">
        <v>0</v>
      </c>
      <c r="O31" s="1094"/>
      <c r="P31" s="1099">
        <v>0</v>
      </c>
      <c r="Q31" s="2733"/>
      <c r="R31" s="1100">
        <v>0</v>
      </c>
      <c r="S31" s="1075"/>
      <c r="T31" s="2759"/>
      <c r="U31" s="2759"/>
      <c r="V31" s="2735">
        <f t="shared" ref="V31" si="4">SUM(D31)+SUM(H31)+SUM(L31)+SUM(P31)</f>
        <v>0.19999999999999996</v>
      </c>
      <c r="W31" s="1076"/>
      <c r="X31" s="2735">
        <f t="shared" ref="X31" si="5">SUM(F31)+SUM(J31)+SUM(N31)+SUM(R31)</f>
        <v>1.5</v>
      </c>
      <c r="Y31" s="2736"/>
      <c r="Z31" s="2737"/>
      <c r="AA31" s="1076"/>
      <c r="AB31" s="2742">
        <v>0</v>
      </c>
      <c r="AC31" s="1075"/>
      <c r="AD31" s="2742">
        <v>0.4</v>
      </c>
      <c r="AE31" s="2742"/>
      <c r="AF31" s="2738"/>
      <c r="AG31" s="2736"/>
      <c r="AH31" s="2739">
        <f t="shared" ref="AH31" si="6">ROUND(SUM(X31)-SUM(AD31),1)</f>
        <v>1.1000000000000001</v>
      </c>
      <c r="AI31" s="2740"/>
      <c r="AJ31" s="2582">
        <f>ROUND(IF(AD31=0,1,AH31/(AD31)),3)</f>
        <v>2.75</v>
      </c>
      <c r="AK31" s="2455"/>
      <c r="AL31" s="2450"/>
    </row>
    <row r="32" spans="1:38" ht="18" customHeight="1">
      <c r="A32" s="2721" t="s">
        <v>1002</v>
      </c>
      <c r="B32" s="2721"/>
      <c r="C32" s="2721"/>
      <c r="D32" s="1099">
        <v>0</v>
      </c>
      <c r="E32" s="2735"/>
      <c r="F32" s="1100">
        <v>0</v>
      </c>
      <c r="G32" s="1075"/>
      <c r="H32" s="1095">
        <v>9.1000000000000085</v>
      </c>
      <c r="I32" s="2733"/>
      <c r="J32" s="2739">
        <v>92.4</v>
      </c>
      <c r="K32" s="1075"/>
      <c r="L32" s="1099">
        <v>0</v>
      </c>
      <c r="M32" s="2733"/>
      <c r="N32" s="1100">
        <v>0</v>
      </c>
      <c r="O32" s="1094"/>
      <c r="P32" s="1095">
        <v>34.799999999999955</v>
      </c>
      <c r="Q32" s="2733"/>
      <c r="R32" s="2739">
        <v>342.9</v>
      </c>
      <c r="S32" s="1075"/>
      <c r="T32" s="2759"/>
      <c r="U32" s="2759"/>
      <c r="V32" s="2735">
        <f t="shared" si="0"/>
        <v>43.899999999999963</v>
      </c>
      <c r="W32" s="1076"/>
      <c r="X32" s="2735">
        <f t="shared" si="1"/>
        <v>435.29999999999995</v>
      </c>
      <c r="Y32" s="1075"/>
      <c r="Z32" s="2737"/>
      <c r="AA32" s="1076"/>
      <c r="AB32" s="2742">
        <v>42.199999999999989</v>
      </c>
      <c r="AC32" s="1075"/>
      <c r="AD32" s="2742">
        <v>438.2</v>
      </c>
      <c r="AE32" s="2733"/>
      <c r="AF32" s="2738"/>
      <c r="AG32" s="1075"/>
      <c r="AH32" s="2739">
        <f t="shared" si="2"/>
        <v>-2.9</v>
      </c>
      <c r="AI32" s="1091"/>
      <c r="AJ32" s="2741">
        <f t="shared" si="3"/>
        <v>-7.0000000000000001E-3</v>
      </c>
      <c r="AK32" s="2455"/>
      <c r="AL32" s="2450"/>
    </row>
    <row r="33" spans="1:38" ht="18" customHeight="1">
      <c r="A33" s="2721" t="s">
        <v>1003</v>
      </c>
      <c r="B33" s="2721"/>
      <c r="C33" s="2721"/>
      <c r="D33" s="1095">
        <v>28.899999999999977</v>
      </c>
      <c r="E33" s="1094"/>
      <c r="F33" s="1095">
        <v>226.2</v>
      </c>
      <c r="G33" s="1075"/>
      <c r="H33" s="1099">
        <v>0</v>
      </c>
      <c r="I33" s="2733"/>
      <c r="J33" s="2457">
        <v>0</v>
      </c>
      <c r="K33" s="1075"/>
      <c r="L33" s="1099">
        <v>0</v>
      </c>
      <c r="M33" s="2733"/>
      <c r="N33" s="1100">
        <v>0</v>
      </c>
      <c r="O33" s="1094"/>
      <c r="P33" s="1099">
        <v>0</v>
      </c>
      <c r="Q33" s="2733"/>
      <c r="R33" s="1100">
        <v>0</v>
      </c>
      <c r="S33" s="1075"/>
      <c r="T33" s="2759"/>
      <c r="U33" s="2759"/>
      <c r="V33" s="2735">
        <f t="shared" si="0"/>
        <v>28.899999999999977</v>
      </c>
      <c r="W33" s="1076"/>
      <c r="X33" s="2735">
        <f t="shared" si="1"/>
        <v>226.2</v>
      </c>
      <c r="Y33" s="2736"/>
      <c r="Z33" s="2737"/>
      <c r="AA33" s="1076"/>
      <c r="AB33" s="2742">
        <v>32.400000000000006</v>
      </c>
      <c r="AC33" s="1075"/>
      <c r="AD33" s="2742">
        <v>227.4</v>
      </c>
      <c r="AE33" s="2733"/>
      <c r="AF33" s="2738"/>
      <c r="AG33" s="2736"/>
      <c r="AH33" s="2739">
        <f t="shared" si="2"/>
        <v>-1.2</v>
      </c>
      <c r="AI33" s="2740"/>
      <c r="AJ33" s="2741">
        <f t="shared" si="3"/>
        <v>-5.0000000000000001E-3</v>
      </c>
      <c r="AK33" s="2455"/>
      <c r="AL33" s="2450"/>
    </row>
    <row r="34" spans="1:38" ht="18" customHeight="1">
      <c r="A34" s="2721" t="s">
        <v>1004</v>
      </c>
      <c r="B34" s="2721"/>
      <c r="C34" s="2721"/>
      <c r="D34" s="1099">
        <v>0</v>
      </c>
      <c r="E34" s="2735"/>
      <c r="F34" s="1100">
        <v>0</v>
      </c>
      <c r="G34" s="1075"/>
      <c r="H34" s="1099">
        <v>0.10000000000000009</v>
      </c>
      <c r="I34" s="2733"/>
      <c r="J34" s="2457">
        <v>1.5</v>
      </c>
      <c r="K34" s="1075"/>
      <c r="L34" s="1099">
        <v>0</v>
      </c>
      <c r="M34" s="2733"/>
      <c r="N34" s="1100">
        <v>0</v>
      </c>
      <c r="O34" s="1075"/>
      <c r="P34" s="1095">
        <v>14.5</v>
      </c>
      <c r="Q34" s="2733"/>
      <c r="R34" s="2739">
        <v>74</v>
      </c>
      <c r="S34" s="1075"/>
      <c r="T34" s="2759"/>
      <c r="U34" s="2759"/>
      <c r="V34" s="2735">
        <f t="shared" si="0"/>
        <v>14.6</v>
      </c>
      <c r="W34" s="1076"/>
      <c r="X34" s="2735">
        <f t="shared" si="1"/>
        <v>75.5</v>
      </c>
      <c r="Y34" s="2736"/>
      <c r="Z34" s="2737"/>
      <c r="AA34" s="1076"/>
      <c r="AB34" s="2742">
        <v>11.000000000000004</v>
      </c>
      <c r="AC34" s="1075"/>
      <c r="AD34" s="2742">
        <v>119</v>
      </c>
      <c r="AE34" s="2742"/>
      <c r="AF34" s="2738"/>
      <c r="AG34" s="2736"/>
      <c r="AH34" s="2457">
        <f t="shared" si="2"/>
        <v>-43.5</v>
      </c>
      <c r="AI34" s="2771"/>
      <c r="AJ34" s="2741">
        <f t="shared" si="3"/>
        <v>-0.36599999999999999</v>
      </c>
      <c r="AK34" s="2455"/>
      <c r="AL34" s="2450"/>
    </row>
    <row r="35" spans="1:38" ht="18" customHeight="1">
      <c r="A35" s="2732" t="s">
        <v>1005</v>
      </c>
      <c r="B35" s="2721"/>
      <c r="C35" s="2721"/>
      <c r="D35" s="1099">
        <v>0</v>
      </c>
      <c r="E35" s="1096"/>
      <c r="F35" s="1099">
        <v>0</v>
      </c>
      <c r="G35" s="1075"/>
      <c r="H35" s="2466">
        <v>12.800000000000004</v>
      </c>
      <c r="I35" s="2733"/>
      <c r="J35" s="2739">
        <v>54.6</v>
      </c>
      <c r="K35" s="1075"/>
      <c r="L35" s="1099">
        <v>0</v>
      </c>
      <c r="M35" s="2733"/>
      <c r="N35" s="1100">
        <v>0</v>
      </c>
      <c r="O35" s="1075"/>
      <c r="P35" s="1099">
        <v>0</v>
      </c>
      <c r="Q35" s="1096"/>
      <c r="R35" s="1100">
        <v>0</v>
      </c>
      <c r="S35" s="1075"/>
      <c r="T35" s="2759"/>
      <c r="U35" s="2759"/>
      <c r="V35" s="2735">
        <f t="shared" si="0"/>
        <v>12.800000000000004</v>
      </c>
      <c r="W35" s="1076"/>
      <c r="X35" s="2735">
        <f t="shared" si="1"/>
        <v>54.6</v>
      </c>
      <c r="Y35" s="2841"/>
      <c r="Z35" s="2737"/>
      <c r="AA35" s="1076"/>
      <c r="AB35" s="2742">
        <v>14</v>
      </c>
      <c r="AC35" s="1075"/>
      <c r="AD35" s="2742">
        <v>63.3</v>
      </c>
      <c r="AE35" s="2742"/>
      <c r="AF35" s="2769"/>
      <c r="AG35" s="2736"/>
      <c r="AH35" s="2744">
        <f t="shared" si="2"/>
        <v>-8.6999999999999993</v>
      </c>
      <c r="AI35" s="2740"/>
      <c r="AJ35" s="2761">
        <f t="shared" si="3"/>
        <v>-0.13700000000000001</v>
      </c>
      <c r="AK35" s="2455"/>
      <c r="AL35" s="2450"/>
    </row>
    <row r="36" spans="1:38" ht="18" customHeight="1">
      <c r="A36" s="2720" t="s">
        <v>1006</v>
      </c>
      <c r="B36" s="2721"/>
      <c r="C36" s="2721"/>
      <c r="D36" s="2763">
        <f>ROUND(SUM(D28:D35),1)</f>
        <v>618.4</v>
      </c>
      <c r="E36" s="186"/>
      <c r="F36" s="2922">
        <f>ROUND(SUM(F28:F35),1)</f>
        <v>6213.2</v>
      </c>
      <c r="G36" s="184"/>
      <c r="H36" s="2763">
        <f>ROUND(SUM(H28:H35),1)</f>
        <v>173.1</v>
      </c>
      <c r="I36" s="67"/>
      <c r="J36" s="2763">
        <f>ROUND(SUM(J28:J35),1)</f>
        <v>1725.9</v>
      </c>
      <c r="K36" s="184"/>
      <c r="L36" s="2763">
        <f>ROUND(SUM(L28:L35),1)</f>
        <v>559.9</v>
      </c>
      <c r="M36" s="67"/>
      <c r="N36" s="2763">
        <f>ROUND(SUM(N28:N35),1)</f>
        <v>5683.3</v>
      </c>
      <c r="O36" s="184"/>
      <c r="P36" s="2763">
        <f>ROUND(SUM(P28:P35),1)</f>
        <v>49.2</v>
      </c>
      <c r="Q36" s="67"/>
      <c r="R36" s="2922">
        <f>ROUND(SUM(R28:R35),1)</f>
        <v>479.4</v>
      </c>
      <c r="S36" s="184"/>
      <c r="T36" s="2748"/>
      <c r="U36" s="2748"/>
      <c r="V36" s="2772">
        <f>ROUND(SUM(V28:V35),1)</f>
        <v>1400.6</v>
      </c>
      <c r="W36" s="186"/>
      <c r="X36" s="2772">
        <f>ROUND(SUM(X28:X35),1)</f>
        <v>14101.8</v>
      </c>
      <c r="Y36" s="2842"/>
      <c r="Z36" s="2751"/>
      <c r="AA36" s="186"/>
      <c r="AB36" s="2772">
        <f>ROUND(SUM(AB28:AB35),1)</f>
        <v>1353.3</v>
      </c>
      <c r="AC36" s="184"/>
      <c r="AD36" s="2772">
        <f>ROUND(SUM(AD28:AD35),1)</f>
        <v>13699</v>
      </c>
      <c r="AE36" s="67"/>
      <c r="AF36" s="2753"/>
      <c r="AG36" s="186"/>
      <c r="AH36" s="2764">
        <f t="shared" si="2"/>
        <v>402.8</v>
      </c>
      <c r="AI36" s="18"/>
      <c r="AJ36" s="2765">
        <f t="shared" si="3"/>
        <v>2.9000000000000001E-2</v>
      </c>
      <c r="AK36" s="2460"/>
      <c r="AL36" s="2461"/>
    </row>
    <row r="37" spans="1:38" ht="18" customHeight="1">
      <c r="A37" s="2721"/>
      <c r="B37" s="2721"/>
      <c r="C37" s="2721"/>
      <c r="D37" s="2766"/>
      <c r="E37" s="1076"/>
      <c r="F37" s="2767"/>
      <c r="G37" s="1075"/>
      <c r="H37" s="2766"/>
      <c r="I37" s="1096"/>
      <c r="J37" s="2768"/>
      <c r="K37" s="1075"/>
      <c r="L37" s="2766"/>
      <c r="M37" s="1096"/>
      <c r="N37" s="2768"/>
      <c r="O37" s="1075"/>
      <c r="P37" s="2766"/>
      <c r="Q37" s="1096"/>
      <c r="R37" s="2768"/>
      <c r="S37" s="1075"/>
      <c r="T37" s="2759"/>
      <c r="U37" s="2759"/>
      <c r="V37" s="2767"/>
      <c r="W37" s="1076"/>
      <c r="X37" s="2767"/>
      <c r="Y37" s="1076"/>
      <c r="Z37" s="2737"/>
      <c r="AA37" s="1076"/>
      <c r="AB37" s="2766"/>
      <c r="AC37" s="1075"/>
      <c r="AD37" s="2768"/>
      <c r="AE37" s="1096"/>
      <c r="AF37" s="2738"/>
      <c r="AG37" s="1076"/>
      <c r="AH37" s="1096"/>
      <c r="AI37" s="1090"/>
      <c r="AJ37" s="2840"/>
      <c r="AK37" s="2465"/>
      <c r="AL37" s="2450"/>
    </row>
    <row r="38" spans="1:38" ht="18" customHeight="1">
      <c r="A38" s="2720" t="s">
        <v>1282</v>
      </c>
      <c r="B38" s="2721"/>
      <c r="C38" s="2721"/>
      <c r="D38" s="1095"/>
      <c r="E38" s="1075"/>
      <c r="F38" s="1075"/>
      <c r="G38" s="1075"/>
      <c r="H38" s="1095"/>
      <c r="I38" s="1094"/>
      <c r="J38" s="1094"/>
      <c r="K38" s="1075"/>
      <c r="L38" s="1095"/>
      <c r="M38" s="1094"/>
      <c r="N38" s="1094"/>
      <c r="O38" s="1075"/>
      <c r="P38" s="1095"/>
      <c r="Q38" s="1094"/>
      <c r="R38" s="1094"/>
      <c r="S38" s="1075"/>
      <c r="T38" s="2759"/>
      <c r="U38" s="2759"/>
      <c r="V38" s="1076"/>
      <c r="W38" s="1076"/>
      <c r="X38" s="1075"/>
      <c r="Y38" s="1075"/>
      <c r="Z38" s="2737"/>
      <c r="AA38" s="1076"/>
      <c r="AB38" s="2799"/>
      <c r="AC38" s="1075"/>
      <c r="AD38" s="2799"/>
      <c r="AE38" s="1094"/>
      <c r="AF38" s="2738"/>
      <c r="AG38" s="1075"/>
      <c r="AH38" s="1095"/>
      <c r="AI38" s="1091"/>
      <c r="AJ38" s="2741"/>
      <c r="AK38" s="2465"/>
      <c r="AL38" s="2450"/>
    </row>
    <row r="39" spans="1:38" ht="18" customHeight="1">
      <c r="A39" s="2721" t="s">
        <v>1007</v>
      </c>
      <c r="B39" s="2721"/>
      <c r="C39" s="2721"/>
      <c r="D39" s="1095">
        <v>-166.90000000000009</v>
      </c>
      <c r="E39" s="1094"/>
      <c r="F39" s="1095">
        <v>1783.8</v>
      </c>
      <c r="G39" s="1075"/>
      <c r="H39" s="1095">
        <v>41.200000000000045</v>
      </c>
      <c r="I39" s="1094"/>
      <c r="J39" s="1095">
        <v>620.6</v>
      </c>
      <c r="K39" s="1094"/>
      <c r="L39" s="1099">
        <v>0</v>
      </c>
      <c r="M39" s="2733"/>
      <c r="N39" s="1100">
        <v>0</v>
      </c>
      <c r="O39" s="1094"/>
      <c r="P39" s="1099">
        <v>0</v>
      </c>
      <c r="Q39" s="2733"/>
      <c r="R39" s="1100">
        <v>0</v>
      </c>
      <c r="S39" s="1075"/>
      <c r="T39" s="2759"/>
      <c r="U39" s="2759"/>
      <c r="V39" s="2735">
        <f>SUM(D39)+SUM(H39)+SUM(L39)+SUM(P39)</f>
        <v>-125.70000000000005</v>
      </c>
      <c r="W39" s="1076"/>
      <c r="X39" s="2735">
        <f>SUM(F39)+SUM(J39)+SUM(N39)+SUM(R39)</f>
        <v>2404.4</v>
      </c>
      <c r="Y39" s="1075"/>
      <c r="Z39" s="2737"/>
      <c r="AA39" s="1076"/>
      <c r="AB39" s="2742">
        <v>33.599999999999682</v>
      </c>
      <c r="AC39" s="1075"/>
      <c r="AD39" s="2742">
        <v>2629.6</v>
      </c>
      <c r="AE39" s="2733"/>
      <c r="AF39" s="2769"/>
      <c r="AG39" s="1075"/>
      <c r="AH39" s="2739">
        <f t="shared" ref="AH39:AH44" si="7">ROUND(SUM(X39)-SUM(AD39),1)</f>
        <v>-225.2</v>
      </c>
      <c r="AI39" s="2740"/>
      <c r="AJ39" s="2741">
        <f t="shared" ref="AJ39:AJ44" si="8">ROUND(AH39/AD39,3)</f>
        <v>-8.5999999999999993E-2</v>
      </c>
      <c r="AK39" s="2455"/>
      <c r="AL39" s="2450"/>
    </row>
    <row r="40" spans="1:38" ht="18" customHeight="1">
      <c r="A40" s="2721" t="s">
        <v>1008</v>
      </c>
      <c r="B40" s="2721"/>
      <c r="C40" s="2721"/>
      <c r="D40" s="2466">
        <v>15.800000000000011</v>
      </c>
      <c r="E40" s="1094"/>
      <c r="F40" s="1095">
        <v>369.6</v>
      </c>
      <c r="G40" s="1075"/>
      <c r="H40" s="2466">
        <v>5</v>
      </c>
      <c r="I40" s="1094"/>
      <c r="J40" s="1095">
        <v>102.4</v>
      </c>
      <c r="K40" s="1094"/>
      <c r="L40" s="1099">
        <v>0</v>
      </c>
      <c r="M40" s="2733"/>
      <c r="N40" s="1100">
        <v>0</v>
      </c>
      <c r="O40" s="1094"/>
      <c r="P40" s="1095">
        <v>0.59999999999999964</v>
      </c>
      <c r="Q40" s="2733"/>
      <c r="R40" s="2739">
        <v>8.6</v>
      </c>
      <c r="S40" s="1075"/>
      <c r="T40" s="2759"/>
      <c r="U40" s="2759"/>
      <c r="V40" s="2735">
        <f>SUM(D40)+SUM(H40)+SUM(L40)+SUM(P40)</f>
        <v>21.400000000000013</v>
      </c>
      <c r="W40" s="1076"/>
      <c r="X40" s="2735">
        <f>SUM(F40)+SUM(J40)+SUM(N40)+SUM(R40)</f>
        <v>480.6</v>
      </c>
      <c r="Y40" s="1075"/>
      <c r="Z40" s="2737"/>
      <c r="AA40" s="1076"/>
      <c r="AB40" s="2742">
        <v>28.899999999999988</v>
      </c>
      <c r="AC40" s="1075"/>
      <c r="AD40" s="2742">
        <v>493</v>
      </c>
      <c r="AE40" s="2733"/>
      <c r="AF40" s="2769"/>
      <c r="AG40" s="1075"/>
      <c r="AH40" s="2739">
        <f t="shared" si="7"/>
        <v>-12.4</v>
      </c>
      <c r="AI40" s="2740"/>
      <c r="AJ40" s="2741">
        <f t="shared" si="8"/>
        <v>-2.5000000000000001E-2</v>
      </c>
      <c r="AK40" s="2455"/>
      <c r="AL40" s="2450"/>
    </row>
    <row r="41" spans="1:38" ht="18" customHeight="1">
      <c r="A41" s="2721" t="s">
        <v>1009</v>
      </c>
      <c r="B41" s="2721"/>
      <c r="C41" s="2721"/>
      <c r="D41" s="1095">
        <v>22.800000000000068</v>
      </c>
      <c r="E41" s="1094"/>
      <c r="F41" s="1095">
        <v>998.2</v>
      </c>
      <c r="G41" s="1075"/>
      <c r="H41" s="1095">
        <v>-9.9999999999994316E-2</v>
      </c>
      <c r="I41" s="1094"/>
      <c r="J41" s="1095">
        <v>111.9</v>
      </c>
      <c r="K41" s="1094"/>
      <c r="L41" s="1099">
        <v>0</v>
      </c>
      <c r="M41" s="2733"/>
      <c r="N41" s="1100">
        <v>0</v>
      </c>
      <c r="O41" s="1094"/>
      <c r="P41" s="1099">
        <v>0</v>
      </c>
      <c r="Q41" s="2733"/>
      <c r="R41" s="1100">
        <v>0</v>
      </c>
      <c r="S41" s="1075"/>
      <c r="T41" s="2759"/>
      <c r="U41" s="2759"/>
      <c r="V41" s="2735">
        <f>SUM(D41)+SUM(H41)+SUM(L41)+SUM(P41)</f>
        <v>22.700000000000074</v>
      </c>
      <c r="W41" s="1076"/>
      <c r="X41" s="2735">
        <f>SUM(F41)+SUM(J41)+SUM(N41)+SUM(R41)</f>
        <v>1110.1000000000001</v>
      </c>
      <c r="Y41" s="1075"/>
      <c r="Z41" s="2737"/>
      <c r="AA41" s="1076"/>
      <c r="AB41" s="2742">
        <v>4.4999999999999858</v>
      </c>
      <c r="AC41" s="1075"/>
      <c r="AD41" s="2742">
        <v>1009.8000000000001</v>
      </c>
      <c r="AE41" s="2733"/>
      <c r="AF41" s="2769"/>
      <c r="AG41" s="1075"/>
      <c r="AH41" s="2739">
        <f t="shared" si="7"/>
        <v>100.3</v>
      </c>
      <c r="AI41" s="2740"/>
      <c r="AJ41" s="2741">
        <f t="shared" si="8"/>
        <v>9.9000000000000005E-2</v>
      </c>
      <c r="AK41" s="2455"/>
      <c r="AL41" s="2450"/>
    </row>
    <row r="42" spans="1:38" ht="18" customHeight="1">
      <c r="A42" s="2721" t="s">
        <v>1010</v>
      </c>
      <c r="B42" s="2721"/>
      <c r="C42" s="2721"/>
      <c r="D42" s="1095">
        <v>-7.4000000000000341</v>
      </c>
      <c r="E42" s="1094"/>
      <c r="F42" s="1095">
        <v>366.2</v>
      </c>
      <c r="G42" s="1075"/>
      <c r="H42" s="1095">
        <v>11.899999999999999</v>
      </c>
      <c r="I42" s="1094"/>
      <c r="J42" s="1095">
        <v>66.5</v>
      </c>
      <c r="K42" s="1094"/>
      <c r="L42" s="1099">
        <v>0</v>
      </c>
      <c r="M42" s="2733"/>
      <c r="N42" s="1100">
        <v>0</v>
      </c>
      <c r="O42" s="1094"/>
      <c r="P42" s="1099">
        <v>0</v>
      </c>
      <c r="Q42" s="2733"/>
      <c r="R42" s="1100">
        <v>0</v>
      </c>
      <c r="S42" s="1075"/>
      <c r="T42" s="2759"/>
      <c r="U42" s="2759"/>
      <c r="V42" s="2735">
        <f>SUM(D42)+SUM(H42)+SUM(L42)+SUM(P42)</f>
        <v>4.4999999999999645</v>
      </c>
      <c r="W42" s="1076"/>
      <c r="X42" s="2735">
        <f>SUM(F42)+SUM(J42)+SUM(N42)+SUM(R42)</f>
        <v>432.7</v>
      </c>
      <c r="Y42" s="1075"/>
      <c r="Z42" s="2737"/>
      <c r="AA42" s="1076"/>
      <c r="AB42" s="2733">
        <v>-22.799999999999976</v>
      </c>
      <c r="AC42" s="1075"/>
      <c r="AD42" s="2733">
        <v>367.90000000000003</v>
      </c>
      <c r="AE42" s="2733"/>
      <c r="AF42" s="2769"/>
      <c r="AG42" s="1075"/>
      <c r="AH42" s="2739">
        <f>ROUND(SUM(X42)-SUM(AD42),1)</f>
        <v>64.8</v>
      </c>
      <c r="AI42" s="2740"/>
      <c r="AJ42" s="3335">
        <f t="shared" si="8"/>
        <v>0.17599999999999999</v>
      </c>
      <c r="AK42" s="2455"/>
      <c r="AL42" s="2450"/>
    </row>
    <row r="43" spans="1:38" ht="18" customHeight="1">
      <c r="A43" s="2721" t="s">
        <v>1011</v>
      </c>
      <c r="B43" s="2721"/>
      <c r="C43" s="2721"/>
      <c r="D43" s="1099">
        <v>0</v>
      </c>
      <c r="E43" s="2735"/>
      <c r="F43" s="2457">
        <v>0</v>
      </c>
      <c r="G43" s="1075"/>
      <c r="H43" s="1095">
        <v>41.100000000000023</v>
      </c>
      <c r="I43" s="2733"/>
      <c r="J43" s="2739">
        <v>407.6</v>
      </c>
      <c r="K43" s="1094"/>
      <c r="L43" s="1099">
        <v>0</v>
      </c>
      <c r="M43" s="2733"/>
      <c r="N43" s="1100">
        <v>0</v>
      </c>
      <c r="O43" s="1094"/>
      <c r="P43" s="1095">
        <v>51.400000000000034</v>
      </c>
      <c r="Q43" s="2733"/>
      <c r="R43" s="2739">
        <v>509.8</v>
      </c>
      <c r="S43" s="1075"/>
      <c r="T43" s="2759"/>
      <c r="U43" s="2759"/>
      <c r="V43" s="2735">
        <f>SUM(D43)+SUM(H43)+SUM(L43)+SUM(P43)</f>
        <v>92.500000000000057</v>
      </c>
      <c r="W43" s="1076"/>
      <c r="X43" s="2735">
        <f>SUM(F43)+SUM(J43)+SUM(N43)+SUM(R43)</f>
        <v>917.40000000000009</v>
      </c>
      <c r="Y43" s="1075"/>
      <c r="Z43" s="2737"/>
      <c r="AA43" s="1076"/>
      <c r="AB43" s="2733">
        <v>89.600000000000023</v>
      </c>
      <c r="AC43" s="1075"/>
      <c r="AD43" s="2733">
        <v>952.5</v>
      </c>
      <c r="AE43" s="2733"/>
      <c r="AF43" s="2769"/>
      <c r="AG43" s="1075"/>
      <c r="AH43" s="2739">
        <f t="shared" si="7"/>
        <v>-35.1</v>
      </c>
      <c r="AI43" s="2771"/>
      <c r="AJ43" s="2741">
        <f t="shared" si="8"/>
        <v>-3.6999999999999998E-2</v>
      </c>
      <c r="AK43" s="2455"/>
      <c r="AL43" s="2450"/>
    </row>
    <row r="44" spans="1:38" ht="18" customHeight="1">
      <c r="A44" s="2720" t="s">
        <v>1006</v>
      </c>
      <c r="B44" s="2721"/>
      <c r="C44" s="2721"/>
      <c r="D44" s="2763">
        <f>ROUND(SUM(D39:D43),1)</f>
        <v>-135.69999999999999</v>
      </c>
      <c r="E44" s="186"/>
      <c r="F44" s="2922">
        <f>ROUND(SUM(F39:F43),1)</f>
        <v>3517.8</v>
      </c>
      <c r="G44" s="184"/>
      <c r="H44" s="2763">
        <f>ROUND(SUM(H39:H43),1)</f>
        <v>99.1</v>
      </c>
      <c r="I44" s="67"/>
      <c r="J44" s="2763">
        <f>ROUND(SUM(J39:J43),1)</f>
        <v>1309</v>
      </c>
      <c r="K44" s="184"/>
      <c r="L44" s="2773">
        <f>ROUND(SUM(L39:L43),1)</f>
        <v>0</v>
      </c>
      <c r="M44" s="2747"/>
      <c r="N44" s="2923">
        <f>ROUND(SUM(N39:N43),1)</f>
        <v>0</v>
      </c>
      <c r="O44" s="184"/>
      <c r="P44" s="2763">
        <f>ROUND(SUM(P39:P43),1)</f>
        <v>52</v>
      </c>
      <c r="Q44" s="67"/>
      <c r="R44" s="2922">
        <f>ROUND(SUM(R39:R43),1)</f>
        <v>518.4</v>
      </c>
      <c r="S44" s="184"/>
      <c r="T44" s="2748"/>
      <c r="U44" s="2748"/>
      <c r="V44" s="2772">
        <f>ROUND(SUM(V39:V43),1)</f>
        <v>15.4</v>
      </c>
      <c r="W44" s="186"/>
      <c r="X44" s="2772">
        <f>ROUND(SUM(X39:X43),1)</f>
        <v>5345.2</v>
      </c>
      <c r="Y44" s="2842"/>
      <c r="Z44" s="2751"/>
      <c r="AA44" s="186"/>
      <c r="AB44" s="2772">
        <f>ROUND(SUM(AB39:AB43),1)</f>
        <v>133.80000000000001</v>
      </c>
      <c r="AC44" s="184"/>
      <c r="AD44" s="2772">
        <f>ROUND(SUM(AD39:AD43),1)</f>
        <v>5452.8</v>
      </c>
      <c r="AE44" s="67"/>
      <c r="AF44" s="2753"/>
      <c r="AG44" s="186"/>
      <c r="AH44" s="2774">
        <f t="shared" si="7"/>
        <v>-107.6</v>
      </c>
      <c r="AI44" s="18"/>
      <c r="AJ44" s="2765">
        <f t="shared" si="8"/>
        <v>-0.02</v>
      </c>
      <c r="AK44" s="2460"/>
      <c r="AL44" s="2461"/>
    </row>
    <row r="45" spans="1:38" ht="18" customHeight="1">
      <c r="A45" s="2721"/>
      <c r="B45" s="2721"/>
      <c r="C45" s="2721"/>
      <c r="D45" s="2766"/>
      <c r="E45" s="1076"/>
      <c r="F45" s="2767"/>
      <c r="G45" s="1075"/>
      <c r="H45" s="2766"/>
      <c r="I45" s="1096"/>
      <c r="J45" s="2768"/>
      <c r="K45" s="1075"/>
      <c r="L45" s="2766"/>
      <c r="M45" s="1096"/>
      <c r="N45" s="2768"/>
      <c r="O45" s="1075"/>
      <c r="P45" s="2766"/>
      <c r="Q45" s="1096"/>
      <c r="R45" s="2768"/>
      <c r="S45" s="1075"/>
      <c r="T45" s="2759"/>
      <c r="U45" s="2759"/>
      <c r="V45" s="2767"/>
      <c r="W45" s="1076"/>
      <c r="X45" s="2767"/>
      <c r="Y45" s="1076"/>
      <c r="Z45" s="2737"/>
      <c r="AA45" s="1076"/>
      <c r="AB45" s="2766"/>
      <c r="AC45" s="1075"/>
      <c r="AD45" s="2768"/>
      <c r="AE45" s="1096"/>
      <c r="AF45" s="2738"/>
      <c r="AG45" s="1076"/>
      <c r="AH45" s="1096"/>
      <c r="AI45" s="1090"/>
      <c r="AJ45" s="2840"/>
      <c r="AK45" s="2465"/>
      <c r="AL45" s="2450"/>
    </row>
    <row r="46" spans="1:38" ht="18" customHeight="1">
      <c r="A46" s="2762" t="s">
        <v>1283</v>
      </c>
      <c r="B46" s="2721"/>
      <c r="C46" s="2721"/>
      <c r="D46" s="1095"/>
      <c r="E46" s="1075"/>
      <c r="F46" s="1075"/>
      <c r="G46" s="1075"/>
      <c r="H46" s="1095"/>
      <c r="I46" s="1094"/>
      <c r="J46" s="1094"/>
      <c r="K46" s="1075"/>
      <c r="L46" s="1095"/>
      <c r="M46" s="1094"/>
      <c r="N46" s="1094"/>
      <c r="O46" s="1075"/>
      <c r="P46" s="1095"/>
      <c r="Q46" s="1094"/>
      <c r="R46" s="1094"/>
      <c r="S46" s="1075"/>
      <c r="T46" s="2759"/>
      <c r="U46" s="2759"/>
      <c r="V46" s="1076"/>
      <c r="W46" s="1076"/>
      <c r="X46" s="1075"/>
      <c r="Y46" s="1075"/>
      <c r="Z46" s="2737"/>
      <c r="AA46" s="1076"/>
      <c r="AB46" s="1097"/>
      <c r="AC46" s="1075"/>
      <c r="AD46" s="1094"/>
      <c r="AE46" s="1094"/>
      <c r="AF46" s="2738"/>
      <c r="AG46" s="1075"/>
      <c r="AH46" s="1095"/>
      <c r="AI46" s="1091"/>
      <c r="AJ46" s="2741"/>
      <c r="AK46" s="2465"/>
      <c r="AL46" s="2450"/>
    </row>
    <row r="47" spans="1:38" ht="18" customHeight="1">
      <c r="A47" s="2721" t="s">
        <v>1012</v>
      </c>
      <c r="B47" s="2721"/>
      <c r="C47" s="2721"/>
      <c r="D47" s="1099">
        <v>0</v>
      </c>
      <c r="E47" s="1094"/>
      <c r="F47" s="1095">
        <v>0</v>
      </c>
      <c r="G47" s="1075"/>
      <c r="H47" s="1099">
        <v>0</v>
      </c>
      <c r="I47" s="2733"/>
      <c r="J47" s="2457">
        <v>0</v>
      </c>
      <c r="K47" s="1094"/>
      <c r="L47" s="1099">
        <v>0</v>
      </c>
      <c r="M47" s="2733"/>
      <c r="N47" s="1100">
        <v>0</v>
      </c>
      <c r="O47" s="1094"/>
      <c r="P47" s="1099">
        <v>0</v>
      </c>
      <c r="Q47" s="2733"/>
      <c r="R47" s="1100">
        <v>0</v>
      </c>
      <c r="S47" s="1075"/>
      <c r="T47" s="2759"/>
      <c r="U47" s="2759"/>
      <c r="V47" s="2775">
        <f t="shared" ref="V47:V52" si="9">SUM(D47)+SUM(H47)+SUM(L47)+SUM(P47)</f>
        <v>0</v>
      </c>
      <c r="W47" s="1076"/>
      <c r="X47" s="2735">
        <f t="shared" ref="X47:X52" si="10">SUM(F47)+SUM(J47)+SUM(N47)+SUM(R47)</f>
        <v>0</v>
      </c>
      <c r="Y47" s="2736"/>
      <c r="Z47" s="2737"/>
      <c r="AA47" s="1076"/>
      <c r="AB47" s="2770">
        <v>0</v>
      </c>
      <c r="AC47" s="1075"/>
      <c r="AD47" s="2775">
        <v>0.1</v>
      </c>
      <c r="AE47" s="2733"/>
      <c r="AF47" s="2769"/>
      <c r="AG47" s="2736"/>
      <c r="AH47" s="2739">
        <f t="shared" ref="AH47:AH53" si="11">ROUND(SUM(X47)-SUM(AD47),1)</f>
        <v>-0.1</v>
      </c>
      <c r="AI47" s="2740"/>
      <c r="AJ47" s="2582">
        <f>ROUND(IF(AD47=0,0,AH47/(AD47)),3)</f>
        <v>-1</v>
      </c>
      <c r="AK47" s="2455"/>
      <c r="AL47" s="2450"/>
    </row>
    <row r="48" spans="1:38" ht="18" customHeight="1">
      <c r="A48" s="2721" t="s">
        <v>1013</v>
      </c>
      <c r="B48" s="2721"/>
      <c r="C48" s="2721"/>
      <c r="D48" s="1095">
        <v>173.5</v>
      </c>
      <c r="E48" s="1094"/>
      <c r="F48" s="1095">
        <v>1136.3</v>
      </c>
      <c r="G48" s="1075"/>
      <c r="H48" s="1099">
        <v>0</v>
      </c>
      <c r="I48" s="2733"/>
      <c r="J48" s="2457">
        <v>0</v>
      </c>
      <c r="K48" s="1094"/>
      <c r="L48" s="1099">
        <v>0</v>
      </c>
      <c r="M48" s="2733"/>
      <c r="N48" s="1100">
        <v>0</v>
      </c>
      <c r="O48" s="1094"/>
      <c r="P48" s="1099">
        <v>0</v>
      </c>
      <c r="Q48" s="2733"/>
      <c r="R48" s="1100">
        <v>0</v>
      </c>
      <c r="S48" s="1075"/>
      <c r="T48" s="2759"/>
      <c r="U48" s="2759"/>
      <c r="V48" s="2735">
        <f t="shared" si="9"/>
        <v>173.5</v>
      </c>
      <c r="W48" s="1076"/>
      <c r="X48" s="2735">
        <f t="shared" si="10"/>
        <v>1136.3</v>
      </c>
      <c r="Y48" s="2736"/>
      <c r="Z48" s="2737"/>
      <c r="AA48" s="1076"/>
      <c r="AB48" s="2742">
        <v>62.899999999999977</v>
      </c>
      <c r="AC48" s="1075"/>
      <c r="AD48" s="2742">
        <v>949.3</v>
      </c>
      <c r="AE48" s="2742"/>
      <c r="AF48" s="2769"/>
      <c r="AG48" s="2736"/>
      <c r="AH48" s="2739">
        <f t="shared" si="11"/>
        <v>187</v>
      </c>
      <c r="AI48" s="2740"/>
      <c r="AJ48" s="2741">
        <f>ROUND(AH48/AD48,3)</f>
        <v>0.19700000000000001</v>
      </c>
      <c r="AK48" s="2455"/>
      <c r="AL48" s="2450"/>
    </row>
    <row r="49" spans="1:38" ht="18" customHeight="1">
      <c r="A49" s="2721" t="s">
        <v>1014</v>
      </c>
      <c r="B49" s="2721"/>
      <c r="C49" s="2721"/>
      <c r="D49" s="1095">
        <v>0.69999999999999929</v>
      </c>
      <c r="E49" s="1094"/>
      <c r="F49" s="1095">
        <v>13.5</v>
      </c>
      <c r="G49" s="1075"/>
      <c r="H49" s="1099">
        <v>0</v>
      </c>
      <c r="I49" s="2733"/>
      <c r="J49" s="2457">
        <v>0</v>
      </c>
      <c r="K49" s="1094"/>
      <c r="L49" s="1099">
        <v>0</v>
      </c>
      <c r="M49" s="2733"/>
      <c r="N49" s="1100">
        <v>0</v>
      </c>
      <c r="O49" s="1094"/>
      <c r="P49" s="1099">
        <v>0</v>
      </c>
      <c r="Q49" s="2733"/>
      <c r="R49" s="1100">
        <v>0</v>
      </c>
      <c r="S49" s="1075"/>
      <c r="T49" s="2759"/>
      <c r="U49" s="2759"/>
      <c r="V49" s="2735">
        <f t="shared" si="9"/>
        <v>0.69999999999999929</v>
      </c>
      <c r="W49" s="1076"/>
      <c r="X49" s="2735">
        <f t="shared" si="10"/>
        <v>13.5</v>
      </c>
      <c r="Y49" s="2736"/>
      <c r="Z49" s="2737"/>
      <c r="AA49" s="1076"/>
      <c r="AB49" s="2742">
        <v>0.69999999999999929</v>
      </c>
      <c r="AC49" s="1075"/>
      <c r="AD49" s="2742">
        <v>13.6</v>
      </c>
      <c r="AE49" s="2742"/>
      <c r="AF49" s="2769"/>
      <c r="AG49" s="2736"/>
      <c r="AH49" s="2739">
        <f t="shared" si="11"/>
        <v>-0.1</v>
      </c>
      <c r="AI49" s="2740"/>
      <c r="AJ49" s="2741">
        <f>ROUND(AH49/AD49,3)</f>
        <v>-7.0000000000000001E-3</v>
      </c>
      <c r="AK49" s="2455"/>
      <c r="AL49" s="2450"/>
    </row>
    <row r="50" spans="1:38" ht="18" customHeight="1">
      <c r="A50" s="2721" t="s">
        <v>1015</v>
      </c>
      <c r="B50" s="2721"/>
      <c r="C50" s="2721"/>
      <c r="D50" s="1099">
        <v>0</v>
      </c>
      <c r="E50" s="2735"/>
      <c r="F50" s="1100">
        <v>0</v>
      </c>
      <c r="G50" s="1075"/>
      <c r="H50" s="1099">
        <v>0</v>
      </c>
      <c r="I50" s="2733"/>
      <c r="J50" s="2457">
        <v>0</v>
      </c>
      <c r="K50" s="1094"/>
      <c r="L50" s="2739">
        <v>83</v>
      </c>
      <c r="M50" s="2733"/>
      <c r="N50" s="2739">
        <v>864.6</v>
      </c>
      <c r="O50" s="1094"/>
      <c r="P50" s="2463">
        <v>11.899999999999991</v>
      </c>
      <c r="Q50" s="2733"/>
      <c r="R50" s="2756">
        <v>95.3</v>
      </c>
      <c r="S50" s="1075"/>
      <c r="T50" s="2759"/>
      <c r="U50" s="2759"/>
      <c r="V50" s="2735">
        <f t="shared" si="9"/>
        <v>94.899999999999991</v>
      </c>
      <c r="W50" s="1076"/>
      <c r="X50" s="2735">
        <f t="shared" si="10"/>
        <v>959.9</v>
      </c>
      <c r="Y50" s="2736"/>
      <c r="Z50" s="2737"/>
      <c r="AA50" s="1076"/>
      <c r="AB50" s="2742">
        <v>95.299999999999969</v>
      </c>
      <c r="AC50" s="1075"/>
      <c r="AD50" s="2742">
        <v>959.59999999999991</v>
      </c>
      <c r="AE50" s="2733"/>
      <c r="AF50" s="2769"/>
      <c r="AG50" s="2736"/>
      <c r="AH50" s="2739">
        <f t="shared" si="11"/>
        <v>0.3</v>
      </c>
      <c r="AI50" s="2776"/>
      <c r="AJ50" s="2741">
        <f>ROUND(AH50/AD50,3)</f>
        <v>0</v>
      </c>
      <c r="AK50" s="2455"/>
      <c r="AL50" s="2450"/>
    </row>
    <row r="51" spans="1:38" ht="18" customHeight="1">
      <c r="A51" s="2721" t="s">
        <v>1016</v>
      </c>
      <c r="B51" s="2721"/>
      <c r="C51" s="2721"/>
      <c r="D51" s="1095">
        <v>0.10000000000000009</v>
      </c>
      <c r="E51" s="1096"/>
      <c r="F51" s="2756">
        <v>2.4</v>
      </c>
      <c r="G51" s="1075"/>
      <c r="H51" s="1099">
        <v>0</v>
      </c>
      <c r="I51" s="2733"/>
      <c r="J51" s="2457">
        <v>0</v>
      </c>
      <c r="K51" s="1094"/>
      <c r="L51" s="1099">
        <v>0</v>
      </c>
      <c r="M51" s="2733"/>
      <c r="N51" s="1100">
        <v>0</v>
      </c>
      <c r="O51" s="1094"/>
      <c r="P51" s="1099">
        <v>0</v>
      </c>
      <c r="Q51" s="2733"/>
      <c r="R51" s="1100">
        <v>0</v>
      </c>
      <c r="S51" s="1075"/>
      <c r="T51" s="2759"/>
      <c r="U51" s="2759"/>
      <c r="V51" s="2735">
        <f t="shared" si="9"/>
        <v>0.10000000000000009</v>
      </c>
      <c r="W51" s="1076"/>
      <c r="X51" s="2735">
        <f t="shared" si="10"/>
        <v>2.4</v>
      </c>
      <c r="Y51" s="2736"/>
      <c r="Z51" s="2737"/>
      <c r="AA51" s="1076"/>
      <c r="AB51" s="2742">
        <v>0.10000000000000009</v>
      </c>
      <c r="AC51" s="1075"/>
      <c r="AD51" s="2770">
        <v>2.5</v>
      </c>
      <c r="AE51" s="2733"/>
      <c r="AF51" s="2769"/>
      <c r="AG51" s="2736"/>
      <c r="AH51" s="2739">
        <f t="shared" si="11"/>
        <v>-0.1</v>
      </c>
      <c r="AI51" s="2776"/>
      <c r="AJ51" s="2582">
        <f>ROUND(IF(AD51=0,1,AH51/(AD51)),3)</f>
        <v>-0.04</v>
      </c>
      <c r="AK51" s="2455"/>
      <c r="AL51" s="2450"/>
    </row>
    <row r="52" spans="1:38" ht="18" customHeight="1">
      <c r="A52" s="2732" t="s">
        <v>1017</v>
      </c>
      <c r="B52" s="2721"/>
      <c r="C52" s="2721"/>
      <c r="D52" s="1099">
        <v>0</v>
      </c>
      <c r="E52" s="1096"/>
      <c r="F52" s="1099">
        <v>0</v>
      </c>
      <c r="G52" s="1075"/>
      <c r="H52" s="1095">
        <v>203.60000000000002</v>
      </c>
      <c r="I52" s="2733"/>
      <c r="J52" s="2739">
        <v>1166.2</v>
      </c>
      <c r="K52" s="1094"/>
      <c r="L52" s="1099">
        <v>0</v>
      </c>
      <c r="M52" s="2733"/>
      <c r="N52" s="1100">
        <v>0</v>
      </c>
      <c r="O52" s="1094"/>
      <c r="P52" s="1099">
        <v>0</v>
      </c>
      <c r="Q52" s="2733"/>
      <c r="R52" s="1100">
        <v>0</v>
      </c>
      <c r="S52" s="1075"/>
      <c r="T52" s="2759"/>
      <c r="U52" s="2759"/>
      <c r="V52" s="2735">
        <f t="shared" si="9"/>
        <v>203.60000000000002</v>
      </c>
      <c r="W52" s="1076"/>
      <c r="X52" s="2735">
        <f t="shared" si="10"/>
        <v>1166.2</v>
      </c>
      <c r="Y52" s="2736"/>
      <c r="Z52" s="2737"/>
      <c r="AA52" s="1076"/>
      <c r="AB52" s="2742">
        <v>180.79999999999995</v>
      </c>
      <c r="AC52" s="1075"/>
      <c r="AD52" s="2742">
        <v>1105.0999999999999</v>
      </c>
      <c r="AE52" s="2733"/>
      <c r="AF52" s="2769"/>
      <c r="AG52" s="2736"/>
      <c r="AH52" s="2457">
        <f t="shared" si="11"/>
        <v>61.1</v>
      </c>
      <c r="AI52" s="2776"/>
      <c r="AJ52" s="2777">
        <f>ROUND(AH52/AD52,3)</f>
        <v>5.5E-2</v>
      </c>
      <c r="AK52" s="2455"/>
      <c r="AL52" s="2450"/>
    </row>
    <row r="53" spans="1:38" ht="18" customHeight="1">
      <c r="A53" s="2720" t="s">
        <v>1006</v>
      </c>
      <c r="B53" s="2721"/>
      <c r="C53" s="2721"/>
      <c r="D53" s="2763">
        <f>ROUND(SUM(D47:D52),1)</f>
        <v>174.3</v>
      </c>
      <c r="E53" s="186"/>
      <c r="F53" s="2772">
        <f>ROUND(SUM(F47:F52),1)</f>
        <v>1152.2</v>
      </c>
      <c r="G53" s="184"/>
      <c r="H53" s="2778">
        <f>ROUND(SUM(H47:H52),1)</f>
        <v>203.6</v>
      </c>
      <c r="I53" s="2747"/>
      <c r="J53" s="2778">
        <f>ROUND(SUM(J47:J52),1)</f>
        <v>1166.2</v>
      </c>
      <c r="K53" s="184"/>
      <c r="L53" s="2763">
        <f>ROUND(SUM(L47:L52),1)</f>
        <v>83</v>
      </c>
      <c r="M53" s="67"/>
      <c r="N53" s="2763">
        <f>ROUND(SUM(N47:N52),1)</f>
        <v>864.6</v>
      </c>
      <c r="O53" s="184" t="s">
        <v>15</v>
      </c>
      <c r="P53" s="2763">
        <f>ROUND(SUM(P47:P52),1)</f>
        <v>11.9</v>
      </c>
      <c r="Q53" s="67"/>
      <c r="R53" s="2763">
        <f>ROUND(SUM(R47:R52),1)</f>
        <v>95.3</v>
      </c>
      <c r="S53" s="184"/>
      <c r="T53" s="2748"/>
      <c r="U53" s="2748"/>
      <c r="V53" s="2749">
        <f>ROUND(SUM(V47:V52),1)</f>
        <v>472.8</v>
      </c>
      <c r="W53" s="186"/>
      <c r="X53" s="2749">
        <f>ROUND(SUM(X47:X52),1)</f>
        <v>3278.3</v>
      </c>
      <c r="Y53" s="2839"/>
      <c r="Z53" s="2751"/>
      <c r="AA53" s="186"/>
      <c r="AB53" s="2749">
        <f>ROUND(SUM(AB47:AB52),1)</f>
        <v>339.8</v>
      </c>
      <c r="AC53" s="184"/>
      <c r="AD53" s="2749">
        <f>ROUND(SUM(AD47:AD52),1)</f>
        <v>3030.2</v>
      </c>
      <c r="AE53" s="2752"/>
      <c r="AF53" s="2753"/>
      <c r="AG53" s="2750"/>
      <c r="AH53" s="2764">
        <f t="shared" si="11"/>
        <v>248.1</v>
      </c>
      <c r="AI53" s="18"/>
      <c r="AJ53" s="2765">
        <f>ROUND(AH53/AD53,3)</f>
        <v>8.2000000000000003E-2</v>
      </c>
      <c r="AK53" s="2460"/>
      <c r="AL53" s="2461"/>
    </row>
    <row r="54" spans="1:38" ht="18" customHeight="1">
      <c r="A54" s="2721"/>
      <c r="B54" s="2721"/>
      <c r="C54" s="2721"/>
      <c r="D54" s="2779"/>
      <c r="E54" s="160"/>
      <c r="F54" s="2780"/>
      <c r="G54" s="1207"/>
      <c r="H54" s="2779"/>
      <c r="I54" s="18"/>
      <c r="J54" s="2781"/>
      <c r="K54" s="1207"/>
      <c r="L54" s="2779"/>
      <c r="M54" s="18"/>
      <c r="N54" s="2781"/>
      <c r="O54" s="1207"/>
      <c r="P54" s="2779"/>
      <c r="Q54" s="18"/>
      <c r="R54" s="2781"/>
      <c r="S54" s="1207"/>
      <c r="T54" s="2782"/>
      <c r="U54" s="2782"/>
      <c r="V54" s="2780"/>
      <c r="W54" s="199"/>
      <c r="X54" s="2780"/>
      <c r="Y54" s="160"/>
      <c r="Z54" s="2783"/>
      <c r="AA54" s="199"/>
      <c r="AB54" s="2779"/>
      <c r="AC54" s="1207"/>
      <c r="AD54" s="2781"/>
      <c r="AE54" s="18"/>
      <c r="AF54" s="2784"/>
      <c r="AG54" s="160"/>
      <c r="AH54" s="2785"/>
      <c r="AI54" s="18"/>
      <c r="AJ54" s="2786"/>
      <c r="AK54" s="2461"/>
      <c r="AL54" s="2461"/>
    </row>
    <row r="55" spans="1:38" ht="18" customHeight="1" thickBot="1">
      <c r="A55" s="2720" t="s">
        <v>1018</v>
      </c>
      <c r="B55" s="2721"/>
      <c r="C55" s="2721"/>
      <c r="D55" s="2787">
        <f>ROUND(SUM(D25)+SUM(D36)+SUM(D44)+SUM(D53),1)</f>
        <v>6665.4</v>
      </c>
      <c r="E55" s="2788"/>
      <c r="F55" s="2924">
        <f>ROUND(SUM(F25)+SUM(F36)+SUM(F44)+SUM(F53),1)</f>
        <v>42253.5</v>
      </c>
      <c r="G55" s="2925"/>
      <c r="H55" s="2787">
        <f>ROUND(SUM(H25)+SUM(H36)+SUM(H44)+SUM(H53),1)</f>
        <v>2889.3</v>
      </c>
      <c r="I55" s="2788"/>
      <c r="J55" s="2924">
        <f>ROUND(SUM(J25)+SUM(J36)+SUM(J44)+SUM(J53),1)</f>
        <v>6776.8</v>
      </c>
      <c r="K55" s="2788"/>
      <c r="L55" s="2787">
        <f>ROUND(SUM(L25)+SUM(L36)+SUM(L44)+SUM(L53),1)</f>
        <v>3450.2</v>
      </c>
      <c r="M55" s="2788"/>
      <c r="N55" s="2787">
        <f>ROUND(SUM(N25)+SUM(N36)+SUM(N44)+SUM(N53),1)</f>
        <v>17863.2</v>
      </c>
      <c r="O55" s="2788"/>
      <c r="P55" s="2787">
        <f>ROUND(SUM(P25)+SUM(P36)+SUM(P44)+SUM(P53),1)</f>
        <v>113.1</v>
      </c>
      <c r="Q55" s="2788"/>
      <c r="R55" s="2924">
        <f>ROUND(SUM(R25)+SUM(R36)+SUM(R44)+SUM(R53),1)</f>
        <v>1093.0999999999999</v>
      </c>
      <c r="S55" s="2789"/>
      <c r="T55" s="2790"/>
      <c r="U55" s="2788"/>
      <c r="V55" s="2791">
        <f>ROUND(SUM(V25)+SUM(V36)+SUM(V44)+SUM(V53),1)</f>
        <v>13118</v>
      </c>
      <c r="W55" s="2788"/>
      <c r="X55" s="2791">
        <f>ROUND(SUM(X25)+SUM(X36)+SUM(X44)+SUM(X53),1)</f>
        <v>67986.600000000006</v>
      </c>
      <c r="Y55" s="2843"/>
      <c r="Z55" s="2792"/>
      <c r="AA55" s="2788"/>
      <c r="AB55" s="2791">
        <f>ROUND(SUM(AB25)+SUM(AB36)+SUM(AB44)+SUM(AB53),1)</f>
        <v>9421.7999999999993</v>
      </c>
      <c r="AC55" s="2788"/>
      <c r="AD55" s="2791">
        <f>ROUND(SUM(AD25)+SUM(AD36)+SUM(AD44)+SUM(AD53),1)</f>
        <v>62654.9</v>
      </c>
      <c r="AE55" s="2793"/>
      <c r="AF55" s="2794"/>
      <c r="AG55" s="2793"/>
      <c r="AH55" s="2795">
        <f>ROUND(SUM(X55)-SUM(AD55),1)</f>
        <v>5331.7</v>
      </c>
      <c r="AI55" s="18"/>
      <c r="AJ55" s="2796">
        <f>ROUND(AH55/AD55,3)</f>
        <v>8.5000000000000006E-2</v>
      </c>
      <c r="AK55" s="2460"/>
      <c r="AL55" s="246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4" t="s">
        <v>1066</v>
      </c>
    </row>
    <row r="2" spans="1:37" ht="16.5" customHeight="1">
      <c r="A2" s="1577"/>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37"/>
      <c r="AD5" s="3538"/>
      <c r="AE5" s="3538"/>
      <c r="AF5" s="3538"/>
      <c r="AG5" s="3538"/>
      <c r="AH5" s="3538"/>
      <c r="AI5" s="3538"/>
      <c r="AJ5" s="3538"/>
    </row>
    <row r="6" spans="1:37" ht="20.25" customHeight="1">
      <c r="A6" s="426" t="s">
        <v>1437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39" t="s">
        <v>1555</v>
      </c>
      <c r="AC12" s="3539"/>
      <c r="AD12" s="3539"/>
      <c r="AE12" s="3539"/>
      <c r="AF12" s="3539"/>
      <c r="AG12" s="3539"/>
      <c r="AH12" s="3539"/>
      <c r="AI12" s="3539"/>
      <c r="AJ12" s="3539"/>
    </row>
    <row r="13" spans="1:37" ht="16.5" customHeight="1">
      <c r="A13" s="427"/>
      <c r="B13" s="427"/>
      <c r="C13" s="2885">
        <v>2017</v>
      </c>
      <c r="D13" s="961"/>
      <c r="E13" s="961"/>
      <c r="F13" s="961"/>
      <c r="G13" s="961"/>
      <c r="H13" s="961"/>
      <c r="I13" s="961"/>
      <c r="J13" s="961"/>
      <c r="K13" s="961"/>
      <c r="L13" s="961"/>
      <c r="M13" s="961"/>
      <c r="N13" s="961"/>
      <c r="O13" s="961"/>
      <c r="P13" s="961"/>
      <c r="Q13" s="961"/>
      <c r="R13" s="961"/>
      <c r="S13" s="961"/>
      <c r="T13" s="961"/>
      <c r="U13" s="2885">
        <v>2018</v>
      </c>
      <c r="V13" s="961"/>
      <c r="W13" s="961"/>
      <c r="X13" s="961"/>
      <c r="Y13" s="961"/>
      <c r="Z13" s="961"/>
      <c r="AA13" s="961"/>
      <c r="AB13" s="961"/>
      <c r="AC13" s="1391"/>
      <c r="AD13" s="1391"/>
      <c r="AE13" s="1391"/>
      <c r="AF13" s="961"/>
      <c r="AG13" s="961"/>
      <c r="AH13" s="1392" t="s">
        <v>8</v>
      </c>
      <c r="AI13" s="1390"/>
      <c r="AJ13" s="1392" t="s">
        <v>9</v>
      </c>
    </row>
    <row r="14" spans="1:37" ht="16.5" customHeight="1">
      <c r="A14" s="427"/>
      <c r="B14" s="427"/>
      <c r="C14" s="1392" t="s">
        <v>127</v>
      </c>
      <c r="D14" s="961"/>
      <c r="E14" s="1392" t="s">
        <v>128</v>
      </c>
      <c r="F14" s="961"/>
      <c r="G14" s="1392" t="s">
        <v>129</v>
      </c>
      <c r="H14" s="961"/>
      <c r="I14" s="1392" t="s">
        <v>130</v>
      </c>
      <c r="J14" s="961"/>
      <c r="K14" s="1392" t="s">
        <v>131</v>
      </c>
      <c r="L14" s="961"/>
      <c r="M14" s="1392" t="s">
        <v>132</v>
      </c>
      <c r="N14" s="961"/>
      <c r="O14" s="1392" t="s">
        <v>133</v>
      </c>
      <c r="P14" s="961"/>
      <c r="Q14" s="1392" t="s">
        <v>134</v>
      </c>
      <c r="R14" s="961"/>
      <c r="S14" s="1392" t="s">
        <v>135</v>
      </c>
      <c r="T14" s="961"/>
      <c r="U14" s="1392" t="s">
        <v>136</v>
      </c>
      <c r="V14" s="961"/>
      <c r="W14" s="1392" t="s">
        <v>137</v>
      </c>
      <c r="X14" s="961"/>
      <c r="Y14" s="1392" t="s">
        <v>138</v>
      </c>
      <c r="Z14" s="961"/>
      <c r="AA14" s="961"/>
      <c r="AB14" s="1393">
        <v>2018</v>
      </c>
      <c r="AC14" s="961"/>
      <c r="AD14" s="961"/>
      <c r="AE14" s="1393">
        <v>2017</v>
      </c>
      <c r="AF14" s="961"/>
      <c r="AG14" s="961"/>
      <c r="AH14" s="1394" t="s">
        <v>12</v>
      </c>
      <c r="AI14" s="1390"/>
      <c r="AJ14" s="1394" t="s">
        <v>13</v>
      </c>
    </row>
    <row r="15" spans="1:37" ht="6"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427"/>
      <c r="AG15" s="427"/>
      <c r="AI15" s="427"/>
    </row>
    <row r="16" spans="1:37" ht="16.5" customHeight="1">
      <c r="A16" s="962" t="s">
        <v>139</v>
      </c>
      <c r="B16" s="427"/>
      <c r="C16" s="1263">
        <v>11104.7</v>
      </c>
      <c r="D16" s="965"/>
      <c r="E16" s="965">
        <f>C144</f>
        <v>11516.4</v>
      </c>
      <c r="F16" s="965"/>
      <c r="G16" s="965">
        <f>E144</f>
        <v>6483.9</v>
      </c>
      <c r="H16" s="965"/>
      <c r="I16" s="965">
        <f>G144</f>
        <v>7679.9</v>
      </c>
      <c r="J16" s="965"/>
      <c r="K16" s="965">
        <f>I144</f>
        <v>9316.7999999999993</v>
      </c>
      <c r="L16" s="965"/>
      <c r="M16" s="965">
        <f>K144</f>
        <v>9494.5</v>
      </c>
      <c r="N16" s="965"/>
      <c r="O16" s="965">
        <f>M144</f>
        <v>9850.6</v>
      </c>
      <c r="P16" s="965"/>
      <c r="Q16" s="965">
        <f>O144</f>
        <v>9873.6</v>
      </c>
      <c r="R16" s="965"/>
      <c r="S16" s="965">
        <f>Q144</f>
        <v>8186.1</v>
      </c>
      <c r="T16" s="965"/>
      <c r="U16" s="965">
        <f>S144</f>
        <v>13852.8</v>
      </c>
      <c r="V16" s="965"/>
      <c r="W16" s="965"/>
      <c r="X16" s="965"/>
      <c r="Y16" s="965"/>
      <c r="Z16" s="965"/>
      <c r="AA16" s="966"/>
      <c r="AB16" s="965">
        <v>11104.7</v>
      </c>
      <c r="AC16" s="965"/>
      <c r="AD16" s="967"/>
      <c r="AE16" s="965">
        <v>11810.1</v>
      </c>
      <c r="AF16" s="965"/>
      <c r="AG16" s="965"/>
      <c r="AH16" s="965">
        <f>ROUND(SUM(AB16-AE16),1)</f>
        <v>-705.4</v>
      </c>
      <c r="AI16" s="961"/>
      <c r="AJ16" s="509">
        <f>ROUND(SUM(AH16/AE16),3)</f>
        <v>-0.06</v>
      </c>
      <c r="AK16" s="787"/>
    </row>
    <row r="17" spans="1:36" ht="16.5" customHeight="1">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969"/>
      <c r="AB17" s="427" t="s">
        <v>15</v>
      </c>
      <c r="AC17" s="427"/>
      <c r="AD17" s="970"/>
      <c r="AE17" s="427" t="s">
        <v>15</v>
      </c>
      <c r="AF17" s="427"/>
      <c r="AG17" s="427"/>
      <c r="AH17" s="1560"/>
      <c r="AI17" s="427"/>
      <c r="AJ17" s="1560"/>
    </row>
    <row r="18" spans="1:36" ht="16.5" customHeight="1">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969"/>
      <c r="AB18" s="427"/>
      <c r="AC18" s="427"/>
      <c r="AD18" s="970"/>
      <c r="AE18" s="427"/>
      <c r="AF18" s="427"/>
      <c r="AG18" s="427"/>
      <c r="AH18" s="1560"/>
      <c r="AI18" s="427"/>
      <c r="AJ18" s="1560"/>
    </row>
    <row r="19" spans="1:36" ht="16.5" customHeight="1">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427"/>
      <c r="AG19" s="427"/>
      <c r="AH19" s="1560"/>
      <c r="AI19" s="427"/>
      <c r="AJ19" s="1560"/>
    </row>
    <row r="20" spans="1:36" ht="16.5" customHeight="1">
      <c r="A20" s="1907" t="s">
        <v>1243</v>
      </c>
      <c r="B20" s="1206"/>
      <c r="C20" s="1091"/>
      <c r="D20" s="1091"/>
      <c r="E20" s="1091"/>
      <c r="F20" s="1091"/>
      <c r="G20" s="1091"/>
      <c r="H20" s="427"/>
      <c r="I20" s="968"/>
      <c r="J20" s="427"/>
      <c r="K20" s="968"/>
      <c r="L20" s="427"/>
      <c r="M20" s="968"/>
      <c r="N20" s="427"/>
      <c r="O20" s="968"/>
      <c r="P20" s="427"/>
      <c r="Q20" s="3178"/>
      <c r="R20" s="427"/>
      <c r="S20" s="968"/>
      <c r="T20" s="427"/>
      <c r="U20" s="968"/>
      <c r="V20" s="427"/>
      <c r="W20" s="968"/>
      <c r="X20" s="427"/>
      <c r="Y20" s="968"/>
      <c r="Z20" s="427"/>
      <c r="AA20" s="1762"/>
      <c r="AB20" s="427"/>
      <c r="AC20" s="427"/>
      <c r="AD20" s="970"/>
      <c r="AE20" s="427"/>
      <c r="AF20" s="427"/>
      <c r="AG20" s="427"/>
      <c r="AH20" s="1560"/>
      <c r="AI20" s="427"/>
      <c r="AJ20" s="1560"/>
    </row>
    <row r="21" spans="1:36" ht="16.5" customHeight="1">
      <c r="A21" s="1206" t="s">
        <v>1183</v>
      </c>
      <c r="B21" s="1206"/>
      <c r="C21" s="688">
        <f>+'Exhibit F'!D19</f>
        <v>2755.8</v>
      </c>
      <c r="D21" s="1094"/>
      <c r="E21" s="688">
        <f>+'Exhibit F'!F19</f>
        <v>2855</v>
      </c>
      <c r="F21" s="1094"/>
      <c r="G21" s="688">
        <f>+'Exhibit F'!H19</f>
        <v>2889.4</v>
      </c>
      <c r="H21" s="971"/>
      <c r="I21" s="688">
        <f>+'Exhibit F'!J19</f>
        <v>2682.4</v>
      </c>
      <c r="J21" s="971"/>
      <c r="K21" s="688">
        <f>+'Exhibit F'!L19</f>
        <v>3026.7</v>
      </c>
      <c r="L21" s="427"/>
      <c r="M21" s="688">
        <f>+'Exhibit F'!N19</f>
        <v>2583.1000000000022</v>
      </c>
      <c r="N21" s="427"/>
      <c r="O21" s="688">
        <f>+'Exhibit F'!P19</f>
        <v>2789.6999999999971</v>
      </c>
      <c r="P21" s="427"/>
      <c r="Q21" s="688">
        <f>+'Exhibit F'!R19</f>
        <v>2898.9000000000015</v>
      </c>
      <c r="R21" s="427"/>
      <c r="S21" s="688">
        <f>+'Exhibit F'!T19</f>
        <v>3930.0999999999985</v>
      </c>
      <c r="T21" s="427"/>
      <c r="U21" s="688">
        <f>+'Exhibit F'!V19</f>
        <v>5581.9</v>
      </c>
      <c r="V21" s="427"/>
      <c r="W21" s="688"/>
      <c r="X21" s="427"/>
      <c r="Y21" s="688"/>
      <c r="Z21" s="427"/>
      <c r="AA21" s="1762"/>
      <c r="AB21" s="971">
        <f t="shared" ref="AB21:AB30" si="0">ROUND(SUM(C21:Y21),1)</f>
        <v>31993</v>
      </c>
      <c r="AC21" s="427"/>
      <c r="AD21" s="970"/>
      <c r="AE21" s="688">
        <f>+'Exhibit F'!AF19</f>
        <v>29092.1</v>
      </c>
      <c r="AF21" s="427"/>
      <c r="AG21" s="427"/>
      <c r="AH21" s="1111">
        <f>ROUND(SUM(+AB21-AE21),1)</f>
        <v>2900.9</v>
      </c>
      <c r="AI21" s="1922"/>
      <c r="AJ21" s="1700">
        <f>ROUND(IF(AE21=0,0,AH21/ABS(AE21)),3)</f>
        <v>0.1</v>
      </c>
    </row>
    <row r="22" spans="1:36" ht="16.5" customHeight="1">
      <c r="A22" s="1206" t="s">
        <v>1184</v>
      </c>
      <c r="B22" s="1211"/>
      <c r="C22" s="688">
        <f>+'Exhibit F'!D20</f>
        <v>4168.2</v>
      </c>
      <c r="D22" s="1094"/>
      <c r="E22" s="688">
        <f>+'Exhibit F'!F20</f>
        <v>112.1</v>
      </c>
      <c r="F22" s="1094"/>
      <c r="G22" s="688">
        <f>+'Exhibit F'!H20</f>
        <v>1922.9</v>
      </c>
      <c r="H22" s="971"/>
      <c r="I22" s="688">
        <f>+'Exhibit F'!J20</f>
        <v>89.7</v>
      </c>
      <c r="J22" s="971"/>
      <c r="K22" s="688">
        <f>+'Exhibit F'!L20</f>
        <v>95.600000000000364</v>
      </c>
      <c r="L22" s="427"/>
      <c r="M22" s="688">
        <f>+'Exhibit F'!N20</f>
        <v>2315.2999999999993</v>
      </c>
      <c r="N22" s="427"/>
      <c r="O22" s="688">
        <f>+'Exhibit F'!P20</f>
        <v>145.30000000000001</v>
      </c>
      <c r="P22" s="427"/>
      <c r="Q22" s="688">
        <f>+'Exhibit F'!R20</f>
        <v>116.69999999999891</v>
      </c>
      <c r="R22" s="427"/>
      <c r="S22" s="688">
        <f>+'Exhibit F'!T20</f>
        <v>3044.8000000000011</v>
      </c>
      <c r="T22" s="427"/>
      <c r="U22" s="688">
        <f>+'Exhibit F'!V20</f>
        <v>5609.6</v>
      </c>
      <c r="V22" s="427"/>
      <c r="W22" s="688"/>
      <c r="X22" s="427"/>
      <c r="Y22" s="688"/>
      <c r="Z22" s="427"/>
      <c r="AA22" s="1762"/>
      <c r="AB22" s="971">
        <f t="shared" si="0"/>
        <v>17620.2</v>
      </c>
      <c r="AC22" s="427"/>
      <c r="AD22" s="970"/>
      <c r="AE22" s="688">
        <f>+'Exhibit F'!AF20</f>
        <v>14790.1</v>
      </c>
      <c r="AF22" s="427"/>
      <c r="AG22" s="427"/>
      <c r="AH22" s="1111">
        <f>ROUND(SUM(+AB22-AE22),1)</f>
        <v>2830.1</v>
      </c>
      <c r="AI22" s="1922"/>
      <c r="AJ22" s="1700">
        <f>ROUND(IF(AE22=0,0,AH22/ABS(AE22)),3)</f>
        <v>0.191</v>
      </c>
    </row>
    <row r="23" spans="1:36" ht="16.5" customHeight="1">
      <c r="A23" s="1206" t="s">
        <v>1185</v>
      </c>
      <c r="B23" s="1206"/>
      <c r="C23" s="688">
        <f>+'Exhibit F'!D21</f>
        <v>1572.8</v>
      </c>
      <c r="D23" s="1094"/>
      <c r="E23" s="688">
        <f>+'Exhibit F'!F21</f>
        <v>74.599999999999994</v>
      </c>
      <c r="F23" s="1094"/>
      <c r="G23" s="688">
        <f>+'Exhibit F'!H21</f>
        <v>44.2</v>
      </c>
      <c r="H23" s="971"/>
      <c r="I23" s="688">
        <f>+'Exhibit F'!J21</f>
        <v>31.7</v>
      </c>
      <c r="J23" s="971"/>
      <c r="K23" s="688">
        <f>+'Exhibit F'!L21</f>
        <v>33</v>
      </c>
      <c r="L23" s="427"/>
      <c r="M23" s="688">
        <f>+'Exhibit F'!N21</f>
        <v>47.299999999999955</v>
      </c>
      <c r="N23" s="427"/>
      <c r="O23" s="688">
        <f>+'Exhibit F'!P21</f>
        <v>391.70000000000027</v>
      </c>
      <c r="P23" s="427"/>
      <c r="Q23" s="688">
        <f>+'Exhibit F'!R21</f>
        <v>33.899999999999636</v>
      </c>
      <c r="R23" s="427"/>
      <c r="S23" s="688">
        <f>+'Exhibit F'!T21</f>
        <v>34.1</v>
      </c>
      <c r="T23" s="427"/>
      <c r="U23" s="688">
        <f>+'Exhibit F'!V21</f>
        <v>39.299999999999997</v>
      </c>
      <c r="V23" s="427"/>
      <c r="W23" s="688"/>
      <c r="X23" s="427"/>
      <c r="Y23" s="688"/>
      <c r="Z23" s="427"/>
      <c r="AA23" s="1762"/>
      <c r="AB23" s="971">
        <f t="shared" si="0"/>
        <v>2302.6</v>
      </c>
      <c r="AC23" s="427"/>
      <c r="AD23" s="970"/>
      <c r="AE23" s="688">
        <f>+'Exhibit F'!AF21</f>
        <v>2421.5</v>
      </c>
      <c r="AF23" s="427"/>
      <c r="AG23" s="427"/>
      <c r="AH23" s="1111">
        <f>ROUND(SUM(+AB23-AE23),1)</f>
        <v>-118.9</v>
      </c>
      <c r="AI23" s="1922"/>
      <c r="AJ23" s="1700">
        <f>ROUND(IF(AE23=0,0,AH23/ABS(AE23)),3)</f>
        <v>-4.9000000000000002E-2</v>
      </c>
    </row>
    <row r="24" spans="1:36" ht="16.5" customHeight="1">
      <c r="A24" s="1945" t="s">
        <v>1186</v>
      </c>
      <c r="B24" s="1206"/>
      <c r="C24" s="688">
        <f>+'Exhibit F'!D22</f>
        <v>-201.5</v>
      </c>
      <c r="D24" s="1094"/>
      <c r="E24" s="688">
        <f>+'Exhibit F'!F22</f>
        <v>-15.6</v>
      </c>
      <c r="F24" s="1094"/>
      <c r="G24" s="688">
        <f>+'Exhibit F'!H22</f>
        <v>-19.399999999999999</v>
      </c>
      <c r="H24" s="971"/>
      <c r="I24" s="688">
        <f>+'Exhibit F'!J22</f>
        <v>-19</v>
      </c>
      <c r="J24" s="971"/>
      <c r="K24" s="688">
        <f>+'Exhibit F'!L22</f>
        <v>-21.199999999999989</v>
      </c>
      <c r="L24" s="427"/>
      <c r="M24" s="688">
        <f>+'Exhibit F'!N22</f>
        <v>-29</v>
      </c>
      <c r="N24" s="427"/>
      <c r="O24" s="688">
        <f>+'Exhibit F'!P22</f>
        <v>-321.7</v>
      </c>
      <c r="P24" s="427"/>
      <c r="Q24" s="688">
        <f>+'Exhibit F'!R22</f>
        <v>-96</v>
      </c>
      <c r="R24" s="427"/>
      <c r="S24" s="688">
        <f>+'Exhibit F'!T22</f>
        <v>-8.3000000000000007</v>
      </c>
      <c r="T24" s="427"/>
      <c r="U24" s="688">
        <f>+'Exhibit F'!V22</f>
        <v>-16.3</v>
      </c>
      <c r="V24" s="427"/>
      <c r="W24" s="688"/>
      <c r="X24" s="427"/>
      <c r="Y24" s="688"/>
      <c r="Z24" s="427"/>
      <c r="AA24" s="1762"/>
      <c r="AB24" s="971">
        <f t="shared" si="0"/>
        <v>-748</v>
      </c>
      <c r="AC24" s="427"/>
      <c r="AD24" s="970"/>
      <c r="AE24" s="688">
        <f>+'Exhibit F'!AF22</f>
        <v>-770.3</v>
      </c>
      <c r="AF24" s="427"/>
      <c r="AG24" s="427"/>
      <c r="AH24" s="1111">
        <f>-ROUND(SUM(+AB24-AE24),1)</f>
        <v>-22.3</v>
      </c>
      <c r="AI24" s="1922"/>
      <c r="AJ24" s="2582">
        <f>ROUND(IF(AE24=0,0,AH24/ABS(AE24)),3)</f>
        <v>-2.9000000000000001E-2</v>
      </c>
    </row>
    <row r="25" spans="1:36" ht="16.5" customHeight="1">
      <c r="A25" s="1945" t="s">
        <v>1187</v>
      </c>
      <c r="B25" s="1206"/>
      <c r="C25" s="688">
        <f>+'Exhibit F'!D23</f>
        <v>154</v>
      </c>
      <c r="D25" s="1094"/>
      <c r="E25" s="688">
        <f>+'Exhibit F'!F23</f>
        <v>105.2</v>
      </c>
      <c r="F25" s="1094"/>
      <c r="G25" s="688">
        <f>+'Exhibit F'!H23</f>
        <v>87.5</v>
      </c>
      <c r="H25" s="971"/>
      <c r="I25" s="688">
        <f>+'Exhibit F'!J23</f>
        <v>97.2</v>
      </c>
      <c r="J25" s="971"/>
      <c r="K25" s="688">
        <f>+'Exhibit F'!L23</f>
        <v>110.70000000000005</v>
      </c>
      <c r="L25" s="427"/>
      <c r="M25" s="688">
        <f>+'Exhibit F'!N23</f>
        <v>79.399999999999977</v>
      </c>
      <c r="N25" s="427"/>
      <c r="O25" s="688">
        <f>+'Exhibit F'!P23</f>
        <v>100.10000000000002</v>
      </c>
      <c r="P25" s="427"/>
      <c r="Q25" s="688">
        <f>+'Exhibit F'!R23</f>
        <v>108.29999999999995</v>
      </c>
      <c r="R25" s="427"/>
      <c r="S25" s="688">
        <f>+'Exhibit F'!T23</f>
        <v>106.10000000000002</v>
      </c>
      <c r="T25" s="427"/>
      <c r="U25" s="688">
        <f>+'Exhibit F'!V23</f>
        <v>209.4</v>
      </c>
      <c r="V25" s="427"/>
      <c r="W25" s="688"/>
      <c r="X25" s="427"/>
      <c r="Y25" s="688"/>
      <c r="Z25" s="427"/>
      <c r="AA25" s="1762"/>
      <c r="AB25" s="971">
        <f t="shared" si="0"/>
        <v>1157.9000000000001</v>
      </c>
      <c r="AC25" s="427"/>
      <c r="AD25" s="970"/>
      <c r="AE25" s="688">
        <f>+'Exhibit F'!AF23</f>
        <v>1079.2</v>
      </c>
      <c r="AF25" s="427"/>
      <c r="AG25" s="427"/>
      <c r="AH25" s="1111">
        <f>ROUND(SUM(+AB25-AE25),1)</f>
        <v>78.7</v>
      </c>
      <c r="AI25" s="1922"/>
      <c r="AJ25" s="2585">
        <f t="shared" ref="AJ25:AJ30" si="1">ROUND(IF(AE25=0,0,AH25/ABS(AE25)),3)</f>
        <v>7.2999999999999995E-2</v>
      </c>
    </row>
    <row r="26" spans="1:36" ht="16.5" customHeight="1">
      <c r="A26" s="1207" t="s">
        <v>1188</v>
      </c>
      <c r="B26" s="1207"/>
      <c r="C26" s="1210">
        <f>ROUND(SUM(C21:C25),1)</f>
        <v>8449.2999999999993</v>
      </c>
      <c r="D26" s="184"/>
      <c r="E26" s="1210">
        <f>ROUND(SUM(E21:E25),1)</f>
        <v>3131.3</v>
      </c>
      <c r="F26" s="184"/>
      <c r="G26" s="1663">
        <f>ROUND(SUM(G21:G25),1)</f>
        <v>4924.6000000000004</v>
      </c>
      <c r="H26" s="427"/>
      <c r="I26" s="1663">
        <f>ROUND(SUM(I21:I25),1)</f>
        <v>2882</v>
      </c>
      <c r="J26" s="427"/>
      <c r="K26" s="1663">
        <f>ROUND(SUM(K21:K25),1)</f>
        <v>3244.8</v>
      </c>
      <c r="L26" s="427"/>
      <c r="M26" s="1663">
        <f>ROUND(SUM(M21:M25),1)</f>
        <v>4996.1000000000004</v>
      </c>
      <c r="N26" s="427"/>
      <c r="O26" s="1663">
        <f>ROUND(SUM(O21:O25),1)</f>
        <v>3105.1</v>
      </c>
      <c r="P26" s="427"/>
      <c r="Q26" s="1663">
        <f>ROUND(SUM(Q21:Q25),1)</f>
        <v>3061.8</v>
      </c>
      <c r="R26" s="427"/>
      <c r="S26" s="1663">
        <f>ROUND(SUM(S21:S25),1)</f>
        <v>7106.8</v>
      </c>
      <c r="T26" s="427"/>
      <c r="U26" s="1663">
        <f>ROUND(SUM(U21:U25),1)</f>
        <v>11423.9</v>
      </c>
      <c r="V26" s="427"/>
      <c r="W26" s="1663">
        <f>ROUND(SUM(W21:W25),1)</f>
        <v>0</v>
      </c>
      <c r="X26" s="427"/>
      <c r="Y26" s="1663">
        <f>ROUND(SUM(Y21:Y25),1)</f>
        <v>0</v>
      </c>
      <c r="Z26" s="427"/>
      <c r="AA26" s="1762"/>
      <c r="AB26" s="988">
        <f t="shared" si="0"/>
        <v>52325.7</v>
      </c>
      <c r="AC26" s="427"/>
      <c r="AD26" s="970"/>
      <c r="AE26" s="1663">
        <f>ROUND(SUM(AE21:AE25),1)</f>
        <v>46612.6</v>
      </c>
      <c r="AF26" s="427"/>
      <c r="AG26" s="427"/>
      <c r="AH26" s="480">
        <f>ROUND(SUM(AB26-AE26),1)</f>
        <v>5713.1</v>
      </c>
      <c r="AI26" s="1922"/>
      <c r="AJ26" s="2586">
        <f t="shared" si="1"/>
        <v>0.123</v>
      </c>
    </row>
    <row r="27" spans="1:36" ht="16.5" customHeight="1">
      <c r="A27" s="1945" t="s">
        <v>1190</v>
      </c>
      <c r="B27" s="1206"/>
      <c r="C27" s="2464">
        <f>+'Exhibit F'!D25+'Exhibit G'!D18</f>
        <v>0</v>
      </c>
      <c r="D27" s="1095"/>
      <c r="E27" s="2464">
        <f>+'Exhibit F'!F25+'Exhibit G'!F18</f>
        <v>0</v>
      </c>
      <c r="F27" s="1095"/>
      <c r="G27" s="2464">
        <f>+'Exhibit F'!H25+'Exhibit G'!H18</f>
        <v>0</v>
      </c>
      <c r="H27" s="2583"/>
      <c r="I27" s="2464">
        <f>+'Exhibit F'!J25+'Exhibit G'!J18</f>
        <v>0</v>
      </c>
      <c r="J27" s="2583"/>
      <c r="K27" s="2464">
        <f>+'Exhibit F'!L25+'Exhibit G'!L18</f>
        <v>0</v>
      </c>
      <c r="L27" s="2584"/>
      <c r="M27" s="2464">
        <f>+'Exhibit F'!N25+'Exhibit G'!N18</f>
        <v>0</v>
      </c>
      <c r="N27" s="2584"/>
      <c r="O27" s="2464">
        <f>+'Exhibit F'!P25+'Exhibit G'!P18</f>
        <v>0</v>
      </c>
      <c r="P27" s="427"/>
      <c r="Q27" s="2464">
        <f>+'Exhibit F'!R25+'Exhibit G'!R18</f>
        <v>0</v>
      </c>
      <c r="R27" s="427"/>
      <c r="S27" s="2464">
        <f>+'Exhibit F'!T25+'Exhibit G'!T18</f>
        <v>0</v>
      </c>
      <c r="T27" s="427"/>
      <c r="U27" s="2464">
        <f>+'Exhibit F'!V25+'Exhibit G'!V18</f>
        <v>0</v>
      </c>
      <c r="V27" s="427"/>
      <c r="W27" s="2464"/>
      <c r="X27" s="427"/>
      <c r="Y27" s="2464"/>
      <c r="Z27" s="427"/>
      <c r="AA27" s="1762"/>
      <c r="AB27" s="971">
        <f t="shared" si="0"/>
        <v>0</v>
      </c>
      <c r="AC27" s="427"/>
      <c r="AD27" s="970"/>
      <c r="AE27" s="2464">
        <f>+'Exhibit F'!AF25+'Exhibit G'!AH18</f>
        <v>0</v>
      </c>
      <c r="AF27" s="427"/>
      <c r="AG27" s="427"/>
      <c r="AH27" s="1111">
        <f>ROUND(SUM(+AB27-AE27),1)</f>
        <v>0</v>
      </c>
      <c r="AI27" s="1922"/>
      <c r="AJ27" s="2582">
        <f t="shared" si="1"/>
        <v>0</v>
      </c>
    </row>
    <row r="28" spans="1:36" ht="16.5" customHeight="1">
      <c r="A28" s="1945" t="s">
        <v>1191</v>
      </c>
      <c r="B28" s="1206"/>
      <c r="C28" s="1099">
        <f>+'Exhibit F'!D26+'Exhibit H'!B16</f>
        <v>0</v>
      </c>
      <c r="D28" s="1095"/>
      <c r="E28" s="1099">
        <f>+'Exhibit F'!F26+'Exhibit H'!D16</f>
        <v>0</v>
      </c>
      <c r="F28" s="1095"/>
      <c r="G28" s="1099">
        <f>+'Exhibit F'!H26+'Exhibit H'!F16</f>
        <v>0</v>
      </c>
      <c r="H28" s="2583"/>
      <c r="I28" s="1099">
        <f>+'Exhibit F'!J26+'Exhibit H'!H16</f>
        <v>0</v>
      </c>
      <c r="J28" s="2583"/>
      <c r="K28" s="1099">
        <f>+'Exhibit F'!L26+'Exhibit H'!J16</f>
        <v>0</v>
      </c>
      <c r="L28" s="2584"/>
      <c r="M28" s="1099">
        <f>+'Exhibit F'!N26+'Exhibit H'!L16</f>
        <v>0</v>
      </c>
      <c r="N28" s="2584"/>
      <c r="O28" s="1099">
        <f>+'Exhibit F'!P26+'Exhibit H'!N16</f>
        <v>0</v>
      </c>
      <c r="P28" s="427"/>
      <c r="Q28" s="1099">
        <f>+'Exhibit F'!R26+'Exhibit H'!P16</f>
        <v>0</v>
      </c>
      <c r="R28" s="427"/>
      <c r="S28" s="1099">
        <f>+'Exhibit F'!T26+'Exhibit H'!R16</f>
        <v>0</v>
      </c>
      <c r="T28" s="427"/>
      <c r="U28" s="1099">
        <f>+'Exhibit F'!V26+'Exhibit H'!T16</f>
        <v>0</v>
      </c>
      <c r="V28" s="427"/>
      <c r="W28" s="1099"/>
      <c r="X28" s="427"/>
      <c r="Y28" s="1099"/>
      <c r="Z28" s="427"/>
      <c r="AA28" s="1762"/>
      <c r="AB28" s="971">
        <f t="shared" si="0"/>
        <v>0</v>
      </c>
      <c r="AC28" s="427"/>
      <c r="AD28" s="970"/>
      <c r="AE28" s="1099">
        <f>+'Exhibit F'!AF26+'Exhibit H'!AD16</f>
        <v>0</v>
      </c>
      <c r="AF28" s="427"/>
      <c r="AG28" s="427"/>
      <c r="AH28" s="1111">
        <f>ROUND(SUM(+AB28-AE28),1)</f>
        <v>0</v>
      </c>
      <c r="AI28" s="1922"/>
      <c r="AJ28" s="2582">
        <f>ROUND(IF(AE28=0,0,AH28/ABS(AE28)),3)</f>
        <v>0</v>
      </c>
    </row>
    <row r="29" spans="1:36" ht="16.5" customHeight="1">
      <c r="A29" s="1206" t="s">
        <v>1192</v>
      </c>
      <c r="B29" s="1206"/>
      <c r="C29" s="688">
        <f>+'Exhibit F'!D27</f>
        <v>-3447.5</v>
      </c>
      <c r="D29" s="1094"/>
      <c r="E29" s="688">
        <f>+'Exhibit F'!F27</f>
        <v>-1030</v>
      </c>
      <c r="F29" s="1094"/>
      <c r="G29" s="688">
        <f>+'Exhibit F'!H27</f>
        <v>-273.8</v>
      </c>
      <c r="H29" s="971"/>
      <c r="I29" s="688">
        <f>+'Exhibit F'!J27</f>
        <v>-232</v>
      </c>
      <c r="J29" s="971"/>
      <c r="K29" s="688">
        <f>+'Exhibit F'!L27</f>
        <v>-189.8</v>
      </c>
      <c r="L29" s="427"/>
      <c r="M29" s="688">
        <f>+'Exhibit F'!N27</f>
        <v>-280.3</v>
      </c>
      <c r="N29" s="427"/>
      <c r="O29" s="688">
        <f>+'Exhibit F'!P27</f>
        <v>-410.9</v>
      </c>
      <c r="P29" s="427"/>
      <c r="Q29" s="688">
        <f>+'Exhibit F'!R27</f>
        <v>-670.39999999999964</v>
      </c>
      <c r="R29" s="427"/>
      <c r="S29" s="688">
        <f>+'Exhibit F'!T27</f>
        <v>-335</v>
      </c>
      <c r="T29" s="427"/>
      <c r="U29" s="688">
        <f>+'Exhibit F'!V27</f>
        <v>-194.7</v>
      </c>
      <c r="V29" s="427"/>
      <c r="W29" s="688"/>
      <c r="X29" s="427"/>
      <c r="Y29" s="688"/>
      <c r="Z29" s="427"/>
      <c r="AA29" s="1762"/>
      <c r="AB29" s="971">
        <f t="shared" si="0"/>
        <v>-7064.4</v>
      </c>
      <c r="AC29" s="427"/>
      <c r="AD29" s="970"/>
      <c r="AE29" s="688">
        <f>+'Exhibit F'!AF27</f>
        <v>-6139.7</v>
      </c>
      <c r="AF29" s="427"/>
      <c r="AG29" s="427"/>
      <c r="AH29" s="1111">
        <f>-ROUND(SUM(+AB29-AE29),1)</f>
        <v>924.7</v>
      </c>
      <c r="AI29" s="1922"/>
      <c r="AJ29" s="2582">
        <f t="shared" si="1"/>
        <v>0.151</v>
      </c>
    </row>
    <row r="30" spans="1:36" ht="16.5" customHeight="1">
      <c r="A30" s="583" t="s">
        <v>1189</v>
      </c>
      <c r="B30" s="1206"/>
      <c r="C30" s="1663">
        <f>ROUND(SUM(C26)+SUM(C27)+SUM(C28)+SUM(C29),1)</f>
        <v>5001.8</v>
      </c>
      <c r="D30" s="184"/>
      <c r="E30" s="1663">
        <f>ROUND(SUM(E26)+SUM(E27)+SUM(E28)+SUM(E29),1)</f>
        <v>2101.3000000000002</v>
      </c>
      <c r="F30" s="184"/>
      <c r="G30" s="1663">
        <f>ROUND(SUM(G26)+SUM(G27)+SUM(G28)+SUM(G29),1)</f>
        <v>4650.8</v>
      </c>
      <c r="H30" s="427"/>
      <c r="I30" s="1663">
        <f>ROUND(SUM(I26)+SUM(I27)+SUM(I28)+SUM(I29),1)</f>
        <v>2650</v>
      </c>
      <c r="J30" s="427"/>
      <c r="K30" s="1663">
        <f>ROUND(SUM(K26)+SUM(K27)+SUM(K28)+SUM(K29),1)</f>
        <v>3055</v>
      </c>
      <c r="L30" s="427"/>
      <c r="M30" s="1663">
        <f>ROUND(SUM(M26)+SUM(M27)+SUM(M28)+SUM(M29),1)</f>
        <v>4715.8</v>
      </c>
      <c r="N30" s="427"/>
      <c r="O30" s="1663">
        <f>ROUND(SUM(O26)+SUM(O27)+SUM(O28)+SUM(O29),1)</f>
        <v>2694.2</v>
      </c>
      <c r="P30" s="427"/>
      <c r="Q30" s="1663">
        <f>ROUND(SUM(Q26)+SUM(Q27)+SUM(Q28)+SUM(Q29),1)</f>
        <v>2391.4</v>
      </c>
      <c r="R30" s="427"/>
      <c r="S30" s="1663">
        <f>ROUND(SUM(S26)+SUM(S27)+SUM(S28)+SUM(S29),1)</f>
        <v>6771.8</v>
      </c>
      <c r="T30" s="427"/>
      <c r="U30" s="1663">
        <f>ROUND(SUM(U26)+SUM(U27)+SUM(U28)+SUM(U29),1)</f>
        <v>11229.2</v>
      </c>
      <c r="V30" s="427"/>
      <c r="W30" s="1663">
        <f>ROUND(SUM(W26)+SUM(W27)+SUM(W28)+SUM(W29),1)</f>
        <v>0</v>
      </c>
      <c r="X30" s="427"/>
      <c r="Y30" s="1663">
        <f>ROUND(SUM(Y26)+SUM(Y27)+SUM(Y28)+SUM(Y29),1)</f>
        <v>0</v>
      </c>
      <c r="Z30" s="427"/>
      <c r="AA30" s="1762"/>
      <c r="AB30" s="988">
        <f t="shared" si="0"/>
        <v>45261.3</v>
      </c>
      <c r="AC30" s="427"/>
      <c r="AD30" s="970"/>
      <c r="AE30" s="1663">
        <f>ROUND(SUM(AE26)+SUM(AE27)+SUM(AE28)+SUM(AE29),1)</f>
        <v>40472.9</v>
      </c>
      <c r="AF30" s="427"/>
      <c r="AG30" s="427"/>
      <c r="AH30" s="480">
        <f>ROUND(SUM(AH26+AH27+AH28-AH29),1)</f>
        <v>4788.3999999999996</v>
      </c>
      <c r="AI30" s="1740"/>
      <c r="AJ30" s="2586">
        <f t="shared" si="1"/>
        <v>0.11799999999999999</v>
      </c>
    </row>
    <row r="31" spans="1:36" ht="16.5" customHeight="1">
      <c r="A31" s="1907" t="s">
        <v>1244</v>
      </c>
      <c r="B31" s="1211"/>
      <c r="C31" s="1075"/>
      <c r="D31" s="1075"/>
      <c r="E31" s="1075"/>
      <c r="F31" s="1075"/>
      <c r="G31" s="1075"/>
      <c r="H31" s="427"/>
      <c r="I31" s="968"/>
      <c r="J31" s="427"/>
      <c r="K31" s="968"/>
      <c r="L31" s="427"/>
      <c r="M31" s="968"/>
      <c r="N31" s="427"/>
      <c r="O31" s="968"/>
      <c r="P31" s="427"/>
      <c r="Q31" s="968"/>
      <c r="R31" s="427"/>
      <c r="S31" s="968"/>
      <c r="T31" s="427"/>
      <c r="U31" s="968"/>
      <c r="V31" s="427"/>
      <c r="W31" s="968"/>
      <c r="X31" s="427"/>
      <c r="Y31" s="968"/>
      <c r="Z31" s="427"/>
      <c r="AA31" s="1762"/>
      <c r="AB31" s="427"/>
      <c r="AC31" s="427"/>
      <c r="AD31" s="970"/>
      <c r="AE31" s="968"/>
      <c r="AF31" s="427"/>
      <c r="AG31" s="427"/>
      <c r="AH31" s="272"/>
      <c r="AI31" s="1740"/>
      <c r="AJ31" s="1905"/>
    </row>
    <row r="32" spans="1:36" ht="16.5" customHeight="1">
      <c r="A32" s="1206" t="s">
        <v>1195</v>
      </c>
      <c r="B32" s="1211"/>
      <c r="C32" s="688">
        <f>+'Exhibit F'!D30+'Exhibit G'!D21+'Exhibit H'!B19</f>
        <v>1042.9000000000001</v>
      </c>
      <c r="D32" s="1094"/>
      <c r="E32" s="688">
        <f>+'Exhibit F'!F30+'Exhibit G'!F21+'Exhibit H'!D19</f>
        <v>1044</v>
      </c>
      <c r="F32" s="1094"/>
      <c r="G32" s="688">
        <f>+'Exhibit F'!H30+'Exhibit G'!H21+'Exhibit H'!F19</f>
        <v>1447.1</v>
      </c>
      <c r="H32" s="971"/>
      <c r="I32" s="688">
        <f>+'Exhibit F'!J30+'Exhibit G'!J21+'Exhibit H'!H19</f>
        <v>1125.0999999999999</v>
      </c>
      <c r="J32" s="971"/>
      <c r="K32" s="688">
        <f>+'Exhibit F'!L30+'Exhibit G'!L21+'Exhibit H'!J19</f>
        <v>1101.1999999999998</v>
      </c>
      <c r="L32" s="427"/>
      <c r="M32" s="688">
        <f>+'Exhibit F'!N30+'Exhibit G'!N21+'Exhibit H'!L19</f>
        <v>1456.2</v>
      </c>
      <c r="N32" s="427"/>
      <c r="O32" s="688">
        <f>+'Exhibit F'!P30+'Exhibit G'!P21+'Exhibit H'!N19</f>
        <v>1112.9000000000001</v>
      </c>
      <c r="P32" s="427"/>
      <c r="Q32" s="688">
        <f>+'Exhibit F'!R30+'Exhibit G'!R21+'Exhibit H'!P19</f>
        <v>1179.2</v>
      </c>
      <c r="R32" s="427"/>
      <c r="S32" s="688">
        <f>+'Exhibit F'!T30+'Exhibit G'!T21+'Exhibit H'!R19</f>
        <v>1482.8000000000002</v>
      </c>
      <c r="T32" s="427"/>
      <c r="U32" s="688">
        <f>+'Exhibit F'!V30+'Exhibit G'!V21+'Exhibit H'!T19</f>
        <v>1199.0999999999999</v>
      </c>
      <c r="V32" s="427"/>
      <c r="W32" s="688"/>
      <c r="X32" s="427"/>
      <c r="Y32" s="688"/>
      <c r="Z32" s="427"/>
      <c r="AA32" s="1762"/>
      <c r="AB32" s="971">
        <f t="shared" ref="AB32:AB39" si="2">ROUND(SUM(C32:Y32),1)</f>
        <v>12190.5</v>
      </c>
      <c r="AC32" s="427"/>
      <c r="AD32" s="970"/>
      <c r="AE32" s="688">
        <f>+'Exhibit F'!AF30+'Exhibit G'!AH21+'Exhibit H'!AD19</f>
        <v>11666.400000000001</v>
      </c>
      <c r="AF32" s="427"/>
      <c r="AG32" s="427"/>
      <c r="AH32" s="1111">
        <f t="shared" ref="AH32:AH39" si="3">ROUND(SUM(+AB32-AE32),1)</f>
        <v>524.1</v>
      </c>
      <c r="AI32" s="1740"/>
      <c r="AJ32" s="1700">
        <f t="shared" ref="AJ32:AJ40" si="4">ROUND(IF(AE32=0,0,AH32/ABS(AE32)),3)</f>
        <v>4.4999999999999998E-2</v>
      </c>
    </row>
    <row r="33" spans="1:36" ht="16.5" customHeight="1">
      <c r="A33" s="1206" t="s">
        <v>1196</v>
      </c>
      <c r="B33" s="1211"/>
      <c r="C33" s="688">
        <f>+'Exhibit F'!D31+'Exhibit G'!D22+' Exhbit I '!E20</f>
        <v>11.7</v>
      </c>
      <c r="D33" s="1094"/>
      <c r="E33" s="688">
        <f>+'Exhibit F'!F31+'Exhibit G'!F22+' Exhbit I '!G20</f>
        <v>8.8000000000000007</v>
      </c>
      <c r="F33" s="1094"/>
      <c r="G33" s="688">
        <f>+'Exhibit F'!H31+'Exhibit G'!H22+' Exhbit I '!I20</f>
        <v>12.3</v>
      </c>
      <c r="H33" s="971"/>
      <c r="I33" s="688">
        <f>+'Exhibit F'!J31+'Exhibit G'!J22+' Exhbit I '!K20</f>
        <v>13.5</v>
      </c>
      <c r="J33" s="971"/>
      <c r="K33" s="688">
        <f>+'Exhibit F'!L31+'Exhibit G'!L22+' Exhbit I '!M20</f>
        <v>13</v>
      </c>
      <c r="L33" s="427"/>
      <c r="M33" s="688">
        <f>+'Exhibit F'!N31+'Exhibit G'!N22+' Exhbit I '!O20</f>
        <v>12.6</v>
      </c>
      <c r="N33" s="427"/>
      <c r="O33" s="688">
        <f>+'Exhibit F'!P31+'Exhibit G'!P22+' Exhbit I '!Q20</f>
        <v>9.3000000000000007</v>
      </c>
      <c r="P33" s="427"/>
      <c r="Q33" s="688">
        <f>+'Exhibit F'!R31+'Exhibit G'!R22+' Exhbit I '!S20</f>
        <v>9.8000000000000007</v>
      </c>
      <c r="R33" s="427"/>
      <c r="S33" s="688">
        <f>+'Exhibit F'!T31+'Exhibit G'!T22+' Exhbit I '!U20</f>
        <v>7.9</v>
      </c>
      <c r="T33" s="427"/>
      <c r="U33" s="688">
        <f>+'Exhibit F'!V31+'Exhibit G'!V22+' Exhbit I '!W20</f>
        <v>-0.1</v>
      </c>
      <c r="V33" s="427"/>
      <c r="W33" s="688"/>
      <c r="X33" s="427"/>
      <c r="Y33" s="688"/>
      <c r="Z33" s="427"/>
      <c r="AA33" s="1762"/>
      <c r="AB33" s="971">
        <f t="shared" si="2"/>
        <v>98.8</v>
      </c>
      <c r="AC33" s="427"/>
      <c r="AD33" s="970"/>
      <c r="AE33" s="688">
        <f>+'Exhibit F'!AF31+'Exhibit G'!AH22+' Exhbit I '!AI20</f>
        <v>113.6</v>
      </c>
      <c r="AF33" s="427"/>
      <c r="AG33" s="427"/>
      <c r="AH33" s="1111">
        <f t="shared" si="3"/>
        <v>-14.8</v>
      </c>
      <c r="AI33" s="1740"/>
      <c r="AJ33" s="2555">
        <f t="shared" si="4"/>
        <v>-0.13</v>
      </c>
    </row>
    <row r="34" spans="1:36" ht="16.5" customHeight="1">
      <c r="A34" s="1206" t="s">
        <v>1197</v>
      </c>
      <c r="B34" s="1206"/>
      <c r="C34" s="688">
        <f>+'Exhibit F'!D32+'Exhibit G'!D23</f>
        <v>87.699999999999989</v>
      </c>
      <c r="D34" s="1094"/>
      <c r="E34" s="688">
        <f>+'Exhibit F'!F32+'Exhibit G'!F23</f>
        <v>107.8</v>
      </c>
      <c r="F34" s="1094"/>
      <c r="G34" s="688">
        <f>+'Exhibit F'!H32+'Exhibit G'!H23</f>
        <v>105.8</v>
      </c>
      <c r="H34" s="971"/>
      <c r="I34" s="688">
        <f>+'Exhibit F'!J32+'Exhibit G'!J23</f>
        <v>97.800000000000011</v>
      </c>
      <c r="J34" s="971"/>
      <c r="K34" s="688">
        <f>+'Exhibit F'!L32+'Exhibit G'!L23</f>
        <v>118.10000000000001</v>
      </c>
      <c r="L34" s="427"/>
      <c r="M34" s="688">
        <f>+'Exhibit F'!N32+'Exhibit G'!N23</f>
        <v>101.69999999999999</v>
      </c>
      <c r="N34" s="427"/>
      <c r="O34" s="688">
        <f>+'Exhibit F'!P32+'Exhibit G'!P23</f>
        <v>106</v>
      </c>
      <c r="P34" s="427"/>
      <c r="Q34" s="688">
        <f>+'Exhibit F'!R32+'Exhibit G'!R23</f>
        <v>97.500000000000014</v>
      </c>
      <c r="R34" s="427"/>
      <c r="S34" s="688">
        <f>+'Exhibit F'!T32+'Exhibit G'!T23</f>
        <v>95.799999999999969</v>
      </c>
      <c r="T34" s="427"/>
      <c r="U34" s="688">
        <f>+'Exhibit F'!V32+'Exhibit G'!V23</f>
        <v>101.2</v>
      </c>
      <c r="V34" s="427"/>
      <c r="W34" s="688"/>
      <c r="X34" s="427"/>
      <c r="Y34" s="688"/>
      <c r="Z34" s="427"/>
      <c r="AA34" s="1762"/>
      <c r="AB34" s="971">
        <f t="shared" si="2"/>
        <v>1019.4</v>
      </c>
      <c r="AC34" s="427"/>
      <c r="AD34" s="970"/>
      <c r="AE34" s="688">
        <f>+'Exhibit F'!AF32+'Exhibit G'!AH23</f>
        <v>1070.6999999999998</v>
      </c>
      <c r="AF34" s="427"/>
      <c r="AG34" s="427"/>
      <c r="AH34" s="1111">
        <f t="shared" si="3"/>
        <v>-51.3</v>
      </c>
      <c r="AI34" s="1740"/>
      <c r="AJ34" s="1700">
        <f t="shared" si="4"/>
        <v>-4.8000000000000001E-2</v>
      </c>
    </row>
    <row r="35" spans="1:36" ht="16.5" customHeight="1">
      <c r="A35" s="1206" t="s">
        <v>1361</v>
      </c>
      <c r="B35" s="1206"/>
      <c r="C35" s="688">
        <f>'Exhibit G'!D24</f>
        <v>0.1</v>
      </c>
      <c r="D35" s="1094"/>
      <c r="E35" s="688">
        <f>'Exhibit G'!F24</f>
        <v>0.1</v>
      </c>
      <c r="F35" s="1094"/>
      <c r="G35" s="688">
        <f>'Exhibit G'!H24</f>
        <v>0.1</v>
      </c>
      <c r="H35" s="971"/>
      <c r="I35" s="688">
        <f>'Exhibit G'!J24</f>
        <v>0.1</v>
      </c>
      <c r="J35" s="971"/>
      <c r="K35" s="688">
        <f>'Exhibit G'!L24</f>
        <v>0.2</v>
      </c>
      <c r="L35" s="2802"/>
      <c r="M35" s="688">
        <f>'Exhibit G'!N24</f>
        <v>0.1</v>
      </c>
      <c r="N35" s="2802"/>
      <c r="O35" s="688">
        <f>'Exhibit G'!P24</f>
        <v>0.2</v>
      </c>
      <c r="P35" s="2802"/>
      <c r="Q35" s="688">
        <f>'Exhibit G'!R24</f>
        <v>0.2</v>
      </c>
      <c r="R35" s="2802"/>
      <c r="S35" s="688">
        <f>'Exhibit G'!T24</f>
        <v>0.2</v>
      </c>
      <c r="T35" s="2802"/>
      <c r="U35" s="688">
        <f>'Exhibit G'!V24</f>
        <v>0.2</v>
      </c>
      <c r="V35" s="2802"/>
      <c r="W35" s="688"/>
      <c r="X35" s="2802"/>
      <c r="Y35" s="688"/>
      <c r="Z35" s="2802"/>
      <c r="AA35" s="1762"/>
      <c r="AB35" s="971">
        <f t="shared" si="2"/>
        <v>1.5</v>
      </c>
      <c r="AC35" s="2802"/>
      <c r="AD35" s="970"/>
      <c r="AE35" s="688">
        <f>'Exhibit G'!AH24</f>
        <v>0.4</v>
      </c>
      <c r="AF35" s="2802"/>
      <c r="AG35" s="2802"/>
      <c r="AH35" s="2800">
        <f t="shared" ref="AH35" si="5">ROUND(SUM(+AB35-AE35),1)</f>
        <v>1.1000000000000001</v>
      </c>
      <c r="AI35" s="1740"/>
      <c r="AJ35" s="2582">
        <f>ROUND(IF(AE35=0,1,AH35/ABS(AE35)),3)</f>
        <v>2.75</v>
      </c>
    </row>
    <row r="36" spans="1:36" ht="16.5" customHeight="1">
      <c r="A36" s="1206" t="s">
        <v>1198</v>
      </c>
      <c r="B36" s="1206"/>
      <c r="C36" s="688">
        <f>+'Exhibit F'!D33+'Exhibit G'!D25+' Exhbit I '!E21</f>
        <v>41.4</v>
      </c>
      <c r="D36" s="1094"/>
      <c r="E36" s="688">
        <f>+'Exhibit F'!F33+'Exhibit G'!F25+' Exhbit I '!G21</f>
        <v>39.599999999999994</v>
      </c>
      <c r="F36" s="1094"/>
      <c r="G36" s="688">
        <f>+'Exhibit F'!H33+'Exhibit G'!H25+' Exhbit I '!I21</f>
        <v>44.2</v>
      </c>
      <c r="H36" s="971"/>
      <c r="I36" s="688">
        <f>+'Exhibit F'!J33+'Exhibit G'!J25+' Exhbit I '!K21</f>
        <v>44.1</v>
      </c>
      <c r="J36" s="971"/>
      <c r="K36" s="688">
        <f>+'Exhibit F'!L33+'Exhibit G'!L25+' Exhbit I '!M21</f>
        <v>44.7</v>
      </c>
      <c r="L36" s="427"/>
      <c r="M36" s="688">
        <f>+'Exhibit F'!N33+'Exhibit G'!N25+' Exhbit I '!O21</f>
        <v>46.3</v>
      </c>
      <c r="N36" s="427"/>
      <c r="O36" s="688">
        <f>+'Exhibit F'!P33+'Exhibit G'!P25+' Exhbit I '!Q21</f>
        <v>42.6</v>
      </c>
      <c r="P36" s="427"/>
      <c r="Q36" s="688">
        <f>+'Exhibit F'!R33+'Exhibit G'!R25+' Exhbit I '!S21</f>
        <v>42.7</v>
      </c>
      <c r="R36" s="427"/>
      <c r="S36" s="688">
        <f>+'Exhibit F'!T33+'Exhibit G'!T25+' Exhbit I '!U21</f>
        <v>45.8</v>
      </c>
      <c r="T36" s="427"/>
      <c r="U36" s="688">
        <f>+'Exhibit F'!V33+'Exhibit G'!V25+' Exhbit I '!W21</f>
        <v>43.9</v>
      </c>
      <c r="V36" s="427"/>
      <c r="W36" s="688"/>
      <c r="X36" s="427"/>
      <c r="Y36" s="688"/>
      <c r="Z36" s="427"/>
      <c r="AA36" s="1762"/>
      <c r="AB36" s="971">
        <f t="shared" si="2"/>
        <v>435.3</v>
      </c>
      <c r="AC36" s="427"/>
      <c r="AD36" s="970"/>
      <c r="AE36" s="688">
        <f>+'Exhibit F'!AF33+'Exhibit G'!AH25+' Exhbit I '!AI21</f>
        <v>438.2</v>
      </c>
      <c r="AF36" s="427"/>
      <c r="AG36" s="427"/>
      <c r="AH36" s="1111">
        <f t="shared" si="3"/>
        <v>-2.9</v>
      </c>
      <c r="AI36" s="1740"/>
      <c r="AJ36" s="1700">
        <f t="shared" si="4"/>
        <v>-7.0000000000000001E-3</v>
      </c>
    </row>
    <row r="37" spans="1:36" ht="16.5" customHeight="1">
      <c r="A37" s="1206" t="s">
        <v>1199</v>
      </c>
      <c r="B37" s="1206"/>
      <c r="C37" s="688">
        <f>+'Exhibit F'!D34+'Exhibit G'!D26</f>
        <v>21</v>
      </c>
      <c r="D37" s="1094"/>
      <c r="E37" s="688">
        <f>+'Exhibit F'!F34+'Exhibit G'!F26</f>
        <v>19</v>
      </c>
      <c r="F37" s="1094"/>
      <c r="G37" s="688">
        <f>+'Exhibit F'!H34+'Exhibit G'!H26</f>
        <v>23.6</v>
      </c>
      <c r="H37" s="971"/>
      <c r="I37" s="688">
        <f>+'Exhibit F'!J34+'Exhibit G'!J26</f>
        <v>28.9</v>
      </c>
      <c r="J37" s="971"/>
      <c r="K37" s="688">
        <f>+'Exhibit F'!L34+'Exhibit G'!L26</f>
        <v>16.5</v>
      </c>
      <c r="L37" s="427"/>
      <c r="M37" s="688">
        <f>+'Exhibit F'!N34+'Exhibit G'!N26</f>
        <v>24.099999999999994</v>
      </c>
      <c r="N37" s="427"/>
      <c r="O37" s="688">
        <f>+'Exhibit F'!P34+'Exhibit G'!P26</f>
        <v>19.400000000000006</v>
      </c>
      <c r="P37" s="427"/>
      <c r="Q37" s="688">
        <f>+'Exhibit F'!R34+'Exhibit G'!R26</f>
        <v>23.1</v>
      </c>
      <c r="R37" s="427"/>
      <c r="S37" s="688">
        <f>+'Exhibit F'!T34+'Exhibit G'!T26</f>
        <v>21.700000000000017</v>
      </c>
      <c r="T37" s="427"/>
      <c r="U37" s="688">
        <f>+'Exhibit F'!V34+'Exhibit G'!V26</f>
        <v>28.9</v>
      </c>
      <c r="V37" s="427"/>
      <c r="W37" s="688"/>
      <c r="X37" s="427"/>
      <c r="Y37" s="688"/>
      <c r="Z37" s="427"/>
      <c r="AA37" s="1762"/>
      <c r="AB37" s="971">
        <f t="shared" si="2"/>
        <v>226.2</v>
      </c>
      <c r="AC37" s="427"/>
      <c r="AD37" s="970"/>
      <c r="AE37" s="688">
        <f>+'Exhibit F'!AF34+'Exhibit G'!AH26</f>
        <v>227.4</v>
      </c>
      <c r="AF37" s="427"/>
      <c r="AG37" s="427"/>
      <c r="AH37" s="1111">
        <f t="shared" si="3"/>
        <v>-1.2</v>
      </c>
      <c r="AI37" s="1740"/>
      <c r="AJ37" s="1700">
        <f t="shared" si="4"/>
        <v>-5.0000000000000001E-3</v>
      </c>
    </row>
    <row r="38" spans="1:36" ht="16.5" customHeight="1">
      <c r="A38" s="1206" t="s">
        <v>1200</v>
      </c>
      <c r="B38" s="1206"/>
      <c r="C38" s="688">
        <f>+'Exhibit F'!D35+'Exhibit G'!D27+' Exhbit I '!E22</f>
        <v>11.6</v>
      </c>
      <c r="D38" s="1094"/>
      <c r="E38" s="688">
        <f>+'Exhibit F'!F35+'Exhibit G'!F27+' Exhbit I '!G22</f>
        <v>-32.5</v>
      </c>
      <c r="F38" s="1094"/>
      <c r="G38" s="688">
        <f>+'Exhibit F'!H35+'Exhibit G'!H27+' Exhbit I '!I22</f>
        <v>10.899999999999999</v>
      </c>
      <c r="H38" s="971"/>
      <c r="I38" s="688">
        <f>+'Exhibit F'!J35+'Exhibit G'!J27+' Exhbit I '!K22</f>
        <v>12.2</v>
      </c>
      <c r="J38" s="971"/>
      <c r="K38" s="688">
        <f>+'Exhibit F'!L35+'Exhibit G'!L27+' Exhbit I '!M22</f>
        <v>12.1</v>
      </c>
      <c r="L38" s="427"/>
      <c r="M38" s="688">
        <f>+'Exhibit F'!N35+'Exhibit G'!N27+' Exhbit I '!O22</f>
        <v>10</v>
      </c>
      <c r="N38" s="427"/>
      <c r="O38" s="688">
        <f>+'Exhibit F'!P35+'Exhibit G'!P27+' Exhbit I '!Q22</f>
        <v>14.299999999999999</v>
      </c>
      <c r="P38" s="427"/>
      <c r="Q38" s="688">
        <f>+'Exhibit F'!R35+'Exhibit G'!R27+' Exhbit I '!S22</f>
        <v>11.5</v>
      </c>
      <c r="R38" s="427"/>
      <c r="S38" s="688">
        <f>+'Exhibit F'!T35+'Exhibit G'!T27+' Exhbit I '!U22</f>
        <v>10.799999999999999</v>
      </c>
      <c r="T38" s="427"/>
      <c r="U38" s="688">
        <f>+'Exhibit F'!V35+'Exhibit G'!V27+' Exhbit I '!W22</f>
        <v>14.6</v>
      </c>
      <c r="V38" s="427"/>
      <c r="W38" s="688"/>
      <c r="X38" s="427"/>
      <c r="Y38" s="688"/>
      <c r="Z38" s="427"/>
      <c r="AA38" s="1762"/>
      <c r="AB38" s="971">
        <f t="shared" si="2"/>
        <v>75.5</v>
      </c>
      <c r="AC38" s="427"/>
      <c r="AD38" s="970"/>
      <c r="AE38" s="688">
        <f>+'Exhibit F'!AF35+'Exhibit G'!AH27+' Exhbit I '!AI22</f>
        <v>119</v>
      </c>
      <c r="AF38" s="427"/>
      <c r="AG38" s="427"/>
      <c r="AH38" s="1111">
        <f t="shared" si="3"/>
        <v>-43.5</v>
      </c>
      <c r="AI38" s="1740"/>
      <c r="AJ38" s="1700">
        <f t="shared" si="4"/>
        <v>-0.36599999999999999</v>
      </c>
    </row>
    <row r="39" spans="1:36" ht="16.5" customHeight="1">
      <c r="A39" s="1946" t="s">
        <v>1201</v>
      </c>
      <c r="B39" s="1206"/>
      <c r="C39" s="688">
        <f>+'Exhibit F'!D36+'Exhibit G'!D28</f>
        <v>13.4</v>
      </c>
      <c r="D39" s="1094"/>
      <c r="E39" s="688">
        <f>+'Exhibit F'!F36+'Exhibit G'!F28</f>
        <v>0.7</v>
      </c>
      <c r="F39" s="1094"/>
      <c r="G39" s="688">
        <f>+'Exhibit F'!H36+'Exhibit G'!H28</f>
        <v>0.4</v>
      </c>
      <c r="H39" s="971"/>
      <c r="I39" s="688">
        <f>+'Exhibit F'!J36+'Exhibit G'!J28</f>
        <v>13.1</v>
      </c>
      <c r="J39" s="971"/>
      <c r="K39" s="688">
        <f>+'Exhibit F'!L36+'Exhibit G'!L28</f>
        <v>0.5</v>
      </c>
      <c r="L39" s="427"/>
      <c r="M39" s="688">
        <f>+'Exhibit F'!N36+'Exhibit G'!N28</f>
        <v>0.4</v>
      </c>
      <c r="N39" s="427"/>
      <c r="O39" s="688">
        <f>+'Exhibit F'!P36+'Exhibit G'!P28</f>
        <v>11.4</v>
      </c>
      <c r="P39" s="427"/>
      <c r="Q39" s="688">
        <f>+'Exhibit F'!R36+'Exhibit G'!R28</f>
        <v>1.3</v>
      </c>
      <c r="R39" s="427"/>
      <c r="S39" s="688">
        <f>+'Exhibit F'!T36+'Exhibit G'!T28</f>
        <v>0.6</v>
      </c>
      <c r="T39" s="427"/>
      <c r="U39" s="688">
        <f>+'Exhibit F'!V36+'Exhibit G'!V28</f>
        <v>12.8</v>
      </c>
      <c r="V39" s="427"/>
      <c r="W39" s="688"/>
      <c r="X39" s="427"/>
      <c r="Y39" s="688"/>
      <c r="Z39" s="427"/>
      <c r="AA39" s="1762"/>
      <c r="AB39" s="971">
        <f t="shared" si="2"/>
        <v>54.6</v>
      </c>
      <c r="AC39" s="427"/>
      <c r="AD39" s="970"/>
      <c r="AE39" s="688">
        <f>+'Exhibit F'!AF36+'Exhibit G'!AH28</f>
        <v>63.3</v>
      </c>
      <c r="AF39" s="427"/>
      <c r="AG39" s="427"/>
      <c r="AH39" s="1111">
        <f t="shared" si="3"/>
        <v>-8.6999999999999993</v>
      </c>
      <c r="AI39" s="1740"/>
      <c r="AJ39" s="1700">
        <f t="shared" si="4"/>
        <v>-0.13700000000000001</v>
      </c>
    </row>
    <row r="40" spans="1:36" ht="16.5" customHeight="1">
      <c r="A40" s="583" t="s">
        <v>1194</v>
      </c>
      <c r="B40" s="1206"/>
      <c r="C40" s="1663">
        <f>ROUND(SUM(C32:C39),1)</f>
        <v>1229.8</v>
      </c>
      <c r="D40" s="184"/>
      <c r="E40" s="1663">
        <f>ROUND(SUM(E32:E39),1)</f>
        <v>1187.5</v>
      </c>
      <c r="F40" s="184"/>
      <c r="G40" s="1663">
        <f>ROUND(SUM(G32:G39),1)</f>
        <v>1644.4</v>
      </c>
      <c r="H40" s="427"/>
      <c r="I40" s="1663">
        <f>ROUND(SUM(I32:I39),1)</f>
        <v>1334.8</v>
      </c>
      <c r="J40" s="427"/>
      <c r="K40" s="1663">
        <f>ROUND(SUM(K32:K39),1)</f>
        <v>1306.3</v>
      </c>
      <c r="L40" s="427"/>
      <c r="M40" s="1663">
        <f>ROUND(SUM(M32:M39),1)</f>
        <v>1651.4</v>
      </c>
      <c r="N40" s="427"/>
      <c r="O40" s="1663">
        <f>ROUND(SUM(O32:O39),1)</f>
        <v>1316.1</v>
      </c>
      <c r="P40" s="427"/>
      <c r="Q40" s="1663">
        <f>ROUND(SUM(Q32:Q39),1)</f>
        <v>1365.3</v>
      </c>
      <c r="R40" s="427"/>
      <c r="S40" s="1663">
        <f>ROUND(SUM(S32:S39),1)</f>
        <v>1665.6</v>
      </c>
      <c r="T40" s="427"/>
      <c r="U40" s="1663">
        <f>ROUND(SUM(U32:U39),1)</f>
        <v>1400.6</v>
      </c>
      <c r="V40" s="427"/>
      <c r="W40" s="1663">
        <f>ROUND(SUM(W32:W39),1)</f>
        <v>0</v>
      </c>
      <c r="X40" s="427"/>
      <c r="Y40" s="1663">
        <f>ROUND(SUM(Y32:Y39),1)</f>
        <v>0</v>
      </c>
      <c r="Z40" s="427"/>
      <c r="AA40" s="1762"/>
      <c r="AB40" s="1663">
        <f>ROUND(SUM(AB32:AB39),1)</f>
        <v>14101.8</v>
      </c>
      <c r="AC40" s="427"/>
      <c r="AD40" s="970"/>
      <c r="AE40" s="1663">
        <f>ROUND(SUM(AE32:AE39),1)</f>
        <v>13699</v>
      </c>
      <c r="AF40" s="427"/>
      <c r="AG40" s="427"/>
      <c r="AH40" s="480">
        <f>ROUND(SUM(AH32:AH39),1)</f>
        <v>402.8</v>
      </c>
      <c r="AI40" s="272"/>
      <c r="AJ40" s="72">
        <f t="shared" si="4"/>
        <v>2.9000000000000001E-2</v>
      </c>
    </row>
    <row r="41" spans="1:36" ht="16.5" customHeight="1">
      <c r="A41" s="1907" t="s">
        <v>1245</v>
      </c>
      <c r="B41" s="1206"/>
      <c r="C41" s="1075"/>
      <c r="D41" s="1075"/>
      <c r="E41" s="1075"/>
      <c r="F41" s="1075"/>
      <c r="G41" s="1075"/>
      <c r="H41" s="427"/>
      <c r="I41" s="968"/>
      <c r="J41" s="427"/>
      <c r="K41" s="968"/>
      <c r="L41" s="427"/>
      <c r="M41" s="968"/>
      <c r="N41" s="427"/>
      <c r="O41" s="968"/>
      <c r="P41" s="427"/>
      <c r="Q41" s="968"/>
      <c r="R41" s="427"/>
      <c r="S41" s="968"/>
      <c r="T41" s="427"/>
      <c r="U41" s="968"/>
      <c r="V41" s="427"/>
      <c r="W41" s="968"/>
      <c r="X41" s="427"/>
      <c r="Y41" s="968"/>
      <c r="Z41" s="427"/>
      <c r="AA41" s="1762"/>
      <c r="AB41" s="427"/>
      <c r="AC41" s="427"/>
      <c r="AD41" s="970"/>
      <c r="AE41" s="968"/>
      <c r="AF41" s="427"/>
      <c r="AG41" s="427"/>
      <c r="AH41" s="272"/>
      <c r="AI41" s="272"/>
      <c r="AJ41" s="1905"/>
    </row>
    <row r="42" spans="1:36" ht="16.5" customHeight="1">
      <c r="A42" s="1206" t="s">
        <v>1203</v>
      </c>
      <c r="B42" s="1206"/>
      <c r="C42" s="688">
        <f>+'Exhibit F'!D39+'Exhibit G'!D31+' Exhbit I '!E25</f>
        <v>430.09999999999997</v>
      </c>
      <c r="D42" s="1094"/>
      <c r="E42" s="688">
        <f>+'Exhibit F'!F39+'Exhibit G'!F31+' Exhbit I '!G25</f>
        <v>118</v>
      </c>
      <c r="F42" s="1094"/>
      <c r="G42" s="688">
        <f>+'Exhibit F'!H39+'Exhibit G'!H31+' Exhbit I '!I25</f>
        <v>495.59999999999997</v>
      </c>
      <c r="H42" s="971"/>
      <c r="I42" s="688">
        <f>+'Exhibit F'!J39+'Exhibit G'!J31+' Exhbit I '!K25</f>
        <v>60.6</v>
      </c>
      <c r="J42" s="971"/>
      <c r="K42" s="688">
        <f>+'Exhibit F'!L39+'Exhibit G'!L31+' Exhbit I '!M25</f>
        <v>130.6</v>
      </c>
      <c r="L42" s="427"/>
      <c r="M42" s="688">
        <f>+'Exhibit F'!N39+'Exhibit G'!N31+' Exhbit I '!O25</f>
        <v>498.79999999999995</v>
      </c>
      <c r="N42" s="427"/>
      <c r="O42" s="688">
        <f>+'Exhibit F'!P39+'Exhibit G'!P31+' Exhbit I '!Q25</f>
        <v>-32.399999999999956</v>
      </c>
      <c r="P42" s="427"/>
      <c r="Q42" s="688">
        <f>+'Exhibit F'!R39+'Exhibit G'!R31+' Exhbit I '!S25</f>
        <v>51.7</v>
      </c>
      <c r="R42" s="427"/>
      <c r="S42" s="688">
        <f>+'Exhibit F'!T39+'Exhibit G'!T31+' Exhbit I '!U25</f>
        <v>777.1</v>
      </c>
      <c r="T42" s="427"/>
      <c r="U42" s="688">
        <f>+'Exhibit F'!V39+'Exhibit G'!V31+' Exhbit I '!W25</f>
        <v>-125.7</v>
      </c>
      <c r="V42" s="427"/>
      <c r="W42" s="688"/>
      <c r="X42" s="427"/>
      <c r="Y42" s="688"/>
      <c r="Z42" s="427"/>
      <c r="AA42" s="1762"/>
      <c r="AB42" s="971">
        <f>ROUND(SUM(C42:Y42),1)</f>
        <v>2404.4</v>
      </c>
      <c r="AC42" s="427"/>
      <c r="AD42" s="970"/>
      <c r="AE42" s="688">
        <f>+'Exhibit F'!AF39+'Exhibit G'!AH31+' Exhbit I '!AI25</f>
        <v>2629.6</v>
      </c>
      <c r="AF42" s="427"/>
      <c r="AG42" s="427"/>
      <c r="AH42" s="1111">
        <f>ROUND(SUM(+AB42-AE42),1)</f>
        <v>-225.2</v>
      </c>
      <c r="AI42" s="272"/>
      <c r="AJ42" s="1700">
        <f t="shared" ref="AJ42:AJ47" si="6">ROUND(IF(AE42=0,0,AH42/ABS(AE42)),3)</f>
        <v>-8.5999999999999993E-2</v>
      </c>
    </row>
    <row r="43" spans="1:36" ht="16.5" customHeight="1">
      <c r="A43" s="1206" t="s">
        <v>1204</v>
      </c>
      <c r="B43" s="1206"/>
      <c r="C43" s="688">
        <f>+'Exhibit F'!D40+'Exhibit G'!D32+' Exhbit I '!E26</f>
        <v>40.6</v>
      </c>
      <c r="D43" s="1094"/>
      <c r="E43" s="688">
        <f>+'Exhibit F'!F40+'Exhibit G'!F32+' Exhbit I '!G26</f>
        <v>36.200000000000003</v>
      </c>
      <c r="F43" s="1094"/>
      <c r="G43" s="688">
        <f>+'Exhibit F'!H40+'Exhibit G'!H32+' Exhbit I '!I26</f>
        <v>119.9</v>
      </c>
      <c r="H43" s="971"/>
      <c r="I43" s="688">
        <f>+'Exhibit F'!J40+'Exhibit G'!J32+' Exhbit I '!K26</f>
        <v>10.600000000000001</v>
      </c>
      <c r="J43" s="971"/>
      <c r="K43" s="688">
        <f>+'Exhibit F'!L40+'Exhibit G'!L32+' Exhbit I '!M26</f>
        <v>3.7999999999999945</v>
      </c>
      <c r="L43" s="427"/>
      <c r="M43" s="688">
        <f>+'Exhibit F'!N40+'Exhibit G'!N32+' Exhbit I '!O26</f>
        <v>124.10000000000004</v>
      </c>
      <c r="N43" s="427"/>
      <c r="O43" s="688">
        <f>+'Exhibit F'!P40+'Exhibit G'!P32+' Exhbit I '!Q26</f>
        <v>1.2999999999999545</v>
      </c>
      <c r="P43" s="427"/>
      <c r="Q43" s="688">
        <f>+'Exhibit F'!R40+'Exhibit G'!R32+' Exhbit I '!S26</f>
        <v>1</v>
      </c>
      <c r="R43" s="427"/>
      <c r="S43" s="688">
        <f>+'Exhibit F'!T40+'Exhibit G'!T32+' Exhbit I '!U26</f>
        <v>121.70000000000003</v>
      </c>
      <c r="T43" s="427"/>
      <c r="U43" s="688">
        <f>+'Exhibit F'!V40+'Exhibit G'!V32+' Exhbit I '!W26</f>
        <v>21.400000000000002</v>
      </c>
      <c r="V43" s="427"/>
      <c r="W43" s="688"/>
      <c r="X43" s="427"/>
      <c r="Y43" s="688"/>
      <c r="Z43" s="427"/>
      <c r="AA43" s="1762"/>
      <c r="AB43" s="971">
        <f>ROUND(SUM(C43:Y43),1)</f>
        <v>480.6</v>
      </c>
      <c r="AC43" s="427"/>
      <c r="AD43" s="970"/>
      <c r="AE43" s="688">
        <f>+'Exhibit F'!AF40+'Exhibit G'!AH32+' Exhbit I '!AI26</f>
        <v>493</v>
      </c>
      <c r="AF43" s="427"/>
      <c r="AG43" s="427"/>
      <c r="AH43" s="1111">
        <f>ROUND(SUM(+AB43-AE43),1)</f>
        <v>-12.4</v>
      </c>
      <c r="AI43" s="272"/>
      <c r="AJ43" s="1700">
        <f t="shared" si="6"/>
        <v>-2.5000000000000001E-2</v>
      </c>
    </row>
    <row r="44" spans="1:36" ht="16.5" customHeight="1">
      <c r="A44" s="1206" t="s">
        <v>1205</v>
      </c>
      <c r="B44" s="1206"/>
      <c r="C44" s="688">
        <f>+'Exhibit F'!D41+'Exhibit G'!D33</f>
        <v>45.5</v>
      </c>
      <c r="D44" s="1094"/>
      <c r="E44" s="688">
        <f>+'Exhibit F'!F41+'Exhibit G'!F33</f>
        <v>15.5</v>
      </c>
      <c r="F44" s="1094"/>
      <c r="G44" s="688">
        <f>+'Exhibit F'!H41+'Exhibit G'!H33</f>
        <v>321.3</v>
      </c>
      <c r="H44" s="971"/>
      <c r="I44" s="688">
        <f>+'Exhibit F'!J41+'Exhibit G'!J33</f>
        <v>7.2</v>
      </c>
      <c r="J44" s="971"/>
      <c r="K44" s="688">
        <f>+'Exhibit F'!L41+'Exhibit G'!L33</f>
        <v>24.399999999999967</v>
      </c>
      <c r="L44" s="427"/>
      <c r="M44" s="688">
        <f>+'Exhibit F'!N41+'Exhibit G'!N33</f>
        <v>340.49999999999994</v>
      </c>
      <c r="N44" s="427"/>
      <c r="O44" s="688">
        <f>+'Exhibit F'!P41+'Exhibit G'!P33</f>
        <v>8.5000000000000675</v>
      </c>
      <c r="P44" s="427"/>
      <c r="Q44" s="688">
        <f>+'Exhibit F'!R41+'Exhibit G'!R33</f>
        <v>5.1000000000000227</v>
      </c>
      <c r="R44" s="427"/>
      <c r="S44" s="688">
        <f>+'Exhibit F'!T41+'Exhibit G'!T33</f>
        <v>319.39999999999992</v>
      </c>
      <c r="T44" s="427"/>
      <c r="U44" s="688">
        <f>+'Exhibit F'!V41+'Exhibit G'!V33</f>
        <v>22.7</v>
      </c>
      <c r="V44" s="427"/>
      <c r="W44" s="688"/>
      <c r="X44" s="427"/>
      <c r="Y44" s="688"/>
      <c r="Z44" s="427"/>
      <c r="AA44" s="1762"/>
      <c r="AB44" s="971">
        <f>ROUND(SUM(C44:Y44),1)</f>
        <v>1110.0999999999999</v>
      </c>
      <c r="AC44" s="427"/>
      <c r="AD44" s="970"/>
      <c r="AE44" s="688">
        <f>+'Exhibit F'!AF41+'Exhibit G'!AH33</f>
        <v>1009.8000000000001</v>
      </c>
      <c r="AF44" s="427"/>
      <c r="AG44" s="427"/>
      <c r="AH44" s="1111">
        <f>ROUND(SUM(+AB44-AE44),1)</f>
        <v>100.3</v>
      </c>
      <c r="AI44" s="272"/>
      <c r="AJ44" s="1700">
        <f t="shared" si="6"/>
        <v>9.9000000000000005E-2</v>
      </c>
    </row>
    <row r="45" spans="1:36" ht="16.5" customHeight="1">
      <c r="A45" s="1206" t="s">
        <v>1206</v>
      </c>
      <c r="B45" s="1206"/>
      <c r="C45" s="688">
        <f>+'Exhibit F'!D42+'Exhibit G'!D34</f>
        <v>4.3</v>
      </c>
      <c r="D45" s="1094"/>
      <c r="E45" s="688">
        <f>+'Exhibit F'!F42+'Exhibit G'!F34</f>
        <v>-7.4</v>
      </c>
      <c r="F45" s="1094"/>
      <c r="G45" s="688">
        <f>+'Exhibit F'!H42+'Exhibit G'!H34</f>
        <v>-0.9</v>
      </c>
      <c r="H45" s="971"/>
      <c r="I45" s="688">
        <f>+'Exhibit F'!J42+'Exhibit G'!J34</f>
        <v>6.9</v>
      </c>
      <c r="J45" s="971"/>
      <c r="K45" s="688">
        <f>+'Exhibit F'!L42+'Exhibit G'!L34</f>
        <v>275.10000000000002</v>
      </c>
      <c r="L45" s="427"/>
      <c r="M45" s="688">
        <f>+'Exhibit F'!N42+'Exhibit G'!N34</f>
        <v>-10.400000000000011</v>
      </c>
      <c r="N45" s="427"/>
      <c r="O45" s="688">
        <f>+'Exhibit F'!P42+'Exhibit G'!P34</f>
        <v>0.99999999999999434</v>
      </c>
      <c r="P45" s="427"/>
      <c r="Q45" s="688">
        <f>+'Exhibit F'!R42+'Exhibit G'!R34</f>
        <v>0</v>
      </c>
      <c r="R45" s="427"/>
      <c r="S45" s="688">
        <f>+'Exhibit F'!T42+'Exhibit G'!T34</f>
        <v>159.6</v>
      </c>
      <c r="T45" s="427"/>
      <c r="U45" s="688">
        <f>+'Exhibit F'!V42+'Exhibit G'!V34</f>
        <v>4.5</v>
      </c>
      <c r="V45" s="427"/>
      <c r="W45" s="688"/>
      <c r="X45" s="427"/>
      <c r="Y45" s="688"/>
      <c r="Z45" s="427"/>
      <c r="AA45" s="1762"/>
      <c r="AB45" s="971">
        <f>ROUND(SUM(C45:Y45),1)</f>
        <v>432.7</v>
      </c>
      <c r="AC45" s="427"/>
      <c r="AD45" s="970"/>
      <c r="AE45" s="688">
        <f>+'Exhibit F'!AF42+'Exhibit G'!AH34</f>
        <v>367.90000000000003</v>
      </c>
      <c r="AF45" s="427"/>
      <c r="AG45" s="427"/>
      <c r="AH45" s="1111">
        <f>ROUND(SUM(+AB45-AE45),1)</f>
        <v>64.8</v>
      </c>
      <c r="AI45" s="272"/>
      <c r="AJ45" s="2555">
        <f t="shared" si="6"/>
        <v>0.17599999999999999</v>
      </c>
    </row>
    <row r="46" spans="1:36" ht="16.5" customHeight="1">
      <c r="A46" s="1206" t="s">
        <v>1207</v>
      </c>
      <c r="B46" s="1206"/>
      <c r="C46" s="688">
        <f>+'Exhibit F'!D43+'Exhibit G'!D35+' Exhbit I '!E27</f>
        <v>82.699999999999989</v>
      </c>
      <c r="D46" s="1094"/>
      <c r="E46" s="688">
        <f>+'Exhibit F'!F43+'Exhibit G'!F35+' Exhbit I '!G27</f>
        <v>82.300000000000011</v>
      </c>
      <c r="F46" s="1094"/>
      <c r="G46" s="688">
        <f>+'Exhibit F'!H43+'Exhibit G'!H35+' Exhbit I '!I27</f>
        <v>95.300000000000011</v>
      </c>
      <c r="H46" s="971"/>
      <c r="I46" s="688">
        <f>+'Exhibit F'!J43+'Exhibit G'!J35+' Exhbit I '!K27</f>
        <v>99.5</v>
      </c>
      <c r="J46" s="971"/>
      <c r="K46" s="688">
        <f>+'Exhibit F'!L43+'Exhibit G'!L35+' Exhbit I '!M27</f>
        <v>90.5</v>
      </c>
      <c r="L46" s="427"/>
      <c r="M46" s="688">
        <f>+'Exhibit F'!N43+'Exhibit G'!N35+' Exhbit I '!O27</f>
        <v>99.4</v>
      </c>
      <c r="N46" s="427"/>
      <c r="O46" s="688">
        <f>+'Exhibit F'!P43+'Exhibit G'!P35+' Exhbit I '!Q27</f>
        <v>91.3</v>
      </c>
      <c r="P46" s="427"/>
      <c r="Q46" s="688">
        <f>+'Exhibit F'!R43+'Exhibit G'!R35+' Exhbit I '!S27</f>
        <v>92.7</v>
      </c>
      <c r="R46" s="427"/>
      <c r="S46" s="688">
        <f>+'Exhibit F'!T43+'Exhibit G'!T35+' Exhbit I '!U27</f>
        <v>91.2</v>
      </c>
      <c r="T46" s="427"/>
      <c r="U46" s="688">
        <f>+'Exhibit F'!V43+'Exhibit G'!V35+' Exhbit I '!W27</f>
        <v>92.5</v>
      </c>
      <c r="V46" s="427"/>
      <c r="W46" s="688"/>
      <c r="X46" s="427"/>
      <c r="Y46" s="688"/>
      <c r="Z46" s="427"/>
      <c r="AA46" s="1762"/>
      <c r="AB46" s="971">
        <f>ROUND(SUM(C46:Y46),1)</f>
        <v>917.4</v>
      </c>
      <c r="AC46" s="427"/>
      <c r="AD46" s="970"/>
      <c r="AE46" s="688">
        <f>+'Exhibit F'!AF43+'Exhibit G'!AH35+' Exhbit I '!AI27</f>
        <v>952.5</v>
      </c>
      <c r="AF46" s="427"/>
      <c r="AG46" s="427"/>
      <c r="AH46" s="1111">
        <f>ROUND(SUM(+AB46-AE46),1)</f>
        <v>-35.1</v>
      </c>
      <c r="AI46" s="272"/>
      <c r="AJ46" s="1700">
        <f t="shared" si="6"/>
        <v>-3.6999999999999998E-2</v>
      </c>
    </row>
    <row r="47" spans="1:36" ht="16.5" customHeight="1">
      <c r="A47" s="583" t="s">
        <v>1202</v>
      </c>
      <c r="B47" s="1206"/>
      <c r="C47" s="1663">
        <f>ROUND(SUM(C42:C46),1)</f>
        <v>603.20000000000005</v>
      </c>
      <c r="D47" s="184"/>
      <c r="E47" s="1663">
        <f>ROUND(SUM(E42:E46),1)</f>
        <v>244.6</v>
      </c>
      <c r="F47" s="184"/>
      <c r="G47" s="1663">
        <f>ROUND(SUM(G42:G46),1)</f>
        <v>1031.2</v>
      </c>
      <c r="H47" s="427"/>
      <c r="I47" s="1663">
        <f>ROUND(SUM(I42:I46),1)</f>
        <v>184.8</v>
      </c>
      <c r="J47" s="427"/>
      <c r="K47" s="1663">
        <f>ROUND(SUM(K42:K46),1)</f>
        <v>524.4</v>
      </c>
      <c r="L47" s="427"/>
      <c r="M47" s="1663">
        <f>ROUND(SUM(M42:M46),1)</f>
        <v>1052.4000000000001</v>
      </c>
      <c r="N47" s="427"/>
      <c r="O47" s="1663">
        <f>ROUND(SUM(O42:O46),1)</f>
        <v>69.7</v>
      </c>
      <c r="P47" s="427"/>
      <c r="Q47" s="1663">
        <f>ROUND(SUM(Q42:Q46),1)</f>
        <v>150.5</v>
      </c>
      <c r="R47" s="427"/>
      <c r="S47" s="1663">
        <f>ROUND(SUM(S42:S46),1)</f>
        <v>1469</v>
      </c>
      <c r="T47" s="427"/>
      <c r="U47" s="1663">
        <f>ROUND(SUM(U42:U46),1)</f>
        <v>15.4</v>
      </c>
      <c r="V47" s="427"/>
      <c r="W47" s="1663">
        <f>ROUND(SUM(W42:W46),1)</f>
        <v>0</v>
      </c>
      <c r="X47" s="427"/>
      <c r="Y47" s="1663">
        <f>ROUND(SUM(Y42:Y46),1)</f>
        <v>0</v>
      </c>
      <c r="Z47" s="427"/>
      <c r="AA47" s="1762"/>
      <c r="AB47" s="1663">
        <f>ROUND(SUM(AB42:AB46),1)</f>
        <v>5345.2</v>
      </c>
      <c r="AC47" s="427"/>
      <c r="AD47" s="970"/>
      <c r="AE47" s="1663">
        <f>ROUND(SUM(AE42:AE46),1)</f>
        <v>5452.8</v>
      </c>
      <c r="AF47" s="427"/>
      <c r="AG47" s="427"/>
      <c r="AH47" s="1663">
        <f>ROUND(SUM(AH42:AH46),1)</f>
        <v>-107.6</v>
      </c>
      <c r="AI47" s="272"/>
      <c r="AJ47" s="72">
        <f t="shared" si="6"/>
        <v>-0.02</v>
      </c>
    </row>
    <row r="48" spans="1:36" ht="16.5" customHeight="1">
      <c r="A48" s="1907" t="s">
        <v>1246</v>
      </c>
      <c r="B48" s="1206"/>
      <c r="C48" s="1075"/>
      <c r="D48" s="1075"/>
      <c r="E48" s="1075"/>
      <c r="F48" s="1075"/>
      <c r="G48" s="1075"/>
      <c r="H48" s="427"/>
      <c r="I48" s="968"/>
      <c r="J48" s="427"/>
      <c r="K48" s="968"/>
      <c r="L48" s="427"/>
      <c r="M48" s="968"/>
      <c r="N48" s="427"/>
      <c r="O48" s="968"/>
      <c r="P48" s="427"/>
      <c r="Q48" s="968"/>
      <c r="R48" s="427"/>
      <c r="S48" s="968"/>
      <c r="T48" s="427"/>
      <c r="U48" s="968"/>
      <c r="V48" s="427"/>
      <c r="W48" s="968"/>
      <c r="X48" s="427"/>
      <c r="Y48" s="968"/>
      <c r="Z48" s="427"/>
      <c r="AA48" s="1762"/>
      <c r="AB48" s="427"/>
      <c r="AC48" s="427"/>
      <c r="AD48" s="970"/>
      <c r="AE48" s="968"/>
      <c r="AF48" s="427"/>
      <c r="AG48" s="427"/>
      <c r="AH48" s="272"/>
      <c r="AI48" s="272"/>
      <c r="AJ48" s="1905"/>
    </row>
    <row r="49" spans="1:36" ht="16.5" customHeight="1">
      <c r="A49" s="1206" t="s">
        <v>1210</v>
      </c>
      <c r="B49" s="1206"/>
      <c r="C49" s="1142">
        <v>0</v>
      </c>
      <c r="D49" s="1094"/>
      <c r="E49" s="2463">
        <f>'Exhibit F'!F46</f>
        <v>0</v>
      </c>
      <c r="F49" s="1094"/>
      <c r="G49" s="2463">
        <f>'Exhibit F'!H46</f>
        <v>0</v>
      </c>
      <c r="H49" s="971"/>
      <c r="I49" s="2463">
        <f>'Exhibit F'!J46</f>
        <v>0</v>
      </c>
      <c r="J49" s="971"/>
      <c r="K49" s="2463">
        <f>'Exhibit F'!L46</f>
        <v>0</v>
      </c>
      <c r="L49" s="427"/>
      <c r="M49" s="2463">
        <f>'Exhibit F'!N46</f>
        <v>0</v>
      </c>
      <c r="N49" s="427"/>
      <c r="O49" s="2463">
        <f>'Exhibit F'!P46</f>
        <v>0</v>
      </c>
      <c r="P49" s="427"/>
      <c r="Q49" s="2463">
        <f>'Exhibit F'!R46</f>
        <v>0</v>
      </c>
      <c r="R49" s="427"/>
      <c r="S49" s="2463">
        <f>'Exhibit F'!T46</f>
        <v>0</v>
      </c>
      <c r="T49" s="427"/>
      <c r="U49" s="2463">
        <f>'Exhibit F'!V46</f>
        <v>0</v>
      </c>
      <c r="V49" s="427"/>
      <c r="W49" s="2463"/>
      <c r="X49" s="427"/>
      <c r="Y49" s="2463"/>
      <c r="Z49" s="427"/>
      <c r="AA49" s="1762"/>
      <c r="AB49" s="971">
        <f t="shared" ref="AB49:AB54" si="7">ROUND(SUM(C49:Y49),1)</f>
        <v>0</v>
      </c>
      <c r="AC49" s="427"/>
      <c r="AD49" s="970"/>
      <c r="AE49" s="2463">
        <f>+'Exhibit F'!AF46</f>
        <v>0.1</v>
      </c>
      <c r="AF49" s="2584"/>
      <c r="AG49" s="2584"/>
      <c r="AH49" s="2587">
        <f t="shared" ref="AH49:AH54" si="8">ROUND(SUM(+AB49-AE49),1)</f>
        <v>-0.1</v>
      </c>
      <c r="AI49" s="2588"/>
      <c r="AJ49" s="2582">
        <f>ROUND(IF(AE49=0,0,AH49/ABS(AE49)),3)</f>
        <v>-1</v>
      </c>
    </row>
    <row r="50" spans="1:36" ht="16.5" customHeight="1">
      <c r="A50" s="1206" t="s">
        <v>1211</v>
      </c>
      <c r="B50" s="1206"/>
      <c r="C50" s="688">
        <f>+'Exhibit F'!D47</f>
        <v>89.7</v>
      </c>
      <c r="D50" s="1094"/>
      <c r="E50" s="688">
        <f>+'Exhibit F'!F47</f>
        <v>112.7</v>
      </c>
      <c r="F50" s="1094"/>
      <c r="G50" s="688">
        <f>+'Exhibit F'!H47</f>
        <v>102</v>
      </c>
      <c r="H50" s="971"/>
      <c r="I50" s="688">
        <f>+'Exhibit F'!J47</f>
        <v>64.400000000000006</v>
      </c>
      <c r="J50" s="971"/>
      <c r="K50" s="688">
        <f>+'Exhibit F'!L47</f>
        <v>83.199999999999989</v>
      </c>
      <c r="L50" s="971"/>
      <c r="M50" s="688">
        <f>+'Exhibit F'!N47</f>
        <v>211.70000000000005</v>
      </c>
      <c r="N50" s="427"/>
      <c r="O50" s="688">
        <f>+'Exhibit F'!P47</f>
        <v>75.599999999999994</v>
      </c>
      <c r="P50" s="427"/>
      <c r="Q50" s="688">
        <f>+'Exhibit F'!R47</f>
        <v>70.600000000000023</v>
      </c>
      <c r="R50" s="427"/>
      <c r="S50" s="688">
        <f>+'Exhibit F'!T47</f>
        <v>152.89999999999998</v>
      </c>
      <c r="T50" s="427"/>
      <c r="U50" s="688">
        <f>+'Exhibit F'!V47</f>
        <v>173.5</v>
      </c>
      <c r="V50" s="427"/>
      <c r="W50" s="688"/>
      <c r="X50" s="427"/>
      <c r="Y50" s="688"/>
      <c r="Z50" s="427"/>
      <c r="AA50" s="1762"/>
      <c r="AB50" s="971">
        <f t="shared" si="7"/>
        <v>1136.3</v>
      </c>
      <c r="AC50" s="427"/>
      <c r="AD50" s="970"/>
      <c r="AE50" s="688">
        <f>+'Exhibit F'!AF47</f>
        <v>949.3</v>
      </c>
      <c r="AF50" s="427"/>
      <c r="AG50" s="427"/>
      <c r="AH50" s="1111">
        <f t="shared" si="8"/>
        <v>187</v>
      </c>
      <c r="AI50" s="272"/>
      <c r="AJ50" s="1700">
        <f t="shared" ref="AJ50:AJ55" si="9">ROUND(IF(AE50=0,0,AH50/ABS(AE50)),3)</f>
        <v>0.19700000000000001</v>
      </c>
    </row>
    <row r="51" spans="1:36" ht="16.5" customHeight="1">
      <c r="A51" s="1206" t="s">
        <v>1212</v>
      </c>
      <c r="B51" s="1206"/>
      <c r="C51" s="688">
        <f>+'Exhibit F'!D48</f>
        <v>0.8</v>
      </c>
      <c r="D51" s="1094"/>
      <c r="E51" s="688">
        <f>+'Exhibit F'!F48</f>
        <v>1.2</v>
      </c>
      <c r="F51" s="1094"/>
      <c r="G51" s="688">
        <f>+'Exhibit F'!H48</f>
        <v>1.5</v>
      </c>
      <c r="H51" s="971"/>
      <c r="I51" s="688">
        <f>+'Exhibit F'!J48</f>
        <v>1.4</v>
      </c>
      <c r="J51" s="971"/>
      <c r="K51" s="688">
        <f>+'Exhibit F'!L48</f>
        <v>2.2999999999999998</v>
      </c>
      <c r="L51" s="971"/>
      <c r="M51" s="688">
        <f>+'Exhibit F'!N48</f>
        <v>2.2000000000000002</v>
      </c>
      <c r="N51" s="427"/>
      <c r="O51" s="688">
        <f>+'Exhibit F'!P48</f>
        <v>1.2</v>
      </c>
      <c r="P51" s="427"/>
      <c r="Q51" s="688">
        <f>+'Exhibit F'!R48</f>
        <v>1.0999999999999996</v>
      </c>
      <c r="R51" s="427"/>
      <c r="S51" s="688">
        <f>+'Exhibit F'!T48</f>
        <v>1.1000000000000014</v>
      </c>
      <c r="T51" s="427"/>
      <c r="U51" s="688">
        <f>+'Exhibit F'!V48</f>
        <v>0.7</v>
      </c>
      <c r="V51" s="427"/>
      <c r="W51" s="688"/>
      <c r="X51" s="427"/>
      <c r="Y51" s="688"/>
      <c r="Z51" s="427"/>
      <c r="AA51" s="1762"/>
      <c r="AB51" s="971">
        <f t="shared" si="7"/>
        <v>13.5</v>
      </c>
      <c r="AC51" s="427"/>
      <c r="AD51" s="970"/>
      <c r="AE51" s="688">
        <f>+'Exhibit F'!AF48</f>
        <v>13.6</v>
      </c>
      <c r="AF51" s="427"/>
      <c r="AG51" s="427"/>
      <c r="AH51" s="1111">
        <f t="shared" si="8"/>
        <v>-0.1</v>
      </c>
      <c r="AI51" s="272"/>
      <c r="AJ51" s="1700">
        <f t="shared" si="9"/>
        <v>-7.0000000000000001E-3</v>
      </c>
    </row>
    <row r="52" spans="1:36" ht="16.5" customHeight="1">
      <c r="A52" s="1206" t="s">
        <v>1213</v>
      </c>
      <c r="B52" s="1206"/>
      <c r="C52" s="688">
        <f>+'Exhibit F'!D49+'Exhibit H'!B22+' Exhbit I '!E30</f>
        <v>94.8</v>
      </c>
      <c r="D52" s="1094"/>
      <c r="E52" s="688">
        <f>+'Exhibit F'!F49+'Exhibit H'!D22+' Exhbit I '!G30</f>
        <v>94.7</v>
      </c>
      <c r="F52" s="1094"/>
      <c r="G52" s="688">
        <f>+'Exhibit F'!H49+'Exhibit H'!F22+' Exhbit I '!I30</f>
        <v>101.50000000000003</v>
      </c>
      <c r="H52" s="971"/>
      <c r="I52" s="688">
        <f>+'Exhibit F'!J49+'Exhibit H'!H22+' Exhbit I '!K30</f>
        <v>96.300000000000011</v>
      </c>
      <c r="J52" s="971"/>
      <c r="K52" s="688">
        <f>+'Exhibit F'!L49+'Exhibit H'!J22+' Exhbit I '!M30</f>
        <v>109.5</v>
      </c>
      <c r="L52" s="971"/>
      <c r="M52" s="688">
        <f>+'Exhibit F'!N49+'Exhibit H'!L22+' Exhbit I '!O30</f>
        <v>110.30000000000001</v>
      </c>
      <c r="N52" s="427"/>
      <c r="O52" s="688">
        <f>+'Exhibit F'!P49+'Exhibit H'!N22+' Exhbit I '!Q30</f>
        <v>81.900000000000006</v>
      </c>
      <c r="P52" s="427"/>
      <c r="Q52" s="688">
        <f>+'Exhibit F'!R49+'Exhibit H'!P22+' Exhbit I '!S30</f>
        <v>97</v>
      </c>
      <c r="R52" s="427"/>
      <c r="S52" s="688">
        <f>+'Exhibit F'!T49+'Exhibit H'!R22+' Exhbit I '!U30</f>
        <v>79</v>
      </c>
      <c r="T52" s="427"/>
      <c r="U52" s="688">
        <f>+'Exhibit F'!V49+'Exhibit H'!T22+' Exhbit I '!W30</f>
        <v>94.9</v>
      </c>
      <c r="V52" s="427"/>
      <c r="W52" s="688"/>
      <c r="X52" s="427"/>
      <c r="Y52" s="688"/>
      <c r="Z52" s="427"/>
      <c r="AA52" s="1762"/>
      <c r="AB52" s="971">
        <f t="shared" si="7"/>
        <v>959.9</v>
      </c>
      <c r="AC52" s="427"/>
      <c r="AD52" s="970"/>
      <c r="AE52" s="688">
        <f>+'Exhibit F'!AF49+'Exhibit H'!AD22+' Exhbit I '!AI30</f>
        <v>959.59999999999991</v>
      </c>
      <c r="AF52" s="427"/>
      <c r="AG52" s="427"/>
      <c r="AH52" s="1111">
        <f t="shared" si="8"/>
        <v>0.3</v>
      </c>
      <c r="AI52" s="272"/>
      <c r="AJ52" s="1700">
        <f t="shared" si="9"/>
        <v>0</v>
      </c>
    </row>
    <row r="53" spans="1:36" ht="16.5" customHeight="1">
      <c r="A53" s="1206" t="s">
        <v>1214</v>
      </c>
      <c r="B53" s="1206"/>
      <c r="C53" s="688">
        <f>+'Exhibit F'!D50</f>
        <v>0.4</v>
      </c>
      <c r="D53" s="1094"/>
      <c r="E53" s="688">
        <f>+'Exhibit F'!F50</f>
        <v>0.1</v>
      </c>
      <c r="F53" s="1094"/>
      <c r="G53" s="688">
        <f>+'Exhibit F'!H50</f>
        <v>0</v>
      </c>
      <c r="H53" s="971"/>
      <c r="I53" s="688">
        <f>+'Exhibit F'!J50</f>
        <v>0.2</v>
      </c>
      <c r="J53" s="971"/>
      <c r="K53" s="688">
        <f>+'Exhibit F'!L50</f>
        <v>0.5</v>
      </c>
      <c r="L53" s="971"/>
      <c r="M53" s="688">
        <f>+'Exhibit F'!N50</f>
        <v>0</v>
      </c>
      <c r="N53" s="427"/>
      <c r="O53" s="688">
        <f>+'Exhibit F'!P50</f>
        <v>0.3</v>
      </c>
      <c r="P53" s="427"/>
      <c r="Q53" s="688">
        <f>+'Exhibit F'!R50</f>
        <v>0.70000000000000018</v>
      </c>
      <c r="R53" s="427"/>
      <c r="S53" s="688">
        <f>+'Exhibit F'!T50</f>
        <v>0.1</v>
      </c>
      <c r="T53" s="427"/>
      <c r="U53" s="688">
        <f>+'Exhibit F'!V50</f>
        <v>0.1</v>
      </c>
      <c r="V53" s="427"/>
      <c r="W53" s="688"/>
      <c r="X53" s="427"/>
      <c r="Y53" s="688"/>
      <c r="Z53" s="427"/>
      <c r="AA53" s="1762"/>
      <c r="AB53" s="971">
        <f t="shared" si="7"/>
        <v>2.4</v>
      </c>
      <c r="AC53" s="427"/>
      <c r="AD53" s="970"/>
      <c r="AE53" s="688">
        <f>+'Exhibit F'!AF50</f>
        <v>2.5</v>
      </c>
      <c r="AF53" s="427"/>
      <c r="AG53" s="427"/>
      <c r="AH53" s="1111">
        <f t="shared" si="8"/>
        <v>-0.1</v>
      </c>
      <c r="AI53" s="272"/>
      <c r="AJ53" s="2582">
        <f>ROUND(IF(AE53=0,1,AH53/ABS(AE53)),3)</f>
        <v>-0.04</v>
      </c>
    </row>
    <row r="54" spans="1:36" ht="16.5" customHeight="1">
      <c r="A54" s="1946" t="s">
        <v>1215</v>
      </c>
      <c r="B54" s="1206"/>
      <c r="C54" s="688">
        <f>+'Exhibit F'!D51+'Exhibit G'!D38</f>
        <v>120.2</v>
      </c>
      <c r="D54" s="1094"/>
      <c r="E54" s="688">
        <f>+'Exhibit F'!F51+'Exhibit G'!F38</f>
        <v>106.9</v>
      </c>
      <c r="F54" s="1094"/>
      <c r="G54" s="688">
        <f>+'Exhibit F'!H51+'Exhibit G'!H38</f>
        <v>106.2</v>
      </c>
      <c r="H54" s="971"/>
      <c r="I54" s="688">
        <f>+'Exhibit F'!J51+'Exhibit G'!J38</f>
        <v>98.2</v>
      </c>
      <c r="J54" s="971"/>
      <c r="K54" s="688">
        <f>+'Exhibit F'!L51+'Exhibit G'!L38</f>
        <v>105.7</v>
      </c>
      <c r="L54" s="427"/>
      <c r="M54" s="688">
        <f>+'Exhibit F'!N51+'Exhibit G'!N38</f>
        <v>99.3</v>
      </c>
      <c r="N54" s="427"/>
      <c r="O54" s="688">
        <f>+'Exhibit F'!P51+'Exhibit G'!P38</f>
        <v>118</v>
      </c>
      <c r="P54" s="427"/>
      <c r="Q54" s="688">
        <f>+'Exhibit F'!R51+'Exhibit G'!R38</f>
        <v>90.6</v>
      </c>
      <c r="R54" s="427"/>
      <c r="S54" s="688">
        <f>+'Exhibit F'!T51+'Exhibit G'!T38</f>
        <v>117.5</v>
      </c>
      <c r="T54" s="427"/>
      <c r="U54" s="688">
        <f>+'Exhibit F'!V51+'Exhibit G'!V38</f>
        <v>203.6</v>
      </c>
      <c r="V54" s="427"/>
      <c r="W54" s="688"/>
      <c r="X54" s="427"/>
      <c r="Y54" s="688"/>
      <c r="Z54" s="427"/>
      <c r="AA54" s="1762"/>
      <c r="AB54" s="971">
        <f t="shared" si="7"/>
        <v>1166.2</v>
      </c>
      <c r="AC54" s="427"/>
      <c r="AD54" s="970"/>
      <c r="AE54" s="688">
        <f>+'Exhibit F'!AF51+'Exhibit G'!AH38</f>
        <v>1105.0999999999999</v>
      </c>
      <c r="AF54" s="427"/>
      <c r="AG54" s="427"/>
      <c r="AH54" s="1111">
        <f t="shared" si="8"/>
        <v>61.1</v>
      </c>
      <c r="AI54" s="272"/>
      <c r="AJ54" s="1700">
        <f t="shared" si="9"/>
        <v>5.5E-2</v>
      </c>
    </row>
    <row r="55" spans="1:36" ht="16.5" customHeight="1">
      <c r="A55" s="583" t="s">
        <v>1208</v>
      </c>
      <c r="B55" s="1206"/>
      <c r="C55" s="1663">
        <f>ROUND(SUM(C49:C54),1)</f>
        <v>305.89999999999998</v>
      </c>
      <c r="D55" s="184"/>
      <c r="E55" s="1663">
        <f>ROUND(SUM(E49:E54),1)</f>
        <v>315.60000000000002</v>
      </c>
      <c r="F55" s="184"/>
      <c r="G55" s="1663">
        <f>ROUND(SUM(G49:G54),1)</f>
        <v>311.2</v>
      </c>
      <c r="H55" s="427"/>
      <c r="I55" s="1663">
        <f>ROUND(SUM(I49:I54),1)</f>
        <v>260.5</v>
      </c>
      <c r="J55" s="427"/>
      <c r="K55" s="1663">
        <f>ROUND(SUM(K49:K54),1)</f>
        <v>301.2</v>
      </c>
      <c r="L55" s="427"/>
      <c r="M55" s="1663">
        <f>ROUND(SUM(M49:M54),1)</f>
        <v>423.5</v>
      </c>
      <c r="N55" s="427"/>
      <c r="O55" s="1663">
        <f>ROUND(SUM(O49:O54),1)</f>
        <v>277</v>
      </c>
      <c r="P55" s="427"/>
      <c r="Q55" s="1663">
        <f>ROUND(SUM(Q49:Q54),1)</f>
        <v>260</v>
      </c>
      <c r="R55" s="427"/>
      <c r="S55" s="1663">
        <f>ROUND(SUM(S49:S54),1)</f>
        <v>350.6</v>
      </c>
      <c r="T55" s="427"/>
      <c r="U55" s="1663">
        <f>ROUND(SUM(U49:U54),1)</f>
        <v>472.8</v>
      </c>
      <c r="V55" s="427"/>
      <c r="W55" s="1663">
        <f>ROUND(SUM(W49:W54),1)</f>
        <v>0</v>
      </c>
      <c r="X55" s="427"/>
      <c r="Y55" s="1663">
        <f>ROUND(SUM(Y49:Y54),1)</f>
        <v>0</v>
      </c>
      <c r="Z55" s="427"/>
      <c r="AA55" s="1762"/>
      <c r="AB55" s="1663">
        <f>ROUND(SUM(AB49:AB54),1)</f>
        <v>3278.3</v>
      </c>
      <c r="AC55" s="427"/>
      <c r="AD55" s="970"/>
      <c r="AE55" s="1663">
        <f>ROUND(SUM(AE49:AE54),1)</f>
        <v>3030.2</v>
      </c>
      <c r="AF55" s="427"/>
      <c r="AG55" s="427"/>
      <c r="AH55" s="1663">
        <f>ROUND(SUM(AH49:AH54),1)</f>
        <v>248.1</v>
      </c>
      <c r="AI55" s="272"/>
      <c r="AJ55" s="72">
        <f t="shared" si="9"/>
        <v>8.2000000000000003E-2</v>
      </c>
    </row>
    <row r="56" spans="1:36" ht="16.5" customHeight="1">
      <c r="A56" s="583"/>
      <c r="B56" s="1206"/>
      <c r="C56" s="186"/>
      <c r="D56" s="186"/>
      <c r="E56" s="186"/>
      <c r="F56" s="186"/>
      <c r="G56" s="186"/>
      <c r="H56" s="1942"/>
      <c r="I56" s="2170"/>
      <c r="J56" s="1942"/>
      <c r="K56" s="2170"/>
      <c r="L56" s="1942"/>
      <c r="M56" s="2170"/>
      <c r="N56" s="1942"/>
      <c r="O56" s="2170"/>
      <c r="P56" s="1942"/>
      <c r="Q56" s="2170"/>
      <c r="R56" s="1942"/>
      <c r="S56" s="2170"/>
      <c r="T56" s="1942"/>
      <c r="U56" s="2170"/>
      <c r="V56" s="1942"/>
      <c r="W56" s="2170"/>
      <c r="X56" s="1942"/>
      <c r="Y56" s="2170"/>
      <c r="Z56" s="427"/>
      <c r="AA56" s="969"/>
      <c r="AB56" s="1942"/>
      <c r="AC56" s="427"/>
      <c r="AD56" s="970"/>
      <c r="AE56" s="1942"/>
      <c r="AF56" s="427"/>
      <c r="AG56" s="427"/>
      <c r="AH56" s="1203"/>
      <c r="AI56" s="427"/>
      <c r="AJ56" s="1203"/>
    </row>
    <row r="57" spans="1:36" ht="16.5" customHeight="1">
      <c r="A57" s="583" t="s">
        <v>1209</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4357</v>
      </c>
      <c r="P57" s="260"/>
      <c r="Q57" s="195">
        <f>ROUND(SUM(Q55+Q47+Q40+Q30),1)</f>
        <v>4167.2</v>
      </c>
      <c r="R57" s="260"/>
      <c r="S57" s="195">
        <f>ROUND(SUM(S55+S47+S40+S30),1)</f>
        <v>10257</v>
      </c>
      <c r="T57" s="260"/>
      <c r="U57" s="195">
        <f>ROUND(SUM(U55+U47+U40+U30),1)</f>
        <v>13118</v>
      </c>
      <c r="V57" s="260"/>
      <c r="W57" s="195">
        <f>ROUND(SUM(W55+W47+W40+W30),1)</f>
        <v>0</v>
      </c>
      <c r="X57" s="365"/>
      <c r="Y57" s="195">
        <f>ROUND(SUM(Y55+Y47+Y40+Y30),1)</f>
        <v>0</v>
      </c>
      <c r="Z57" s="365"/>
      <c r="AA57" s="237"/>
      <c r="AB57" s="610">
        <f>ROUND(+AB55+AB47+AB40+AB30,1)</f>
        <v>67986.600000000006</v>
      </c>
      <c r="AC57" s="260"/>
      <c r="AD57" s="249"/>
      <c r="AE57" s="610">
        <f>ROUND(+AE55+AE47+AE40+AE30,1)</f>
        <v>62654.9</v>
      </c>
      <c r="AF57" s="248"/>
      <c r="AG57" s="1222"/>
      <c r="AH57" s="610">
        <f>ROUND(+AH55+AH47+AH40+AH30,1)</f>
        <v>5331.7</v>
      </c>
      <c r="AI57" s="1740"/>
      <c r="AJ57" s="1793">
        <f>ROUND(IF(AE57=0,0,AH57/ABS(AE57)),3)</f>
        <v>8.5000000000000006E-2</v>
      </c>
    </row>
    <row r="58" spans="1:36" ht="16.5" customHeight="1">
      <c r="A58" s="427"/>
      <c r="B58" s="427"/>
      <c r="C58" s="971"/>
      <c r="D58" s="971"/>
      <c r="E58" s="971"/>
      <c r="F58" s="971"/>
      <c r="G58" s="971"/>
      <c r="H58" s="971"/>
      <c r="I58" s="971"/>
      <c r="J58" s="971"/>
      <c r="K58" s="971"/>
      <c r="L58" s="971"/>
      <c r="M58" s="971"/>
      <c r="N58" s="971"/>
      <c r="O58" s="186"/>
      <c r="P58" s="971"/>
      <c r="Q58" s="971"/>
      <c r="R58" s="971"/>
      <c r="S58" s="971"/>
      <c r="T58" s="971"/>
      <c r="U58" s="971"/>
      <c r="V58" s="971"/>
      <c r="X58" s="971"/>
      <c r="Y58" s="971"/>
      <c r="Z58" s="971"/>
      <c r="AA58" s="972"/>
      <c r="AB58" s="971"/>
      <c r="AC58" s="971"/>
      <c r="AD58" s="973"/>
      <c r="AE58" s="971"/>
      <c r="AF58" s="971"/>
      <c r="AG58" s="971"/>
      <c r="AH58" s="971"/>
      <c r="AI58" s="427"/>
      <c r="AJ58" s="1764"/>
    </row>
    <row r="59" spans="1:36" ht="16.5" customHeight="1">
      <c r="A59" s="486" t="s">
        <v>1128</v>
      </c>
      <c r="B59" s="166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71"/>
      <c r="AG59" s="971"/>
      <c r="AH59" s="971"/>
      <c r="AI59" s="427"/>
      <c r="AJ59" s="1764"/>
    </row>
    <row r="60" spans="1:36" ht="16.5" customHeight="1">
      <c r="A60" s="1669" t="s">
        <v>1237</v>
      </c>
      <c r="B60" s="166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71"/>
      <c r="AG60" s="971"/>
      <c r="AH60" s="971"/>
      <c r="AI60" s="427"/>
      <c r="AJ60" s="1764"/>
    </row>
    <row r="61" spans="1:36" ht="16.5" customHeight="1">
      <c r="A61" s="1669" t="s">
        <v>1387</v>
      </c>
      <c r="B61" s="1669"/>
      <c r="C61" s="971">
        <f>+'Exhibit F'!D58+'Exhibit G'!D45</f>
        <v>0.7</v>
      </c>
      <c r="D61" s="971"/>
      <c r="E61" s="971">
        <f>+'Exhibit F'!F58+'Exhibit G'!F45</f>
        <v>0.9</v>
      </c>
      <c r="F61" s="971"/>
      <c r="G61" s="971">
        <f>+'Exhibit F'!H58+'Exhibit G'!H45</f>
        <v>1.2000000000000002</v>
      </c>
      <c r="H61" s="971"/>
      <c r="I61" s="971">
        <f>+'Exhibit F'!J58+'Exhibit G'!J45</f>
        <v>1.1000000000000001</v>
      </c>
      <c r="J61" s="971"/>
      <c r="K61" s="971">
        <f>+'Exhibit F'!L58+'Exhibit G'!L45</f>
        <v>1.7000000000000002</v>
      </c>
      <c r="L61" s="971"/>
      <c r="M61" s="971">
        <f>+'Exhibit F'!N58+'Exhibit G'!N45</f>
        <v>65.3</v>
      </c>
      <c r="N61" s="971"/>
      <c r="O61" s="971">
        <f>+'Exhibit F'!P58+'Exhibit G'!P45</f>
        <v>6.3000000000000007</v>
      </c>
      <c r="P61" s="971"/>
      <c r="Q61" s="971">
        <f>+'Exhibit F'!R58+'Exhibit G'!R45</f>
        <v>171.5</v>
      </c>
      <c r="R61" s="971"/>
      <c r="S61" s="971">
        <f>+'Exhibit F'!T58+'Exhibit G'!T45</f>
        <v>22.099999999999984</v>
      </c>
      <c r="T61" s="971"/>
      <c r="U61" s="971">
        <f>+'Exhibit F'!V58+'Exhibit G'!V45</f>
        <v>25.3</v>
      </c>
      <c r="V61" s="971"/>
      <c r="W61" s="971"/>
      <c r="X61" s="971"/>
      <c r="Y61" s="971"/>
      <c r="Z61" s="971"/>
      <c r="AA61" s="972"/>
      <c r="AB61" s="971">
        <f t="shared" ref="AB61:AB100" si="10">ROUND(SUM(C61:Y61),1)</f>
        <v>296.10000000000002</v>
      </c>
      <c r="AC61" s="971"/>
      <c r="AD61" s="973"/>
      <c r="AE61" s="971">
        <f>+'Exhibit F'!AF58+'Exhibit G'!AH45</f>
        <v>284.2</v>
      </c>
      <c r="AF61" s="971"/>
      <c r="AG61" s="971"/>
      <c r="AH61" s="971">
        <f t="shared" ref="AH61:AH100" si="11">ROUND(SUM(AB61-AE61),1)</f>
        <v>11.9</v>
      </c>
      <c r="AI61" s="427"/>
      <c r="AJ61" s="1700">
        <f>ROUND(IF(AE61=0,0,AH61/ABS(AE61)),3)</f>
        <v>4.2000000000000003E-2</v>
      </c>
    </row>
    <row r="62" spans="1:36" ht="16.5" customHeight="1">
      <c r="A62" s="1669" t="s">
        <v>1388</v>
      </c>
      <c r="B62" s="1669"/>
      <c r="C62" s="971">
        <f>+'Exhibit F'!D59+' Exhbit I '!E37</f>
        <v>0.3</v>
      </c>
      <c r="D62" s="971"/>
      <c r="E62" s="971">
        <f>+'Exhibit F'!F59+' Exhbit I '!G37</f>
        <v>0.5</v>
      </c>
      <c r="F62" s="971"/>
      <c r="G62" s="971">
        <f>+'Exhibit F'!H59+' Exhbit I '!I37</f>
        <v>32.700000000000003</v>
      </c>
      <c r="H62" s="971"/>
      <c r="I62" s="971">
        <f>+'Exhibit F'!J59+' Exhbit I '!K37</f>
        <v>0.6</v>
      </c>
      <c r="J62" s="971"/>
      <c r="K62" s="971">
        <f>+'Exhibit F'!L59+' Exhbit I '!M37</f>
        <v>0.2</v>
      </c>
      <c r="L62" s="971"/>
      <c r="M62" s="971">
        <f>+'Exhibit F'!N59+' Exhbit I '!O37</f>
        <v>36.200000000000003</v>
      </c>
      <c r="N62" s="971"/>
      <c r="O62" s="971">
        <f>+'Exhibit F'!P59+' Exhbit I '!Q37</f>
        <v>1.2</v>
      </c>
      <c r="P62" s="971"/>
      <c r="Q62" s="971">
        <f>+'Exhibit F'!R59+' Exhbit I '!S37</f>
        <v>0.2</v>
      </c>
      <c r="R62" s="971"/>
      <c r="S62" s="971">
        <f>+'Exhibit F'!T59+' Exhbit I '!U37</f>
        <v>20.100000000000001</v>
      </c>
      <c r="T62" s="971"/>
      <c r="U62" s="971">
        <f>+'Exhibit F'!V59+' Exhbit I '!W37</f>
        <v>0.7</v>
      </c>
      <c r="V62" s="971"/>
      <c r="W62" s="971"/>
      <c r="X62" s="971"/>
      <c r="Y62" s="971"/>
      <c r="Z62" s="971"/>
      <c r="AA62" s="972"/>
      <c r="AB62" s="971">
        <f t="shared" si="10"/>
        <v>92.7</v>
      </c>
      <c r="AC62" s="971"/>
      <c r="AD62" s="973"/>
      <c r="AE62" s="971">
        <f>+'Exhibit F'!AF59+' Exhbit I '!AI37</f>
        <v>89</v>
      </c>
      <c r="AF62" s="971"/>
      <c r="AG62" s="971"/>
      <c r="AH62" s="971">
        <f t="shared" si="11"/>
        <v>3.7</v>
      </c>
      <c r="AI62" s="427"/>
      <c r="AJ62" s="1700">
        <f>ROUND(IF(AE62=0,0,AH62/ABS(AE62)),3)</f>
        <v>4.2000000000000003E-2</v>
      </c>
    </row>
    <row r="63" spans="1:36" ht="16.5" customHeight="1">
      <c r="A63" s="1669" t="s">
        <v>1238</v>
      </c>
      <c r="B63" s="1669"/>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71"/>
      <c r="AG63" s="971"/>
      <c r="AH63" s="971"/>
      <c r="AI63" s="427"/>
      <c r="AJ63" s="1700"/>
    </row>
    <row r="64" spans="1:36" ht="16.5" customHeight="1">
      <c r="A64" s="1669" t="s">
        <v>1410</v>
      </c>
      <c r="B64" s="1669"/>
      <c r="C64" s="971">
        <f>+'Exhibit F'!D61+'Exhibit G'!D47+' Exhbit I '!E39</f>
        <v>33.6</v>
      </c>
      <c r="D64" s="971"/>
      <c r="E64" s="971">
        <f>+'Exhibit F'!F61+'Exhibit G'!F47+' Exhbit I '!G39</f>
        <v>72.800000000000011</v>
      </c>
      <c r="F64" s="971"/>
      <c r="G64" s="971">
        <f>+'Exhibit F'!H61+'Exhibit G'!H47+' Exhbit I '!I39</f>
        <v>94.2</v>
      </c>
      <c r="H64" s="971"/>
      <c r="I64" s="971">
        <f>+'Exhibit F'!J61+'Exhibit G'!J47+' Exhbit I '!K39</f>
        <v>25.9</v>
      </c>
      <c r="J64" s="971"/>
      <c r="K64" s="971">
        <f>+'Exhibit F'!L61+'Exhibit G'!L47+' Exhbit I '!M39</f>
        <v>70.900000000000006</v>
      </c>
      <c r="L64" s="971"/>
      <c r="M64" s="971">
        <f>+'Exhibit F'!N61+'Exhibit G'!N47+' Exhbit I '!O39</f>
        <v>118.89999999999999</v>
      </c>
      <c r="N64" s="971"/>
      <c r="O64" s="971">
        <f>+'Exhibit F'!P61+'Exhibit G'!P47+' Exhbit I '!Q39</f>
        <v>19.700000000000003</v>
      </c>
      <c r="P64" s="971"/>
      <c r="Q64" s="971">
        <f>+'Exhibit F'!R61+'Exhibit G'!R47+' Exhbit I '!S39</f>
        <v>21.5</v>
      </c>
      <c r="R64" s="971"/>
      <c r="S64" s="971">
        <f>+'Exhibit F'!T61+'Exhibit G'!T47+' Exhbit I '!U39</f>
        <v>193.4</v>
      </c>
      <c r="T64" s="971"/>
      <c r="U64" s="971">
        <f>+'Exhibit F'!V61+'Exhibit G'!V47+' Exhbit I '!W39</f>
        <v>60.3</v>
      </c>
      <c r="V64" s="971"/>
      <c r="W64" s="971"/>
      <c r="X64" s="971"/>
      <c r="Y64" s="971"/>
      <c r="Z64" s="971"/>
      <c r="AA64" s="972"/>
      <c r="AB64" s="971">
        <f t="shared" si="10"/>
        <v>711.2</v>
      </c>
      <c r="AC64" s="971"/>
      <c r="AD64" s="973"/>
      <c r="AE64" s="971">
        <f>+'Exhibit F'!AF61+'Exhibit G'!AH47+' Exhbit I '!AI39</f>
        <v>875.7</v>
      </c>
      <c r="AF64" s="971"/>
      <c r="AG64" s="971"/>
      <c r="AH64" s="971">
        <f t="shared" si="11"/>
        <v>-164.5</v>
      </c>
      <c r="AI64" s="427"/>
      <c r="AJ64" s="1700">
        <f>ROUND(IF(AE64=0,0,AH64/ABS(AE64)),3)</f>
        <v>-0.188</v>
      </c>
    </row>
    <row r="65" spans="1:36" ht="16.5" customHeight="1">
      <c r="A65" s="1669" t="s">
        <v>1390</v>
      </c>
      <c r="B65" s="1669"/>
      <c r="C65" s="971">
        <f>+'Exhibit F'!D62+'Exhibit G'!D48</f>
        <v>462.2</v>
      </c>
      <c r="D65" s="971"/>
      <c r="E65" s="971">
        <f>+'Exhibit F'!F62+'Exhibit G'!F48</f>
        <v>460.4</v>
      </c>
      <c r="F65" s="971"/>
      <c r="G65" s="971">
        <f>+'Exhibit F'!H62+'Exhibit G'!H48</f>
        <v>457.40000000000003</v>
      </c>
      <c r="H65" s="971"/>
      <c r="I65" s="971">
        <f>+'Exhibit F'!J62+'Exhibit G'!J48</f>
        <v>541.80000000000007</v>
      </c>
      <c r="J65" s="971"/>
      <c r="K65" s="971">
        <f>+'Exhibit F'!L62+'Exhibit G'!L48</f>
        <v>503.90000000000003</v>
      </c>
      <c r="L65" s="971"/>
      <c r="M65" s="971">
        <f>+'Exhibit F'!N62+'Exhibit G'!N48</f>
        <v>475.5</v>
      </c>
      <c r="N65" s="971"/>
      <c r="O65" s="971">
        <f>+'Exhibit F'!P62+'Exhibit G'!P48</f>
        <v>509.5</v>
      </c>
      <c r="P65" s="971"/>
      <c r="Q65" s="971">
        <f>+'Exhibit F'!R62+'Exhibit G'!R48</f>
        <v>471.2</v>
      </c>
      <c r="R65" s="971"/>
      <c r="S65" s="971">
        <f>+'Exhibit F'!T62+'Exhibit G'!T48</f>
        <v>533.70000000000005</v>
      </c>
      <c r="T65" s="971"/>
      <c r="U65" s="971">
        <f>+'Exhibit F'!V62+'Exhibit G'!V48</f>
        <v>491.3</v>
      </c>
      <c r="V65" s="971"/>
      <c r="W65" s="971"/>
      <c r="X65" s="971"/>
      <c r="Y65" s="971"/>
      <c r="Z65" s="971"/>
      <c r="AA65" s="972"/>
      <c r="AB65" s="971">
        <f t="shared" si="10"/>
        <v>4906.8999999999996</v>
      </c>
      <c r="AC65" s="971"/>
      <c r="AD65" s="973"/>
      <c r="AE65" s="971">
        <f>+'Exhibit F'!AF62+'Exhibit G'!AH48+'Exhibit H'!AD29</f>
        <v>4636.2</v>
      </c>
      <c r="AF65" s="971"/>
      <c r="AG65" s="971"/>
      <c r="AH65" s="971">
        <f t="shared" si="11"/>
        <v>270.7</v>
      </c>
      <c r="AI65" s="427"/>
      <c r="AJ65" s="1700">
        <f>ROUND(IF(AE65=0,0,AH65/ABS(AE65)),3)</f>
        <v>5.8000000000000003E-2</v>
      </c>
    </row>
    <row r="66" spans="1:36" ht="16.5" customHeight="1">
      <c r="A66" s="1669" t="s">
        <v>1391</v>
      </c>
      <c r="B66" s="1669"/>
      <c r="C66" s="971">
        <f>+'Exhibit F'!D63+'Exhibit G'!D49</f>
        <v>1.4</v>
      </c>
      <c r="D66" s="971"/>
      <c r="E66" s="971">
        <f>+'Exhibit F'!F63+'Exhibit G'!F49</f>
        <v>0</v>
      </c>
      <c r="F66" s="971"/>
      <c r="G66" s="971">
        <f>+'Exhibit F'!H63+'Exhibit G'!H49</f>
        <v>0.7</v>
      </c>
      <c r="H66" s="971"/>
      <c r="I66" s="971">
        <f>+'Exhibit F'!J63+'Exhibit G'!J49</f>
        <v>0.1</v>
      </c>
      <c r="J66" s="971"/>
      <c r="K66" s="971">
        <f>+'Exhibit F'!L63+'Exhibit G'!L49</f>
        <v>0.4</v>
      </c>
      <c r="L66" s="971"/>
      <c r="M66" s="971">
        <f>+'Exhibit F'!N63+'Exhibit G'!N49</f>
        <v>45.9</v>
      </c>
      <c r="N66" s="971"/>
      <c r="O66" s="971">
        <f>+'Exhibit F'!P63+'Exhibit G'!P49</f>
        <v>-9.6</v>
      </c>
      <c r="P66" s="971"/>
      <c r="Q66" s="971">
        <f>+'Exhibit F'!R63+'Exhibit G'!R49</f>
        <v>0.3</v>
      </c>
      <c r="R66" s="971"/>
      <c r="S66" s="971">
        <f>+'Exhibit F'!T63+'Exhibit G'!T49</f>
        <v>0.6</v>
      </c>
      <c r="T66" s="971"/>
      <c r="U66" s="971">
        <f>+'Exhibit F'!V63+'Exhibit G'!V49</f>
        <v>0</v>
      </c>
      <c r="V66" s="971"/>
      <c r="W66" s="971"/>
      <c r="X66" s="971"/>
      <c r="Y66" s="971"/>
      <c r="Z66" s="971"/>
      <c r="AA66" s="972"/>
      <c r="AB66" s="971">
        <f t="shared" si="10"/>
        <v>39.799999999999997</v>
      </c>
      <c r="AC66" s="971"/>
      <c r="AD66" s="973"/>
      <c r="AE66" s="971">
        <f>+'Exhibit F'!AF63+'Exhibit G'!AH49</f>
        <v>92.7</v>
      </c>
      <c r="AF66" s="971"/>
      <c r="AG66" s="971"/>
      <c r="AH66" s="971">
        <f t="shared" si="11"/>
        <v>-52.9</v>
      </c>
      <c r="AI66" s="427"/>
      <c r="AJ66" s="1700">
        <f>ROUND(IF(AE66=0,0,AH66/ABS(AE66)),3)</f>
        <v>-0.57099999999999995</v>
      </c>
    </row>
    <row r="67" spans="1:36" ht="16.5" customHeight="1">
      <c r="A67" s="1669" t="s">
        <v>1392</v>
      </c>
      <c r="B67" s="1669"/>
      <c r="C67" s="971">
        <f>+'Exhibit F'!D64+'Exhibit G'!D50</f>
        <v>0.9</v>
      </c>
      <c r="D67" s="971"/>
      <c r="E67" s="971">
        <f>+'Exhibit F'!F64+'Exhibit G'!F50</f>
        <v>-0.1</v>
      </c>
      <c r="F67" s="971"/>
      <c r="G67" s="971">
        <f>+'Exhibit F'!H64+'Exhibit G'!H50</f>
        <v>1.3</v>
      </c>
      <c r="H67" s="971"/>
      <c r="I67" s="971">
        <f>+'Exhibit F'!J64+'Exhibit G'!J50</f>
        <v>5.7</v>
      </c>
      <c r="J67" s="971"/>
      <c r="K67" s="971">
        <f>+'Exhibit F'!L64+'Exhibit G'!L50</f>
        <v>0</v>
      </c>
      <c r="L67" s="971"/>
      <c r="M67" s="971">
        <f>+'Exhibit F'!N64+'Exhibit G'!N50</f>
        <v>0.30000000000000004</v>
      </c>
      <c r="N67" s="971"/>
      <c r="O67" s="971">
        <f>+'Exhibit F'!P64+'Exhibit G'!P50</f>
        <v>-5.5</v>
      </c>
      <c r="P67" s="971"/>
      <c r="Q67" s="971">
        <f>+'Exhibit F'!R64+'Exhibit G'!R50</f>
        <v>0.1</v>
      </c>
      <c r="R67" s="971"/>
      <c r="S67" s="971">
        <f>+'Exhibit F'!T64+'Exhibit G'!T50</f>
        <v>-0.7</v>
      </c>
      <c r="T67" s="971"/>
      <c r="U67" s="971">
        <f>+'Exhibit F'!V64+'Exhibit G'!V50</f>
        <v>-7.1</v>
      </c>
      <c r="V67" s="971"/>
      <c r="W67" s="971"/>
      <c r="X67" s="971"/>
      <c r="Y67" s="971"/>
      <c r="Z67" s="971"/>
      <c r="AA67" s="972"/>
      <c r="AB67" s="971">
        <f t="shared" si="10"/>
        <v>-5.0999999999999996</v>
      </c>
      <c r="AC67" s="971"/>
      <c r="AD67" s="973"/>
      <c r="AE67" s="971">
        <f>+'Exhibit F'!AF64+'Exhibit G'!AH50</f>
        <v>174.4</v>
      </c>
      <c r="AF67" s="971"/>
      <c r="AG67" s="971"/>
      <c r="AH67" s="971">
        <f t="shared" si="11"/>
        <v>-179.5</v>
      </c>
      <c r="AI67" s="427"/>
      <c r="AJ67" s="1700">
        <f>ROUND(IF(AE67=0,0,AH67/ABS(AE67)),3)</f>
        <v>-1.0289999999999999</v>
      </c>
    </row>
    <row r="68" spans="1:36" ht="16.5" customHeight="1">
      <c r="A68" s="1669" t="s">
        <v>1242</v>
      </c>
      <c r="B68" s="1669"/>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71"/>
      <c r="AG68" s="971"/>
      <c r="AH68" s="971"/>
      <c r="AI68" s="427"/>
      <c r="AJ68" s="1700"/>
    </row>
    <row r="69" spans="1:36" ht="16.5" customHeight="1">
      <c r="A69" s="1669" t="s">
        <v>1393</v>
      </c>
      <c r="B69" s="1669"/>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f>+'Exhibit F'!V66+'Exhibit H'!T31</f>
        <v>5.6</v>
      </c>
      <c r="V69" s="971"/>
      <c r="W69" s="971"/>
      <c r="X69" s="971"/>
      <c r="Y69" s="971"/>
      <c r="Z69" s="971"/>
      <c r="AA69" s="972"/>
      <c r="AB69" s="971">
        <f t="shared" si="10"/>
        <v>56.6</v>
      </c>
      <c r="AC69" s="971"/>
      <c r="AD69" s="973"/>
      <c r="AE69" s="971">
        <f>+'Exhibit F'!AF66+'Exhibit H'!AD31</f>
        <v>50.2</v>
      </c>
      <c r="AF69" s="971"/>
      <c r="AG69" s="971"/>
      <c r="AH69" s="971">
        <f t="shared" si="11"/>
        <v>6.4</v>
      </c>
      <c r="AI69" s="427"/>
      <c r="AJ69" s="1700">
        <f t="shared" ref="AJ69:AJ76" si="12">ROUND(IF(AE69=0,0,AH69/ABS(AE69)),3)</f>
        <v>0.127</v>
      </c>
    </row>
    <row r="70" spans="1:36" ht="16.5" customHeight="1">
      <c r="A70" s="1669" t="s">
        <v>1411</v>
      </c>
      <c r="B70" s="1669"/>
      <c r="C70" s="971">
        <f>'Exhibit G'!D52</f>
        <v>0</v>
      </c>
      <c r="D70" s="971"/>
      <c r="E70" s="971">
        <f>'Exhibit G'!F52+'Exhibit F'!F67</f>
        <v>0.8</v>
      </c>
      <c r="F70" s="971"/>
      <c r="G70" s="971">
        <f>'Exhibit G'!H52+'Exhibit F'!H67</f>
        <v>1.1000000000000001</v>
      </c>
      <c r="H70" s="971"/>
      <c r="I70" s="971">
        <f>'Exhibit G'!J52+'Exhibit F'!J67</f>
        <v>0</v>
      </c>
      <c r="J70" s="971"/>
      <c r="K70" s="971">
        <f>'Exhibit G'!L52+'Exhibit F'!L67</f>
        <v>0.1</v>
      </c>
      <c r="L70" s="971"/>
      <c r="M70" s="971">
        <f>'Exhibit G'!N52+'Exhibit F'!N67</f>
        <v>0</v>
      </c>
      <c r="N70" s="971"/>
      <c r="O70" s="971">
        <f>'Exhibit G'!P52+'Exhibit F'!P67</f>
        <v>0</v>
      </c>
      <c r="P70" s="971"/>
      <c r="Q70" s="971">
        <f>'Exhibit G'!R52+'Exhibit F'!R67</f>
        <v>0</v>
      </c>
      <c r="R70" s="971"/>
      <c r="S70" s="971">
        <f>'Exhibit G'!T52+'Exhibit F'!T67</f>
        <v>0</v>
      </c>
      <c r="T70" s="971"/>
      <c r="U70" s="971">
        <f>'Exhibit G'!V52+'Exhibit F'!V67</f>
        <v>0</v>
      </c>
      <c r="V70" s="971"/>
      <c r="W70" s="971"/>
      <c r="X70" s="971"/>
      <c r="Y70" s="971"/>
      <c r="Z70" s="971"/>
      <c r="AA70" s="1763"/>
      <c r="AB70" s="971">
        <f t="shared" si="10"/>
        <v>2</v>
      </c>
      <c r="AC70" s="971"/>
      <c r="AD70" s="973"/>
      <c r="AE70" s="971">
        <f>'Exhibit G'!AH52</f>
        <v>2.2000000000000002</v>
      </c>
      <c r="AF70" s="971"/>
      <c r="AG70" s="971"/>
      <c r="AH70" s="971">
        <f t="shared" ref="AH70:AH71" si="13">ROUND(SUM(AB70-AE70),1)</f>
        <v>-0.2</v>
      </c>
      <c r="AI70" s="2802"/>
      <c r="AJ70" s="2582">
        <f>ROUND(IF(AE70=0,0,AH70/ABS(AE70)),3)</f>
        <v>-9.0999999999999998E-2</v>
      </c>
    </row>
    <row r="71" spans="1:36" ht="16.5" customHeight="1">
      <c r="A71" s="1669" t="s">
        <v>1394</v>
      </c>
      <c r="B71" s="1669"/>
      <c r="C71" s="971">
        <f>+'Exhibit F'!D68+'Exhibit G'!D53+' Exhbit I '!E41+'Exhibit H'!B32</f>
        <v>49.4</v>
      </c>
      <c r="D71" s="971"/>
      <c r="E71" s="971">
        <f>+'Exhibit F'!F68+'Exhibit G'!F53+' Exhbit I '!G41+'Exhibit H'!D32</f>
        <v>56.3</v>
      </c>
      <c r="F71" s="971"/>
      <c r="G71" s="971">
        <f>+'Exhibit F'!H68+'Exhibit G'!H53+' Exhbit I '!I41+'Exhibit H'!F32</f>
        <v>108.39999999999999</v>
      </c>
      <c r="H71" s="971"/>
      <c r="I71" s="971">
        <f>+'Exhibit F'!J68+'Exhibit G'!J53+' Exhbit I '!K41+'Exhibit H'!H32</f>
        <v>53.400000000000006</v>
      </c>
      <c r="J71" s="971"/>
      <c r="K71" s="971">
        <f>+'Exhibit F'!L68+'Exhibit G'!L53+' Exhbit I '!M41+'Exhibit H'!J32</f>
        <v>50.500000000000007</v>
      </c>
      <c r="L71" s="971"/>
      <c r="M71" s="971">
        <f>+'Exhibit F'!N68+'Exhibit G'!N53+' Exhbit I '!O41+'Exhibit H'!L32</f>
        <v>108.89999999999999</v>
      </c>
      <c r="N71" s="971"/>
      <c r="O71" s="971">
        <f>+'Exhibit F'!P68+'Exhibit G'!P53+' Exhbit I '!Q41+'Exhibit H'!N32</f>
        <v>73.2</v>
      </c>
      <c r="P71" s="971"/>
      <c r="Q71" s="971">
        <f>+'Exhibit F'!R68+'Exhibit G'!R53+' Exhbit I '!S41+'Exhibit H'!P32</f>
        <v>62.6</v>
      </c>
      <c r="R71" s="971"/>
      <c r="S71" s="971">
        <f>+'Exhibit F'!T68+'Exhibit G'!T53+' Exhbit I '!U41+'Exhibit H'!R32</f>
        <v>102.69999999999999</v>
      </c>
      <c r="T71" s="971"/>
      <c r="U71" s="971">
        <f>+'Exhibit F'!V68+'Exhibit G'!V53+' Exhbit I '!W41+'Exhibit H'!T32</f>
        <v>69.5</v>
      </c>
      <c r="V71" s="971"/>
      <c r="W71" s="971"/>
      <c r="X71" s="971"/>
      <c r="Y71" s="971"/>
      <c r="Z71" s="971"/>
      <c r="AA71" s="972"/>
      <c r="AB71" s="971">
        <f t="shared" si="10"/>
        <v>734.9</v>
      </c>
      <c r="AC71" s="971"/>
      <c r="AD71" s="973"/>
      <c r="AE71" s="971">
        <f>+'Exhibit F'!AF68+'Exhibit G'!AH53+' Exhbit I '!AI41+'Exhibit H'!AD32</f>
        <v>767.4</v>
      </c>
      <c r="AF71" s="971"/>
      <c r="AG71" s="971"/>
      <c r="AH71" s="971">
        <f t="shared" si="13"/>
        <v>-32.5</v>
      </c>
      <c r="AI71" s="2802"/>
      <c r="AJ71" s="1700">
        <f t="shared" ref="AJ71" si="14">ROUND(IF(AE71=0,0,AH71/ABS(AE71)),3)</f>
        <v>-4.2000000000000003E-2</v>
      </c>
    </row>
    <row r="72" spans="1:36" ht="16.5" customHeight="1">
      <c r="A72" s="1669" t="s">
        <v>1395</v>
      </c>
      <c r="B72" s="1669"/>
      <c r="C72" s="971">
        <f>+'Exhibit F'!D69+'Exhibit G'!D54+'Exhibit H'!B33</f>
        <v>22.299999999999997</v>
      </c>
      <c r="D72" s="971"/>
      <c r="E72" s="971">
        <f>+'Exhibit F'!F69+'Exhibit G'!F54+'Exhibit H'!D33</f>
        <v>17.5</v>
      </c>
      <c r="F72" s="971"/>
      <c r="G72" s="971">
        <f>+'Exhibit F'!H69+'Exhibit G'!H54+'Exhibit H'!F33</f>
        <v>16.7</v>
      </c>
      <c r="H72" s="971"/>
      <c r="I72" s="971">
        <f>+'Exhibit F'!J69+'Exhibit G'!J54+'Exhibit H'!H33</f>
        <v>43</v>
      </c>
      <c r="J72" s="971"/>
      <c r="K72" s="971">
        <f>+'Exhibit F'!L69+'Exhibit G'!L54+'Exhibit H'!J33</f>
        <v>12.599999999999994</v>
      </c>
      <c r="L72" s="971"/>
      <c r="M72" s="971">
        <f>+'Exhibit F'!N69+'Exhibit G'!N54+'Exhibit H'!L33</f>
        <v>26.7</v>
      </c>
      <c r="N72" s="971"/>
      <c r="O72" s="971">
        <f>+'Exhibit F'!P69+'Exhibit G'!P54+'Exhibit H'!N33</f>
        <v>33.499999999999993</v>
      </c>
      <c r="P72" s="971"/>
      <c r="Q72" s="971">
        <f>+'Exhibit F'!R69+'Exhibit G'!R54+'Exhibit H'!P33</f>
        <v>22</v>
      </c>
      <c r="R72" s="971"/>
      <c r="S72" s="971">
        <f>+'Exhibit F'!T69+'Exhibit G'!T54+'Exhibit H'!R33</f>
        <v>20.7</v>
      </c>
      <c r="T72" s="971"/>
      <c r="U72" s="971">
        <f>+'Exhibit F'!V69+'Exhibit G'!V54+'Exhibit H'!T33</f>
        <v>17.399999999999999</v>
      </c>
      <c r="V72" s="971"/>
      <c r="W72" s="971"/>
      <c r="X72" s="971"/>
      <c r="Y72" s="971"/>
      <c r="Z72" s="971"/>
      <c r="AA72" s="972"/>
      <c r="AB72" s="971">
        <f t="shared" si="10"/>
        <v>232.4</v>
      </c>
      <c r="AC72" s="971"/>
      <c r="AD72" s="973"/>
      <c r="AE72" s="971">
        <f>+'Exhibit F'!AF69+'Exhibit G'!AH54+'Exhibit H'!AD33+' Exhbit I '!AI42</f>
        <v>228</v>
      </c>
      <c r="AF72" s="971"/>
      <c r="AG72" s="971"/>
      <c r="AH72" s="971">
        <f t="shared" si="11"/>
        <v>4.4000000000000004</v>
      </c>
      <c r="AI72" s="427"/>
      <c r="AJ72" s="1700">
        <f t="shared" si="12"/>
        <v>1.9E-2</v>
      </c>
    </row>
    <row r="73" spans="1:36" ht="16.5" customHeight="1">
      <c r="A73" s="1669" t="s">
        <v>1396</v>
      </c>
      <c r="B73" s="1669"/>
      <c r="C73" s="971">
        <f>+'Exhibit F'!D70+'Exhibit G'!D55+'Exhibit H'!B34</f>
        <v>0.2</v>
      </c>
      <c r="D73" s="971"/>
      <c r="E73" s="971">
        <f>+'Exhibit F'!F70+'Exhibit G'!F55+'Exhibit H'!D34</f>
        <v>1.6</v>
      </c>
      <c r="F73" s="971"/>
      <c r="G73" s="971">
        <f>+'Exhibit F'!H70+'Exhibit G'!H55+'Exhibit H'!F34</f>
        <v>0.5</v>
      </c>
      <c r="H73" s="971"/>
      <c r="I73" s="971">
        <f>+'Exhibit F'!J70+'Exhibit G'!J55+'Exhibit H'!H34</f>
        <v>0.2</v>
      </c>
      <c r="J73" s="971"/>
      <c r="K73" s="971">
        <f>+'Exhibit F'!L70+'Exhibit G'!L55+'Exhibit H'!J34</f>
        <v>0.7</v>
      </c>
      <c r="L73" s="971"/>
      <c r="M73" s="971">
        <f>+'Exhibit F'!N70+'Exhibit G'!N55+'Exhibit H'!L34</f>
        <v>1.8</v>
      </c>
      <c r="N73" s="971"/>
      <c r="O73" s="971">
        <f>+'Exhibit F'!P70+'Exhibit G'!P55+'Exhibit H'!N34</f>
        <v>1</v>
      </c>
      <c r="P73" s="971"/>
      <c r="Q73" s="971">
        <f>+'Exhibit F'!R70+'Exhibit G'!R55+'Exhibit H'!P34</f>
        <v>0.4</v>
      </c>
      <c r="R73" s="971"/>
      <c r="S73" s="971">
        <f>+'Exhibit F'!T70+'Exhibit G'!T55+'Exhibit H'!R34</f>
        <v>1.3</v>
      </c>
      <c r="T73" s="971"/>
      <c r="U73" s="971">
        <f>+'Exhibit F'!V70+'Exhibit G'!V55+'Exhibit H'!T34</f>
        <v>0.4</v>
      </c>
      <c r="V73" s="971"/>
      <c r="W73" s="971"/>
      <c r="X73" s="971"/>
      <c r="Y73" s="971"/>
      <c r="Z73" s="971"/>
      <c r="AA73" s="972"/>
      <c r="AB73" s="971">
        <f t="shared" si="10"/>
        <v>8.1</v>
      </c>
      <c r="AC73" s="971"/>
      <c r="AD73" s="973"/>
      <c r="AE73" s="971">
        <f>+'Exhibit F'!AF70+'Exhibit G'!AH55+'Exhibit H'!AD34</f>
        <v>7.4</v>
      </c>
      <c r="AF73" s="971"/>
      <c r="AG73" s="971"/>
      <c r="AH73" s="971">
        <f t="shared" si="11"/>
        <v>0.7</v>
      </c>
      <c r="AI73" s="427"/>
      <c r="AJ73" s="2582">
        <f>ROUND(IF(AE73=0,1,AH73/ABS(AE73)),3)</f>
        <v>9.5000000000000001E-2</v>
      </c>
    </row>
    <row r="74" spans="1:36" ht="16.5" customHeight="1">
      <c r="A74" s="1669" t="s">
        <v>1408</v>
      </c>
      <c r="B74" s="1669"/>
      <c r="C74" s="971">
        <f>+'Exhibit F'!D71+'Exhibit G'!D56+' Exhbit I '!E43+'Exhibit H'!B35</f>
        <v>147.89999999999998</v>
      </c>
      <c r="D74" s="971"/>
      <c r="E74" s="971">
        <f>+'Exhibit F'!F71+'Exhibit G'!F56+' Exhbit I '!G43+'Exhibit H'!D35</f>
        <v>137.19999999999999</v>
      </c>
      <c r="F74" s="971"/>
      <c r="G74" s="971">
        <f>+'Exhibit F'!H71+'Exhibit G'!H56+' Exhbit I '!I43+'Exhibit H'!F35</f>
        <v>143.6</v>
      </c>
      <c r="H74" s="971"/>
      <c r="I74" s="971">
        <f>+'Exhibit F'!J71+'Exhibit G'!J56+' Exhbit I '!K43+'Exhibit H'!H35</f>
        <v>108</v>
      </c>
      <c r="J74" s="971"/>
      <c r="K74" s="971">
        <f>+'Exhibit F'!L71+'Exhibit G'!L56+' Exhbit I '!M43+'Exhibit H'!J35</f>
        <v>123.6</v>
      </c>
      <c r="L74" s="971"/>
      <c r="M74" s="971">
        <f>+'Exhibit F'!N71+'Exhibit G'!N56+' Exhbit I '!O43+'Exhibit H'!L35</f>
        <v>116.8</v>
      </c>
      <c r="N74" s="971"/>
      <c r="O74" s="971">
        <f>+'Exhibit F'!P71+'Exhibit G'!P56+' Exhbit I '!Q43+'Exhibit H'!N35</f>
        <v>117.7</v>
      </c>
      <c r="P74" s="971"/>
      <c r="Q74" s="971">
        <f>+'Exhibit F'!R71+'Exhibit G'!R56+' Exhbit I '!S43+'Exhibit H'!P35</f>
        <v>120.7</v>
      </c>
      <c r="R74" s="971"/>
      <c r="S74" s="971">
        <f>+'Exhibit F'!T71+'Exhibit G'!T56+' Exhbit I '!U43+'Exhibit H'!R35</f>
        <v>102.5</v>
      </c>
      <c r="T74" s="971"/>
      <c r="U74" s="971">
        <f>+'Exhibit F'!V71+'Exhibit G'!V56+' Exhbit I '!W43+'Exhibit H'!T35</f>
        <v>101.4</v>
      </c>
      <c r="V74" s="971"/>
      <c r="W74" s="971"/>
      <c r="X74" s="971"/>
      <c r="Y74" s="971"/>
      <c r="Z74" s="971"/>
      <c r="AA74" s="972"/>
      <c r="AB74" s="971">
        <f t="shared" si="10"/>
        <v>1219.4000000000001</v>
      </c>
      <c r="AC74" s="971"/>
      <c r="AD74" s="973"/>
      <c r="AE74" s="971">
        <f>+'Exhibit F'!AF71+'Exhibit G'!AH56+' Exhbit I '!AI43+'Exhibit H'!AD35</f>
        <v>1130.0999999999999</v>
      </c>
      <c r="AF74" s="971"/>
      <c r="AG74" s="971"/>
      <c r="AH74" s="971">
        <f t="shared" si="11"/>
        <v>89.3</v>
      </c>
      <c r="AI74" s="427"/>
      <c r="AJ74" s="1700">
        <f t="shared" si="12"/>
        <v>7.9000000000000001E-2</v>
      </c>
    </row>
    <row r="75" spans="1:36" ht="16.5" customHeight="1">
      <c r="A75" s="1669" t="s">
        <v>1409</v>
      </c>
      <c r="B75" s="1669"/>
      <c r="C75" s="971">
        <f>+'Exhibit F'!D72+'Exhibit G'!D57+' Exhbit I '!E44+'Exhibit H'!B36</f>
        <v>43.7</v>
      </c>
      <c r="D75" s="971"/>
      <c r="E75" s="971">
        <f>+'Exhibit F'!F72+'Exhibit G'!F57+' Exhbit I '!G44+'Exhibit H'!D36</f>
        <v>50.5</v>
      </c>
      <c r="F75" s="971"/>
      <c r="G75" s="971">
        <f>+'Exhibit F'!H72+'Exhibit G'!H57+' Exhbit I '!I44+'Exhibit H'!F36</f>
        <v>39.900000000000006</v>
      </c>
      <c r="H75" s="971"/>
      <c r="I75" s="971">
        <f>+'Exhibit F'!J72+'Exhibit G'!J57+' Exhbit I '!K44+'Exhibit H'!H36</f>
        <v>53.2</v>
      </c>
      <c r="J75" s="971"/>
      <c r="K75" s="971">
        <f>+'Exhibit F'!L72+'Exhibit G'!L57+' Exhbit I '!M44+'Exhibit H'!J36</f>
        <v>76.3</v>
      </c>
      <c r="L75" s="971"/>
      <c r="M75" s="971">
        <f>+'Exhibit F'!N72+'Exhibit G'!N57+' Exhbit I '!O44+'Exhibit H'!L36</f>
        <v>115</v>
      </c>
      <c r="N75" s="971"/>
      <c r="O75" s="971">
        <f>+'Exhibit F'!P72+'Exhibit G'!P57+' Exhbit I '!Q44+'Exhibit H'!N36</f>
        <v>71.100000000000009</v>
      </c>
      <c r="P75" s="971"/>
      <c r="Q75" s="971">
        <f>+'Exhibit F'!R72+'Exhibit G'!R57+' Exhbit I '!S44+'Exhibit H'!P36</f>
        <v>67.3</v>
      </c>
      <c r="R75" s="971"/>
      <c r="S75" s="971">
        <f>+'Exhibit F'!T72+'Exhibit G'!T57+' Exhbit I '!U44+'Exhibit H'!R36</f>
        <v>42.300000000000004</v>
      </c>
      <c r="T75" s="971"/>
      <c r="U75" s="971">
        <f>+'Exhibit F'!V72+'Exhibit G'!V57+' Exhbit I '!W44+'Exhibit H'!T36</f>
        <v>80.8</v>
      </c>
      <c r="V75" s="971"/>
      <c r="W75" s="971"/>
      <c r="X75" s="971"/>
      <c r="Y75" s="971"/>
      <c r="Z75" s="971"/>
      <c r="AA75" s="972"/>
      <c r="AB75" s="971">
        <f t="shared" si="10"/>
        <v>640.1</v>
      </c>
      <c r="AC75" s="971"/>
      <c r="AD75" s="973"/>
      <c r="AE75" s="971">
        <f>+'Exhibit F'!AF72+'Exhibit G'!AH57+' Exhbit I '!AI44+'Exhibit H'!AD36</f>
        <v>622.70000000000005</v>
      </c>
      <c r="AF75" s="971"/>
      <c r="AG75" s="971"/>
      <c r="AH75" s="971">
        <f t="shared" si="11"/>
        <v>17.399999999999999</v>
      </c>
      <c r="AI75" s="427"/>
      <c r="AJ75" s="1700">
        <f t="shared" si="12"/>
        <v>2.8000000000000001E-2</v>
      </c>
    </row>
    <row r="76" spans="1:36" ht="16.5" customHeight="1">
      <c r="A76" s="1669" t="s">
        <v>1129</v>
      </c>
      <c r="B76" s="1669"/>
      <c r="C76" s="971">
        <f>+'Exhibit F'!D73+'Exhibit G'!D58+' Exhbit I '!E45</f>
        <v>15.799999999999999</v>
      </c>
      <c r="D76" s="971"/>
      <c r="E76" s="971">
        <f>+'Exhibit F'!F73+'Exhibit G'!F58+' Exhbit I '!G45</f>
        <v>411.5</v>
      </c>
      <c r="F76" s="971"/>
      <c r="G76" s="971">
        <f>+'Exhibit F'!H73+'Exhibit G'!H58+' Exhbit I '!I45</f>
        <v>46.800000000000004</v>
      </c>
      <c r="H76" s="971"/>
      <c r="I76" s="971">
        <f>+'Exhibit F'!J73+'Exhibit G'!J58+' Exhbit I '!K45</f>
        <v>26</v>
      </c>
      <c r="J76" s="971"/>
      <c r="K76" s="971">
        <f>+'Exhibit F'!L73+'Exhibit G'!L58+' Exhbit I '!M45</f>
        <v>74.100000000000051</v>
      </c>
      <c r="L76" s="971"/>
      <c r="M76" s="971">
        <f>+'Exhibit F'!N73+'Exhibit G'!N58+' Exhbit I '!O45</f>
        <v>286.39999999999998</v>
      </c>
      <c r="N76" s="971"/>
      <c r="O76" s="971">
        <f>+'Exhibit F'!P73+'Exhibit G'!P58+' Exhbit I '!Q45</f>
        <v>30.099999999999998</v>
      </c>
      <c r="P76" s="971"/>
      <c r="Q76" s="971">
        <f>+'Exhibit F'!R73+'Exhibit G'!R58+' Exhbit I '!S45</f>
        <v>162.80000000000004</v>
      </c>
      <c r="R76" s="971"/>
      <c r="S76" s="971">
        <f>+'Exhibit F'!T73+'Exhibit G'!T58+' Exhbit I '!U45</f>
        <v>55.699999999999953</v>
      </c>
      <c r="T76" s="971"/>
      <c r="U76" s="971">
        <f>+'Exhibit F'!V73+'Exhibit G'!V58+' Exhbit I '!W45</f>
        <v>91.5</v>
      </c>
      <c r="V76" s="971"/>
      <c r="W76" s="971"/>
      <c r="X76" s="971"/>
      <c r="Y76" s="971"/>
      <c r="Z76" s="971"/>
      <c r="AA76" s="972"/>
      <c r="AB76" s="971">
        <f t="shared" si="10"/>
        <v>1200.7</v>
      </c>
      <c r="AC76" s="971"/>
      <c r="AD76" s="973"/>
      <c r="AE76" s="971">
        <f>+'Exhibit F'!AF73+'Exhibit G'!AH58+' Exhbit I '!AI45</f>
        <v>1071.1000000000001</v>
      </c>
      <c r="AF76" s="971"/>
      <c r="AG76" s="971"/>
      <c r="AH76" s="971">
        <f t="shared" si="11"/>
        <v>129.6</v>
      </c>
      <c r="AI76" s="427"/>
      <c r="AJ76" s="1700">
        <f t="shared" si="12"/>
        <v>0.121</v>
      </c>
    </row>
    <row r="77" spans="1:36" ht="16.5" customHeight="1">
      <c r="A77" s="1669" t="s">
        <v>1239</v>
      </c>
      <c r="B77" s="1669"/>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71"/>
      <c r="AG77" s="971"/>
      <c r="AH77" s="971"/>
      <c r="AI77" s="427"/>
      <c r="AJ77" s="1700"/>
    </row>
    <row r="78" spans="1:36" ht="16.5" customHeight="1">
      <c r="A78" s="1669" t="s">
        <v>1412</v>
      </c>
      <c r="B78" s="1669"/>
      <c r="C78" s="971">
        <f>+'Exhibit G'!D60</f>
        <v>22.7</v>
      </c>
      <c r="D78" s="971"/>
      <c r="E78" s="971">
        <f>+'Exhibit G'!F60</f>
        <v>10.4</v>
      </c>
      <c r="F78" s="971"/>
      <c r="G78" s="971">
        <f>+'Exhibit G'!H60</f>
        <v>12.5</v>
      </c>
      <c r="H78" s="971"/>
      <c r="I78" s="971">
        <f>+'Exhibit G'!J60</f>
        <v>24.4</v>
      </c>
      <c r="J78" s="971"/>
      <c r="K78" s="971">
        <f>+'Exhibit G'!L60</f>
        <v>10.9</v>
      </c>
      <c r="L78" s="971"/>
      <c r="M78" s="971">
        <f>+'Exhibit G'!N60</f>
        <v>14</v>
      </c>
      <c r="N78" s="971"/>
      <c r="O78" s="971">
        <f>+'Exhibit G'!P60</f>
        <v>25.6</v>
      </c>
      <c r="P78" s="971"/>
      <c r="Q78" s="971">
        <f>+'Exhibit G'!R60</f>
        <v>10.1</v>
      </c>
      <c r="R78" s="971"/>
      <c r="S78" s="971">
        <f>+'Exhibit G'!T60</f>
        <v>12.9</v>
      </c>
      <c r="T78" s="971"/>
      <c r="U78" s="971">
        <f>+'Exhibit G'!V60</f>
        <v>25</v>
      </c>
      <c r="V78" s="971"/>
      <c r="W78" s="971"/>
      <c r="X78" s="971"/>
      <c r="Y78" s="971"/>
      <c r="Z78" s="971"/>
      <c r="AA78" s="972"/>
      <c r="AB78" s="971">
        <f t="shared" si="10"/>
        <v>168.5</v>
      </c>
      <c r="AC78" s="971"/>
      <c r="AD78" s="973"/>
      <c r="AE78" s="971">
        <f>+'Exhibit G'!AH60</f>
        <v>174.3</v>
      </c>
      <c r="AF78" s="971"/>
      <c r="AG78" s="971"/>
      <c r="AH78" s="971">
        <f t="shared" si="11"/>
        <v>-5.8</v>
      </c>
      <c r="AI78" s="427"/>
      <c r="AJ78" s="2555">
        <f>ROUND(IF(AE78=0,0,AH78/ABS(AE78)),3)</f>
        <v>-3.3000000000000002E-2</v>
      </c>
    </row>
    <row r="79" spans="1:36" ht="16.5" customHeight="1">
      <c r="A79" s="1669" t="s">
        <v>1413</v>
      </c>
      <c r="B79" s="1669"/>
      <c r="C79" s="971">
        <f>+'Exhibit G'!D61</f>
        <v>190.4</v>
      </c>
      <c r="D79" s="971"/>
      <c r="E79" s="971">
        <f>+'Exhibit G'!F61</f>
        <v>234.2</v>
      </c>
      <c r="F79" s="971"/>
      <c r="G79" s="971">
        <f>+'Exhibit G'!H61</f>
        <v>193.7</v>
      </c>
      <c r="H79" s="971"/>
      <c r="I79" s="971">
        <f>+'Exhibit G'!J61</f>
        <v>182.6</v>
      </c>
      <c r="J79" s="971"/>
      <c r="K79" s="971">
        <f>+'Exhibit G'!L61</f>
        <v>268.10000000000002</v>
      </c>
      <c r="L79" s="971"/>
      <c r="M79" s="971">
        <f>+'Exhibit G'!N61</f>
        <v>184.5</v>
      </c>
      <c r="N79" s="971"/>
      <c r="O79" s="971">
        <f>+'Exhibit G'!P61</f>
        <v>181.6</v>
      </c>
      <c r="P79" s="971"/>
      <c r="Q79" s="971">
        <f>+'Exhibit G'!R61</f>
        <v>224.9</v>
      </c>
      <c r="R79" s="971"/>
      <c r="S79" s="971">
        <f>+'Exhibit G'!T61</f>
        <v>196.7</v>
      </c>
      <c r="T79" s="971"/>
      <c r="U79" s="971">
        <f>+'Exhibit G'!V61</f>
        <v>248.4</v>
      </c>
      <c r="V79" s="971"/>
      <c r="W79" s="971"/>
      <c r="X79" s="971"/>
      <c r="Y79" s="971"/>
      <c r="Z79" s="971"/>
      <c r="AA79" s="972"/>
      <c r="AB79" s="971">
        <f t="shared" si="10"/>
        <v>2105.1</v>
      </c>
      <c r="AC79" s="971"/>
      <c r="AD79" s="973"/>
      <c r="AE79" s="971">
        <f>+'Exhibit G'!AH61</f>
        <v>1997.3</v>
      </c>
      <c r="AF79" s="971"/>
      <c r="AG79" s="971"/>
      <c r="AH79" s="971">
        <f t="shared" si="11"/>
        <v>107.8</v>
      </c>
      <c r="AI79" s="427"/>
      <c r="AJ79" s="2555">
        <f>ROUND(IF(AE79=0,0,AH79/ABS(AE79)),3)</f>
        <v>5.3999999999999999E-2</v>
      </c>
    </row>
    <row r="80" spans="1:36" ht="16.5" customHeight="1">
      <c r="A80" s="1669" t="s">
        <v>1414</v>
      </c>
      <c r="B80" s="1669"/>
      <c r="C80" s="971">
        <f>+'Exhibit G'!D62</f>
        <v>72.5</v>
      </c>
      <c r="D80" s="971"/>
      <c r="E80" s="971">
        <f>+'Exhibit G'!F62</f>
        <v>73.599999999999994</v>
      </c>
      <c r="F80" s="971"/>
      <c r="G80" s="971">
        <f>+'Exhibit G'!H62</f>
        <v>94.2</v>
      </c>
      <c r="H80" s="971"/>
      <c r="I80" s="971">
        <f>+'Exhibit G'!J62</f>
        <v>76.5</v>
      </c>
      <c r="J80" s="971"/>
      <c r="K80" s="971">
        <f>+'Exhibit G'!L62</f>
        <v>93.8</v>
      </c>
      <c r="L80" s="971"/>
      <c r="M80" s="971">
        <f>+'Exhibit G'!N62</f>
        <v>75.3</v>
      </c>
      <c r="N80" s="971"/>
      <c r="O80" s="971">
        <f>+'Exhibit G'!P62</f>
        <v>73.900000000000006</v>
      </c>
      <c r="P80" s="971"/>
      <c r="Q80" s="971">
        <f>+'Exhibit G'!R62</f>
        <v>89.4</v>
      </c>
      <c r="R80" s="971"/>
      <c r="S80" s="971">
        <f>+'Exhibit G'!T62</f>
        <v>66.5</v>
      </c>
      <c r="T80" s="971"/>
      <c r="U80" s="971">
        <f>+'Exhibit G'!V62</f>
        <v>88</v>
      </c>
      <c r="V80" s="971"/>
      <c r="W80" s="971"/>
      <c r="X80" s="971"/>
      <c r="Y80" s="971"/>
      <c r="Z80" s="971"/>
      <c r="AA80" s="972"/>
      <c r="AB80" s="971">
        <f t="shared" si="10"/>
        <v>803.7</v>
      </c>
      <c r="AC80" s="971"/>
      <c r="AD80" s="973"/>
      <c r="AE80" s="971">
        <f>+'Exhibit G'!AH62</f>
        <v>788.1</v>
      </c>
      <c r="AF80" s="971"/>
      <c r="AG80" s="971"/>
      <c r="AH80" s="971">
        <f t="shared" si="11"/>
        <v>15.6</v>
      </c>
      <c r="AI80" s="427"/>
      <c r="AJ80" s="2555">
        <f>ROUND(IF(AE80=0,0,AH80/ABS(AE80)),3)</f>
        <v>0.02</v>
      </c>
    </row>
    <row r="81" spans="1:36" ht="16.5" customHeight="1">
      <c r="A81" s="1669" t="s">
        <v>1130</v>
      </c>
      <c r="B81" s="1669"/>
      <c r="C81" s="971">
        <f>+'Exhibit F'!D74+'Exhibit G'!D63+'Exhibit H'!B37+' Exhbit I '!E46</f>
        <v>10.1</v>
      </c>
      <c r="D81" s="971"/>
      <c r="E81" s="971">
        <f>+'Exhibit F'!F74+'Exhibit G'!F63+'Exhibit H'!D37+' Exhbit I '!G46</f>
        <v>7.6999999999999993</v>
      </c>
      <c r="F81" s="971"/>
      <c r="G81" s="971">
        <f>+'Exhibit F'!H74+'Exhibit G'!H63+'Exhibit H'!F37+' Exhbit I '!I46</f>
        <v>9.6999999999999993</v>
      </c>
      <c r="H81" s="971"/>
      <c r="I81" s="971">
        <f>+'Exhibit F'!J74+'Exhibit G'!J63+'Exhibit H'!H37+' Exhbit I '!K46</f>
        <v>8.6</v>
      </c>
      <c r="J81" s="971"/>
      <c r="K81" s="971">
        <f>+'Exhibit F'!L74+'Exhibit G'!L63+'Exhibit H'!J37+' Exhbit I '!M46</f>
        <v>11.3</v>
      </c>
      <c r="L81" s="971"/>
      <c r="M81" s="971">
        <f>+'Exhibit F'!N74+'Exhibit G'!N63+'Exhibit H'!L37+' Exhbit I '!O46</f>
        <v>11.1</v>
      </c>
      <c r="N81" s="971"/>
      <c r="O81" s="971">
        <f>+'Exhibit F'!P74+'Exhibit G'!P63+'Exhibit H'!N37+' Exhbit I '!Q46</f>
        <v>12.6</v>
      </c>
      <c r="P81" s="971"/>
      <c r="Q81" s="971">
        <f>+'Exhibit F'!R74+'Exhibit G'!R63+'Exhibit H'!P37+' Exhbit I '!S46</f>
        <v>12.9</v>
      </c>
      <c r="R81" s="971"/>
      <c r="S81" s="971">
        <f>+'Exhibit F'!T74+'Exhibit G'!T63+'Exhibit H'!R37+' Exhbit I '!U46</f>
        <v>12.2</v>
      </c>
      <c r="T81" s="971"/>
      <c r="U81" s="971">
        <f>+'Exhibit F'!V74+'Exhibit G'!V63+'Exhibit H'!T37+' Exhbit I '!W46</f>
        <v>13.1</v>
      </c>
      <c r="V81" s="971"/>
      <c r="W81" s="971"/>
      <c r="X81" s="971"/>
      <c r="Y81" s="971"/>
      <c r="Z81" s="971"/>
      <c r="AA81" s="972"/>
      <c r="AB81" s="971">
        <f t="shared" si="10"/>
        <v>109.3</v>
      </c>
      <c r="AC81" s="971"/>
      <c r="AD81" s="973"/>
      <c r="AE81" s="971">
        <f>+'Exhibit F'!AF74+'Exhibit G'!AH63+'Exhibit H'!AD37+' Exhbit I '!AI46</f>
        <v>62.699999999999996</v>
      </c>
      <c r="AF81" s="971"/>
      <c r="AG81" s="971"/>
      <c r="AH81" s="971">
        <f t="shared" si="11"/>
        <v>46.6</v>
      </c>
      <c r="AI81" s="427"/>
      <c r="AJ81" s="2555">
        <f>ROUND(IF(AE81=0,0,AH81/ABS(AE81)),3)</f>
        <v>0.74299999999999999</v>
      </c>
    </row>
    <row r="82" spans="1:36" ht="16.5" customHeight="1">
      <c r="A82" s="1669" t="s">
        <v>1240</v>
      </c>
      <c r="B82" s="1669"/>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71"/>
      <c r="AG82" s="971"/>
      <c r="AH82" s="971"/>
      <c r="AI82" s="427"/>
      <c r="AJ82" s="1700"/>
    </row>
    <row r="83" spans="1:36" ht="16.5" customHeight="1">
      <c r="A83" s="1669" t="s">
        <v>1415</v>
      </c>
      <c r="B83" s="1669"/>
      <c r="C83" s="971">
        <f>+'Exhibit G'!D65+' Exhbit I '!E48</f>
        <v>0</v>
      </c>
      <c r="D83" s="971"/>
      <c r="E83" s="971">
        <f>+'Exhibit G'!F65+' Exhbit I '!G48</f>
        <v>2.6</v>
      </c>
      <c r="F83" s="971"/>
      <c r="G83" s="971">
        <f>+'Exhibit G'!H65+' Exhbit I '!I48</f>
        <v>76.099999999999994</v>
      </c>
      <c r="H83" s="971"/>
      <c r="I83" s="971">
        <f>+'Exhibit G'!J65+' Exhbit I '!K48</f>
        <v>1120.5</v>
      </c>
      <c r="J83" s="971"/>
      <c r="K83" s="971">
        <f>+'Exhibit G'!L65+' Exhbit I '!M48</f>
        <v>40.1</v>
      </c>
      <c r="L83" s="971"/>
      <c r="M83" s="971">
        <f>+'Exhibit G'!N65+' Exhbit I '!O48</f>
        <v>38.5</v>
      </c>
      <c r="N83" s="971"/>
      <c r="O83" s="971">
        <f>+'Exhibit G'!P65+' Exhbit I '!Q48</f>
        <v>876.3</v>
      </c>
      <c r="P83" s="971"/>
      <c r="Q83" s="971">
        <f>+'Exhibit G'!R65+' Exhbit I '!S48</f>
        <v>28.3</v>
      </c>
      <c r="R83" s="971"/>
      <c r="S83" s="971">
        <f>+'Exhibit G'!T65+' Exhbit I '!U48</f>
        <v>1751.2</v>
      </c>
      <c r="T83" s="971"/>
      <c r="U83" s="971">
        <f>+'Exhibit G'!V65+' Exhbit I '!W48</f>
        <v>143</v>
      </c>
      <c r="V83" s="971"/>
      <c r="W83" s="971"/>
      <c r="X83" s="971"/>
      <c r="Y83" s="971"/>
      <c r="Z83" s="971"/>
      <c r="AA83" s="972"/>
      <c r="AB83" s="971">
        <f t="shared" si="10"/>
        <v>4076.6</v>
      </c>
      <c r="AC83" s="971"/>
      <c r="AD83" s="973"/>
      <c r="AE83" s="971">
        <f>+'Exhibit G'!AH65+' Exhbit I '!AI48</f>
        <v>1666.5</v>
      </c>
      <c r="AF83" s="971"/>
      <c r="AG83" s="971"/>
      <c r="AH83" s="971">
        <f t="shared" si="11"/>
        <v>2410.1</v>
      </c>
      <c r="AI83" s="427"/>
      <c r="AJ83" s="1700">
        <f t="shared" ref="AJ83:AJ88" si="15">ROUND(IF(AE83=0,0,AH83/ABS(AE83)),3)</f>
        <v>1.446</v>
      </c>
    </row>
    <row r="84" spans="1:36" ht="16.5" customHeight="1">
      <c r="A84" s="1669" t="s">
        <v>1397</v>
      </c>
      <c r="B84" s="1669"/>
      <c r="C84" s="971">
        <f>+'Exhibit F'!D76+'Exhibit G'!D66</f>
        <v>0</v>
      </c>
      <c r="D84" s="971"/>
      <c r="E84" s="971">
        <f>+'Exhibit F'!F76+'Exhibit G'!F66</f>
        <v>0</v>
      </c>
      <c r="F84" s="971"/>
      <c r="G84" s="971">
        <f>+'Exhibit F'!H76+'Exhibit G'!H66</f>
        <v>0</v>
      </c>
      <c r="H84" s="971"/>
      <c r="I84" s="971">
        <f>+'Exhibit F'!J76+'Exhibit G'!J66</f>
        <v>0</v>
      </c>
      <c r="J84" s="971"/>
      <c r="K84" s="971">
        <f>+'Exhibit F'!L76+'Exhibit G'!L66</f>
        <v>22.599999999999998</v>
      </c>
      <c r="L84" s="971"/>
      <c r="M84" s="971">
        <f>+'Exhibit F'!N76+'Exhibit G'!N66</f>
        <v>8.6000000000000014</v>
      </c>
      <c r="N84" s="971"/>
      <c r="O84" s="971">
        <f>+'Exhibit F'!P76+'Exhibit G'!P66</f>
        <v>0</v>
      </c>
      <c r="P84" s="971"/>
      <c r="Q84" s="971">
        <f>+'Exhibit F'!R76+'Exhibit G'!R66</f>
        <v>6.8000000000000007</v>
      </c>
      <c r="R84" s="971"/>
      <c r="S84" s="971">
        <f>+'Exhibit F'!T76+'Exhibit G'!T66</f>
        <v>0</v>
      </c>
      <c r="T84" s="971"/>
      <c r="U84" s="971">
        <f>+'Exhibit F'!V76+'Exhibit G'!V66</f>
        <v>0.1</v>
      </c>
      <c r="V84" s="971"/>
      <c r="W84" s="971"/>
      <c r="X84" s="971"/>
      <c r="Y84" s="971"/>
      <c r="Z84" s="971"/>
      <c r="AA84" s="972"/>
      <c r="AB84" s="971">
        <f t="shared" si="10"/>
        <v>38.1</v>
      </c>
      <c r="AC84" s="971"/>
      <c r="AD84" s="973"/>
      <c r="AE84" s="971">
        <f>+'Exhibit F'!AF76+'Exhibit G'!AH66</f>
        <v>33.200000000000003</v>
      </c>
      <c r="AF84" s="971"/>
      <c r="AG84" s="971"/>
      <c r="AH84" s="971">
        <f t="shared" si="11"/>
        <v>4.9000000000000004</v>
      </c>
      <c r="AI84" s="427"/>
      <c r="AJ84" s="2582">
        <f>ROUND(IF(AE84=0,0,AH84/ABS(AE84)),3)</f>
        <v>0.14799999999999999</v>
      </c>
    </row>
    <row r="85" spans="1:36" ht="16.5" customHeight="1">
      <c r="A85" s="1669" t="s">
        <v>1398</v>
      </c>
      <c r="B85" s="1669"/>
      <c r="C85" s="971">
        <f>+'Exhibit F'!D77+'Exhibit G'!D67</f>
        <v>3</v>
      </c>
      <c r="D85" s="971"/>
      <c r="E85" s="971">
        <f>+'Exhibit F'!F77+'Exhibit G'!F67</f>
        <v>13.899999999999999</v>
      </c>
      <c r="F85" s="971"/>
      <c r="G85" s="971">
        <f>+'Exhibit F'!H77+'Exhibit G'!H67</f>
        <v>1.2</v>
      </c>
      <c r="H85" s="971"/>
      <c r="I85" s="971">
        <f>+'Exhibit F'!J77+'Exhibit G'!J67</f>
        <v>29.1</v>
      </c>
      <c r="J85" s="971"/>
      <c r="K85" s="971">
        <f>+'Exhibit F'!L77+'Exhibit G'!L67</f>
        <v>1.3</v>
      </c>
      <c r="L85" s="971"/>
      <c r="M85" s="971">
        <f>+'Exhibit F'!N77+'Exhibit G'!N67</f>
        <v>0.3</v>
      </c>
      <c r="N85" s="971"/>
      <c r="O85" s="971">
        <f>+'Exhibit F'!P77+'Exhibit G'!P67</f>
        <v>14.7</v>
      </c>
      <c r="P85" s="971"/>
      <c r="Q85" s="971">
        <f>+'Exhibit F'!R77+'Exhibit G'!R67</f>
        <v>4</v>
      </c>
      <c r="R85" s="971"/>
      <c r="S85" s="971">
        <f>+'Exhibit F'!T77+'Exhibit G'!T67</f>
        <v>18.3</v>
      </c>
      <c r="T85" s="971"/>
      <c r="U85" s="971">
        <f>+'Exhibit F'!V77+'Exhibit G'!V67</f>
        <v>5.2</v>
      </c>
      <c r="V85" s="971"/>
      <c r="W85" s="971"/>
      <c r="X85" s="971"/>
      <c r="Y85" s="971"/>
      <c r="Z85" s="971"/>
      <c r="AA85" s="972"/>
      <c r="AB85" s="971">
        <f t="shared" si="10"/>
        <v>91</v>
      </c>
      <c r="AC85" s="971"/>
      <c r="AD85" s="973"/>
      <c r="AE85" s="971">
        <f>+'Exhibit F'!AF77+'Exhibit G'!AH67</f>
        <v>80</v>
      </c>
      <c r="AF85" s="971"/>
      <c r="AG85" s="971"/>
      <c r="AH85" s="971">
        <f t="shared" si="11"/>
        <v>11</v>
      </c>
      <c r="AI85" s="427"/>
      <c r="AJ85" s="2555">
        <f t="shared" si="15"/>
        <v>0.13800000000000001</v>
      </c>
    </row>
    <row r="86" spans="1:36" ht="16.5" customHeight="1">
      <c r="A86" s="1669" t="s">
        <v>1399</v>
      </c>
      <c r="B86" s="1669"/>
      <c r="C86" s="971">
        <f>+'Exhibit F'!D78+'Exhibit G'!D68+' Exhbit I '!E50</f>
        <v>8.6</v>
      </c>
      <c r="D86" s="971"/>
      <c r="E86" s="971">
        <f>+'Exhibit F'!F78+'Exhibit G'!F68+' Exhbit I '!G50</f>
        <v>1.8000000000000003</v>
      </c>
      <c r="F86" s="971"/>
      <c r="G86" s="971">
        <f>+'Exhibit F'!H78+'Exhibit G'!H68+' Exhbit I '!I50</f>
        <v>0</v>
      </c>
      <c r="H86" s="971"/>
      <c r="I86" s="971">
        <f>+'Exhibit F'!J78+'Exhibit G'!J68+' Exhbit I '!K50</f>
        <v>6</v>
      </c>
      <c r="J86" s="971"/>
      <c r="K86" s="971">
        <f>+'Exhibit F'!L78+'Exhibit G'!L68+' Exhbit I '!M50</f>
        <v>23.1</v>
      </c>
      <c r="L86" s="971"/>
      <c r="M86" s="971">
        <f>+'Exhibit F'!N78+'Exhibit G'!N68+' Exhbit I '!O50</f>
        <v>25.1</v>
      </c>
      <c r="N86" s="971"/>
      <c r="O86" s="971">
        <f>+'Exhibit F'!P78+'Exhibit G'!P68+' Exhbit I '!Q50</f>
        <v>23.5</v>
      </c>
      <c r="P86" s="971"/>
      <c r="Q86" s="971">
        <f>+'Exhibit F'!R78+'Exhibit G'!R68+' Exhbit I '!S50</f>
        <v>0.1</v>
      </c>
      <c r="R86" s="971"/>
      <c r="S86" s="971">
        <f>+'Exhibit F'!T78+'Exhibit G'!T68+' Exhbit I '!U50</f>
        <v>26.400000000000002</v>
      </c>
      <c r="T86" s="971"/>
      <c r="U86" s="971">
        <f>+'Exhibit F'!V78+'Exhibit G'!V68+' Exhbit I '!W50</f>
        <v>13.6</v>
      </c>
      <c r="V86" s="971"/>
      <c r="W86" s="971"/>
      <c r="X86" s="971"/>
      <c r="Y86" s="971"/>
      <c r="Z86" s="971"/>
      <c r="AA86" s="972"/>
      <c r="AB86" s="971">
        <f t="shared" si="10"/>
        <v>128.19999999999999</v>
      </c>
      <c r="AC86" s="971"/>
      <c r="AD86" s="973"/>
      <c r="AE86" s="971">
        <f>+'Exhibit F'!AF78+'Exhibit G'!AH68+' Exhbit I '!AI50</f>
        <v>96.4</v>
      </c>
      <c r="AF86" s="971"/>
      <c r="AG86" s="971"/>
      <c r="AH86" s="971">
        <f t="shared" si="11"/>
        <v>31.8</v>
      </c>
      <c r="AI86" s="427"/>
      <c r="AJ86" s="1700">
        <f t="shared" si="15"/>
        <v>0.33</v>
      </c>
    </row>
    <row r="87" spans="1:36" ht="16.5" customHeight="1">
      <c r="A87" s="1669" t="s">
        <v>1141</v>
      </c>
      <c r="B87" s="1669"/>
      <c r="C87" s="971">
        <f>+'Exhibit F'!D79+'Exhibit G'!D69+'Exhibit H'!B38+' Exhbit I '!E51</f>
        <v>22.2</v>
      </c>
      <c r="D87" s="971"/>
      <c r="E87" s="971">
        <f>+'Exhibit F'!F79+'Exhibit G'!F69+'Exhibit H'!D38+' Exhbit I '!G51</f>
        <v>20.2</v>
      </c>
      <c r="F87" s="971"/>
      <c r="G87" s="971">
        <f>+'Exhibit F'!H79+'Exhibit G'!H69+'Exhibit H'!F38+' Exhbit I '!I51</f>
        <v>24.6</v>
      </c>
      <c r="H87" s="971"/>
      <c r="I87" s="971">
        <f>+'Exhibit F'!J79+'Exhibit G'!J69+'Exhibit H'!H38+' Exhbit I '!K51</f>
        <v>22.599999999999998</v>
      </c>
      <c r="J87" s="971"/>
      <c r="K87" s="971">
        <f>+'Exhibit F'!L79+'Exhibit G'!L69+'Exhibit H'!J38+' Exhbit I '!M51</f>
        <v>24.400000000000002</v>
      </c>
      <c r="L87" s="971"/>
      <c r="M87" s="971">
        <f>+'Exhibit F'!N79+'Exhibit G'!N69+'Exhibit H'!L38+' Exhbit I '!O51</f>
        <v>57.999999999999986</v>
      </c>
      <c r="N87" s="971"/>
      <c r="O87" s="971">
        <f>+'Exhibit F'!P79+'Exhibit G'!P69+'Exhibit H'!N38+' Exhbit I '!Q51</f>
        <v>31.3</v>
      </c>
      <c r="P87" s="971"/>
      <c r="Q87" s="971">
        <f>+'Exhibit F'!R79+'Exhibit G'!R69+'Exhibit H'!P38+' Exhbit I '!S51</f>
        <v>23.100000000000005</v>
      </c>
      <c r="R87" s="971"/>
      <c r="S87" s="971">
        <f>+'Exhibit F'!T79+'Exhibit G'!T69+'Exhibit H'!R38+' Exhbit I '!U51</f>
        <v>25.599999999999991</v>
      </c>
      <c r="T87" s="971"/>
      <c r="U87" s="971">
        <f>+'Exhibit F'!V79+'Exhibit G'!V69+'Exhibit H'!T38+' Exhbit I '!W51</f>
        <v>23.099999999999998</v>
      </c>
      <c r="V87" s="971"/>
      <c r="W87" s="971"/>
      <c r="X87" s="971"/>
      <c r="Y87" s="971"/>
      <c r="Z87" s="971"/>
      <c r="AA87" s="972"/>
      <c r="AB87" s="971">
        <f t="shared" si="10"/>
        <v>275.10000000000002</v>
      </c>
      <c r="AC87" s="971"/>
      <c r="AD87" s="973"/>
      <c r="AE87" s="971">
        <f>+'Exhibit F'!AF79+'Exhibit G'!AH69+'Exhibit H'!AD38+' Exhbit I '!AI51</f>
        <v>294.2</v>
      </c>
      <c r="AF87" s="971"/>
      <c r="AG87" s="971"/>
      <c r="AH87" s="971">
        <f t="shared" si="11"/>
        <v>-19.100000000000001</v>
      </c>
      <c r="AI87" s="427"/>
      <c r="AJ87" s="1700">
        <f t="shared" si="15"/>
        <v>-6.5000000000000002E-2</v>
      </c>
    </row>
    <row r="88" spans="1:36" ht="16.5" customHeight="1">
      <c r="A88" s="1669" t="s">
        <v>1142</v>
      </c>
      <c r="B88" s="1669"/>
      <c r="C88" s="971">
        <f>+'Exhibit F'!D80+'Exhibit G'!D70+'Exhibit H'!B39+' Exhbit I '!E52</f>
        <v>46.199999999999996</v>
      </c>
      <c r="D88" s="971"/>
      <c r="E88" s="971">
        <f>+'Exhibit F'!F80+'Exhibit G'!F70+'Exhibit H'!D39+' Exhbit I '!G52</f>
        <v>30.1</v>
      </c>
      <c r="F88" s="971"/>
      <c r="G88" s="971">
        <f>+'Exhibit F'!H80+'Exhibit G'!H70+'Exhibit H'!F39+' Exhbit I '!I52</f>
        <v>16</v>
      </c>
      <c r="H88" s="971"/>
      <c r="I88" s="971">
        <f>+'Exhibit F'!J80+'Exhibit G'!J70+'Exhibit H'!H39+' Exhbit I '!K52</f>
        <v>27.8</v>
      </c>
      <c r="J88" s="971"/>
      <c r="K88" s="971">
        <f>+'Exhibit F'!L80+'Exhibit G'!L70+'Exhibit H'!J39+' Exhbit I '!M52</f>
        <v>5.9999999999999991</v>
      </c>
      <c r="L88" s="971"/>
      <c r="M88" s="971">
        <f>+'Exhibit F'!N80+'Exhibit G'!N70+'Exhibit H'!L39+' Exhbit I '!O52</f>
        <v>7.8000000000000007</v>
      </c>
      <c r="N88" s="971"/>
      <c r="O88" s="971">
        <f>+'Exhibit F'!P80+'Exhibit G'!P70+'Exhibit H'!N39+' Exhbit I '!Q52</f>
        <v>2.1</v>
      </c>
      <c r="P88" s="971"/>
      <c r="Q88" s="971">
        <f>+'Exhibit F'!R80+'Exhibit G'!R70+'Exhibit H'!P39+' Exhbit I '!S52</f>
        <v>63.9</v>
      </c>
      <c r="R88" s="971"/>
      <c r="S88" s="971">
        <f>+'Exhibit F'!T80+'Exhibit G'!T70+'Exhibit H'!R39+' Exhbit I '!U52</f>
        <v>39.799999999999997</v>
      </c>
      <c r="T88" s="971"/>
      <c r="U88" s="971">
        <f>+'Exhibit F'!V80+'Exhibit G'!V70+'Exhibit H'!T39+' Exhbit I '!W52</f>
        <v>35.200000000000003</v>
      </c>
      <c r="V88" s="971"/>
      <c r="W88" s="971"/>
      <c r="X88" s="971"/>
      <c r="Y88" s="971"/>
      <c r="Z88" s="971"/>
      <c r="AA88" s="972"/>
      <c r="AB88" s="971">
        <f t="shared" si="10"/>
        <v>274.89999999999998</v>
      </c>
      <c r="AC88" s="971"/>
      <c r="AD88" s="973"/>
      <c r="AE88" s="971">
        <f>+'Exhibit F'!AF80+'Exhibit G'!AH70+'Exhibit H'!AD39+' Exhbit I '!AI52</f>
        <v>328.90000000000003</v>
      </c>
      <c r="AF88" s="971"/>
      <c r="AG88" s="971"/>
      <c r="AH88" s="971">
        <f t="shared" si="11"/>
        <v>-54</v>
      </c>
      <c r="AI88" s="427"/>
      <c r="AJ88" s="1700">
        <f t="shared" si="15"/>
        <v>-0.16400000000000001</v>
      </c>
    </row>
    <row r="89" spans="1:36" ht="16.5" customHeight="1">
      <c r="A89" s="1669" t="s">
        <v>1241</v>
      </c>
      <c r="B89" s="1669"/>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71"/>
      <c r="AG89" s="971"/>
      <c r="AH89" s="971"/>
      <c r="AI89" s="427"/>
      <c r="AJ89" s="1700"/>
    </row>
    <row r="90" spans="1:36" ht="16.5" customHeight="1">
      <c r="A90" s="1669" t="s">
        <v>1400</v>
      </c>
      <c r="B90" s="1669"/>
      <c r="C90" s="971">
        <f>+'Exhibit F'!D82+'Exhibit G'!D72+' Exhbit I '!E54</f>
        <v>12.4</v>
      </c>
      <c r="D90" s="971"/>
      <c r="E90" s="971">
        <f>+'Exhibit F'!F82+'Exhibit G'!F72+' Exhbit I '!G54</f>
        <v>9.2999999999999989</v>
      </c>
      <c r="F90" s="971"/>
      <c r="G90" s="971">
        <f>+'Exhibit F'!H82+'Exhibit G'!H72+' Exhbit I '!I54</f>
        <v>33.1</v>
      </c>
      <c r="H90" s="971"/>
      <c r="I90" s="971">
        <f>+'Exhibit F'!J82+'Exhibit G'!J72+' Exhbit I '!K54</f>
        <v>23.7</v>
      </c>
      <c r="J90" s="971"/>
      <c r="K90" s="971">
        <f>+'Exhibit F'!L82+'Exhibit G'!L72+' Exhbit I '!M54</f>
        <v>9.7999999999999989</v>
      </c>
      <c r="L90" s="971"/>
      <c r="M90" s="971">
        <f>+'Exhibit F'!N82+'Exhibit G'!N72+' Exhbit I '!O54</f>
        <v>26.1</v>
      </c>
      <c r="N90" s="971"/>
      <c r="O90" s="971">
        <f>+'Exhibit F'!P82+'Exhibit G'!P72+' Exhbit I '!Q54</f>
        <v>23</v>
      </c>
      <c r="P90" s="971"/>
      <c r="Q90" s="971">
        <f>+'Exhibit F'!R82+'Exhibit G'!R72+' Exhbit I '!S54</f>
        <v>11.1</v>
      </c>
      <c r="R90" s="971"/>
      <c r="S90" s="971">
        <f>+'Exhibit F'!T82+'Exhibit G'!T72+' Exhbit I '!U54</f>
        <v>28.199999999999996</v>
      </c>
      <c r="T90" s="971"/>
      <c r="U90" s="971">
        <f>+'Exhibit F'!V82+'Exhibit G'!V72+' Exhbit I '!W54</f>
        <v>6.4</v>
      </c>
      <c r="V90" s="971"/>
      <c r="W90" s="971"/>
      <c r="X90" s="971"/>
      <c r="Y90" s="971"/>
      <c r="Z90" s="971"/>
      <c r="AA90" s="972"/>
      <c r="AB90" s="971">
        <f t="shared" si="10"/>
        <v>183.1</v>
      </c>
      <c r="AC90" s="971"/>
      <c r="AD90" s="973"/>
      <c r="AE90" s="971">
        <f>+'Exhibit F'!AF82+'Exhibit G'!AH72+' Exhbit I '!AI54</f>
        <v>187.3</v>
      </c>
      <c r="AF90" s="971"/>
      <c r="AG90" s="971"/>
      <c r="AH90" s="971">
        <f t="shared" si="11"/>
        <v>-4.2</v>
      </c>
      <c r="AI90" s="427"/>
      <c r="AJ90" s="2555">
        <f>ROUND(IF(AE90=0,0,AH90/ABS(AE90)),3)</f>
        <v>-2.1999999999999999E-2</v>
      </c>
    </row>
    <row r="91" spans="1:36" ht="16.5" customHeight="1">
      <c r="A91" s="1669" t="s">
        <v>1401</v>
      </c>
      <c r="B91" s="1669"/>
      <c r="C91" s="971">
        <f>+'Exhibit G'!D73</f>
        <v>0</v>
      </c>
      <c r="D91" s="971"/>
      <c r="E91" s="971">
        <f>+'Exhibit G'!F73+'Exhibit F'!F83</f>
        <v>1.1000000000000001</v>
      </c>
      <c r="F91" s="971"/>
      <c r="G91" s="971">
        <f>+'Exhibit G'!H73+'Exhibit F'!H83</f>
        <v>0.1</v>
      </c>
      <c r="H91" s="971"/>
      <c r="I91" s="971">
        <f>+'Exhibit G'!J73+'Exhibit F'!J83</f>
        <v>0.4</v>
      </c>
      <c r="J91" s="971"/>
      <c r="K91" s="971">
        <f>+'Exhibit G'!L73+'Exhibit F'!L83</f>
        <v>0.3</v>
      </c>
      <c r="L91" s="971"/>
      <c r="M91" s="971">
        <f>+'Exhibit G'!N73+'Exhibit F'!N83</f>
        <v>0.3</v>
      </c>
      <c r="N91" s="971"/>
      <c r="O91" s="971">
        <f>+'Exhibit G'!P73+'Exhibit F'!P83</f>
        <v>0.4</v>
      </c>
      <c r="P91" s="971"/>
      <c r="Q91" s="971">
        <f>+'Exhibit G'!R73+'Exhibit F'!R83</f>
        <v>0.8</v>
      </c>
      <c r="R91" s="971"/>
      <c r="S91" s="971">
        <f>+'Exhibit G'!T73+'Exhibit F'!T83</f>
        <v>0.6</v>
      </c>
      <c r="T91" s="971"/>
      <c r="U91" s="971">
        <f>+'Exhibit G'!V73+'Exhibit F'!V83</f>
        <v>0.7</v>
      </c>
      <c r="V91" s="971"/>
      <c r="W91" s="971"/>
      <c r="X91" s="971"/>
      <c r="Y91" s="971"/>
      <c r="Z91" s="971"/>
      <c r="AA91" s="972"/>
      <c r="AB91" s="971">
        <f t="shared" si="10"/>
        <v>4.7</v>
      </c>
      <c r="AC91" s="971"/>
      <c r="AD91" s="973"/>
      <c r="AE91" s="971">
        <f>+'Exhibit F'!AF83+'Exhibit G'!AH73+' Exhbit I '!AI54</f>
        <v>4.7</v>
      </c>
      <c r="AF91" s="971"/>
      <c r="AG91" s="971"/>
      <c r="AH91" s="971">
        <f t="shared" si="11"/>
        <v>0</v>
      </c>
      <c r="AI91" s="427"/>
      <c r="AJ91" s="1700">
        <f t="shared" ref="AJ91:AJ99" si="16">ROUND(IF(AE91=0,0,AH91/ABS(AE91)),3)</f>
        <v>0</v>
      </c>
    </row>
    <row r="92" spans="1:36" ht="16.5" customHeight="1">
      <c r="A92" s="1669" t="s">
        <v>1402</v>
      </c>
      <c r="B92" s="1669"/>
      <c r="C92" s="971">
        <f>+'Exhibit F'!D84+'Exhibit G'!D74+' Exhbit I '!E55</f>
        <v>1.7000000000000002</v>
      </c>
      <c r="D92" s="971"/>
      <c r="E92" s="971">
        <f>+'Exhibit F'!F84+'Exhibit G'!F74+' Exhbit I '!G55</f>
        <v>1.3</v>
      </c>
      <c r="F92" s="971"/>
      <c r="G92" s="971">
        <f>+'Exhibit F'!H84+'Exhibit G'!H74+' Exhbit I '!I55</f>
        <v>11.5</v>
      </c>
      <c r="H92" s="971"/>
      <c r="I92" s="971">
        <f>+'Exhibit F'!J84+'Exhibit G'!J74+' Exhbit I '!K55</f>
        <v>0.7</v>
      </c>
      <c r="J92" s="971"/>
      <c r="K92" s="971">
        <f>+'Exhibit F'!L84+'Exhibit G'!L74+' Exhbit I '!M55</f>
        <v>3.6</v>
      </c>
      <c r="L92" s="971"/>
      <c r="M92" s="971">
        <f>+'Exhibit F'!N84+'Exhibit G'!N74+' Exhbit I '!O55</f>
        <v>1.8</v>
      </c>
      <c r="N92" s="971"/>
      <c r="O92" s="971">
        <f>+'Exhibit F'!P84+'Exhibit G'!P74+' Exhbit I '!Q55</f>
        <v>1.3</v>
      </c>
      <c r="P92" s="971"/>
      <c r="Q92" s="971">
        <f>+'Exhibit F'!R84+'Exhibit G'!R74+' Exhbit I '!S55</f>
        <v>0.7</v>
      </c>
      <c r="R92" s="971"/>
      <c r="S92" s="971">
        <f>+'Exhibit F'!T84+'Exhibit G'!T74+' Exhbit I '!U55</f>
        <v>1.2</v>
      </c>
      <c r="T92" s="971"/>
      <c r="U92" s="971">
        <f>+'Exhibit F'!V84+'Exhibit G'!V74+' Exhbit I '!W55</f>
        <v>1.6</v>
      </c>
      <c r="V92" s="971"/>
      <c r="W92" s="971"/>
      <c r="X92" s="971"/>
      <c r="Y92" s="971"/>
      <c r="Z92" s="971"/>
      <c r="AA92" s="972"/>
      <c r="AB92" s="971">
        <f t="shared" si="10"/>
        <v>25.4</v>
      </c>
      <c r="AC92" s="971"/>
      <c r="AD92" s="973"/>
      <c r="AE92" s="971">
        <f>+'Exhibit F'!AF84+'Exhibit G'!AH74+' Exhbit I '!AI55</f>
        <v>28.2</v>
      </c>
      <c r="AF92" s="971"/>
      <c r="AG92" s="971"/>
      <c r="AH92" s="971">
        <f t="shared" si="11"/>
        <v>-2.8</v>
      </c>
      <c r="AI92" s="427"/>
      <c r="AJ92" s="1700">
        <f t="shared" si="16"/>
        <v>-9.9000000000000005E-2</v>
      </c>
    </row>
    <row r="93" spans="1:36" ht="16.5" customHeight="1">
      <c r="A93" s="1669" t="s">
        <v>1403</v>
      </c>
      <c r="B93" s="1669"/>
      <c r="C93" s="971">
        <f>+'Exhibit F'!D85+'Exhibit G'!D75</f>
        <v>0.9</v>
      </c>
      <c r="D93" s="971"/>
      <c r="E93" s="971">
        <f>+'Exhibit F'!F85+'Exhibit G'!F75</f>
        <v>13.4</v>
      </c>
      <c r="F93" s="971"/>
      <c r="G93" s="971">
        <f>+'Exhibit F'!H85+'Exhibit G'!H75</f>
        <v>11.5</v>
      </c>
      <c r="H93" s="971"/>
      <c r="I93" s="971">
        <f>+'Exhibit F'!J85+'Exhibit G'!J75</f>
        <v>7.2</v>
      </c>
      <c r="J93" s="971"/>
      <c r="K93" s="971">
        <f>+'Exhibit F'!L85+'Exhibit G'!L75</f>
        <v>20.800000000000004</v>
      </c>
      <c r="L93" s="971"/>
      <c r="M93" s="971">
        <f>+'Exhibit F'!N85+'Exhibit G'!N75</f>
        <v>4.5999999999999961</v>
      </c>
      <c r="N93" s="971"/>
      <c r="O93" s="971">
        <f>+'Exhibit F'!P85+'Exhibit G'!P75</f>
        <v>8.1000000000000014</v>
      </c>
      <c r="P93" s="971"/>
      <c r="Q93" s="971">
        <f>+'Exhibit F'!R85+'Exhibit G'!R75</f>
        <v>20.299999999999997</v>
      </c>
      <c r="R93" s="971"/>
      <c r="S93" s="971">
        <f>+'Exhibit F'!T85+'Exhibit G'!T75</f>
        <v>2.2999999999999972</v>
      </c>
      <c r="T93" s="971"/>
      <c r="U93" s="971">
        <f>+'Exhibit F'!V85+'Exhibit G'!V75+' Exhbit I '!W56</f>
        <v>13.5</v>
      </c>
      <c r="V93" s="971"/>
      <c r="W93" s="971"/>
      <c r="X93" s="971"/>
      <c r="Y93" s="971"/>
      <c r="Z93" s="971"/>
      <c r="AA93" s="972"/>
      <c r="AB93" s="971">
        <f>ROUND(SUM(C93:Y93),1)</f>
        <v>102.6</v>
      </c>
      <c r="AC93" s="971"/>
      <c r="AD93" s="973"/>
      <c r="AE93" s="971">
        <f>+'Exhibit F'!AF85+'Exhibit G'!AH75+' Exhbit I '!AI56</f>
        <v>92.699999999999989</v>
      </c>
      <c r="AF93" s="971"/>
      <c r="AG93" s="971"/>
      <c r="AH93" s="971">
        <f t="shared" si="11"/>
        <v>9.9</v>
      </c>
      <c r="AI93" s="427"/>
      <c r="AJ93" s="1700">
        <f t="shared" si="16"/>
        <v>0.107</v>
      </c>
    </row>
    <row r="94" spans="1:36" ht="16.5" customHeight="1">
      <c r="A94" s="1669" t="s">
        <v>1416</v>
      </c>
      <c r="B94" s="1669"/>
      <c r="C94" s="971">
        <f>+'Exhibit G'!D76+'Exhibit H'!B41</f>
        <v>195.7</v>
      </c>
      <c r="D94" s="971"/>
      <c r="E94" s="971">
        <f>+'Exhibit G'!F76+'Exhibit H'!D41</f>
        <v>138.5</v>
      </c>
      <c r="F94" s="971"/>
      <c r="G94" s="971">
        <f>+'Exhibit G'!H76+'Exhibit H'!F41</f>
        <v>300.3</v>
      </c>
      <c r="H94" s="971"/>
      <c r="I94" s="971">
        <f>+'Exhibit G'!J76+'Exhibit H'!H41</f>
        <v>173.6</v>
      </c>
      <c r="J94" s="971"/>
      <c r="K94" s="971">
        <f>+'Exhibit G'!L76+'Exhibit H'!J41</f>
        <v>21.4</v>
      </c>
      <c r="L94" s="971"/>
      <c r="M94" s="971">
        <f>+'Exhibit G'!N76+'Exhibit H'!L41</f>
        <v>376.1</v>
      </c>
      <c r="N94" s="971"/>
      <c r="O94" s="971">
        <f>+'Exhibit G'!P76+'Exhibit H'!N41</f>
        <v>158.70000000000007</v>
      </c>
      <c r="P94" s="971"/>
      <c r="Q94" s="971">
        <f>+'Exhibit G'!R76+'Exhibit H'!P41</f>
        <v>241.20000000000002</v>
      </c>
      <c r="R94" s="971"/>
      <c r="S94" s="971">
        <f>+'Exhibit G'!T76+'Exhibit H'!R41</f>
        <v>187.6</v>
      </c>
      <c r="T94" s="971"/>
      <c r="U94" s="971">
        <f>+'Exhibit G'!V76+'Exhibit H'!T41</f>
        <v>135.69999999999996</v>
      </c>
      <c r="V94" s="971"/>
      <c r="W94" s="971"/>
      <c r="X94" s="971"/>
      <c r="Y94" s="971"/>
      <c r="Z94" s="971"/>
      <c r="AA94" s="972"/>
      <c r="AB94" s="971">
        <f t="shared" si="10"/>
        <v>1928.8</v>
      </c>
      <c r="AC94" s="971"/>
      <c r="AD94" s="973"/>
      <c r="AE94" s="971">
        <f>+'Exhibit G'!AH76+'Exhibit H'!AD41</f>
        <v>1852.9</v>
      </c>
      <c r="AF94" s="971"/>
      <c r="AG94" s="971"/>
      <c r="AH94" s="971">
        <f t="shared" si="11"/>
        <v>75.900000000000006</v>
      </c>
      <c r="AI94" s="427"/>
      <c r="AJ94" s="2555">
        <f t="shared" si="16"/>
        <v>4.1000000000000002E-2</v>
      </c>
    </row>
    <row r="95" spans="1:36" ht="16.5" customHeight="1">
      <c r="A95" s="1669" t="s">
        <v>1404</v>
      </c>
      <c r="B95" s="1669"/>
      <c r="C95" s="971">
        <f>+'Exhibit G'!D77+'Exhibit F'!D86</f>
        <v>11.700000000000001</v>
      </c>
      <c r="D95" s="971"/>
      <c r="E95" s="971">
        <f>+'Exhibit G'!F77+'Exhibit F'!F86+' Exhbit I '!G57</f>
        <v>11.9</v>
      </c>
      <c r="F95" s="971"/>
      <c r="G95" s="971">
        <f>+'Exhibit G'!H77+'Exhibit F'!H86+' Exhbit I '!I57</f>
        <v>15.7</v>
      </c>
      <c r="H95" s="971"/>
      <c r="I95" s="971">
        <f>+'Exhibit G'!J77+'Exhibit F'!J86+' Exhbit I '!K57</f>
        <v>17.100000000000001</v>
      </c>
      <c r="J95" s="971"/>
      <c r="K95" s="971">
        <f>+'Exhibit G'!L77+'Exhibit F'!L86+' Exhbit I '!M57</f>
        <v>13.1</v>
      </c>
      <c r="L95" s="971"/>
      <c r="M95" s="971">
        <f>+'Exhibit G'!N77+'Exhibit F'!N86+' Exhbit I '!O57</f>
        <v>11.8</v>
      </c>
      <c r="N95" s="971"/>
      <c r="O95" s="971">
        <f>+'Exhibit G'!P77+'Exhibit F'!P86+' Exhbit I '!Q57</f>
        <v>19.399999999999999</v>
      </c>
      <c r="P95" s="971"/>
      <c r="Q95" s="971">
        <f>+'Exhibit G'!R77+'Exhibit F'!R86+' Exhbit I '!S57</f>
        <v>13.5</v>
      </c>
      <c r="R95" s="971"/>
      <c r="S95" s="971">
        <f>+'Exhibit G'!T77+'Exhibit F'!T86+' Exhbit I '!U57</f>
        <v>12.1</v>
      </c>
      <c r="T95" s="971"/>
      <c r="U95" s="971">
        <f>+'Exhibit G'!V77+'Exhibit F'!V86+' Exhbit I '!W57</f>
        <v>13.700000000000001</v>
      </c>
      <c r="V95" s="971"/>
      <c r="W95" s="971"/>
      <c r="X95" s="971"/>
      <c r="Y95" s="971"/>
      <c r="Z95" s="971"/>
      <c r="AA95" s="972"/>
      <c r="AB95" s="971">
        <f t="shared" si="10"/>
        <v>140</v>
      </c>
      <c r="AC95" s="971"/>
      <c r="AD95" s="973"/>
      <c r="AE95" s="971">
        <f>+'Exhibit G'!AH77+'Exhibit F'!AF86+' Exhbit I '!AI57</f>
        <v>131.4</v>
      </c>
      <c r="AF95" s="971"/>
      <c r="AG95" s="971"/>
      <c r="AH95" s="971">
        <f t="shared" si="11"/>
        <v>8.6</v>
      </c>
      <c r="AI95" s="427"/>
      <c r="AJ95" s="1700">
        <f t="shared" si="16"/>
        <v>6.5000000000000002E-2</v>
      </c>
    </row>
    <row r="96" spans="1:36" ht="16.5" customHeight="1">
      <c r="A96" s="1669" t="s">
        <v>1405</v>
      </c>
      <c r="B96" s="1669"/>
      <c r="C96" s="971">
        <f>+'Exhibit F'!D87+'Exhibit G'!D78+' Exhbit I '!E58</f>
        <v>5.4999999999999991</v>
      </c>
      <c r="D96" s="971"/>
      <c r="E96" s="971">
        <f>+'Exhibit F'!F87+'Exhibit G'!F78+' Exhbit I '!G58</f>
        <v>8.8000000000000007</v>
      </c>
      <c r="F96" s="971"/>
      <c r="G96" s="971">
        <f>+'Exhibit F'!H87+'Exhibit G'!H78+' Exhbit I '!I58</f>
        <v>1.1000000000000001</v>
      </c>
      <c r="H96" s="971"/>
      <c r="I96" s="971">
        <f>+'Exhibit F'!J87+'Exhibit G'!J78+' Exhbit I '!K58</f>
        <v>11.6</v>
      </c>
      <c r="J96" s="971"/>
      <c r="K96" s="971">
        <f>+'Exhibit F'!L87+'Exhibit G'!L78+' Exhbit I '!M58</f>
        <v>1</v>
      </c>
      <c r="L96" s="971"/>
      <c r="M96" s="971">
        <f>+'Exhibit F'!N87+'Exhibit G'!N78+' Exhbit I '!O58</f>
        <v>1.9000000000000001</v>
      </c>
      <c r="N96" s="971"/>
      <c r="O96" s="971">
        <f>+'Exhibit F'!P87+'Exhibit G'!P78+' Exhbit I '!Q58</f>
        <v>7.6</v>
      </c>
      <c r="P96" s="971"/>
      <c r="Q96" s="971">
        <f>+'Exhibit F'!R87+'Exhibit G'!R78+' Exhbit I '!S58</f>
        <v>9.1999999999999993</v>
      </c>
      <c r="R96" s="971"/>
      <c r="S96" s="971">
        <f>+'Exhibit F'!T87+'Exhibit G'!T78+' Exhbit I '!U58</f>
        <v>2.7</v>
      </c>
      <c r="T96" s="971"/>
      <c r="U96" s="971">
        <f>+'Exhibit F'!V87+'Exhibit G'!V78+' Exhbit I '!W58</f>
        <v>2.8000000000000003</v>
      </c>
      <c r="V96" s="971"/>
      <c r="W96" s="971"/>
      <c r="X96" s="971"/>
      <c r="Y96" s="971"/>
      <c r="Z96" s="971"/>
      <c r="AA96" s="972"/>
      <c r="AB96" s="971">
        <f t="shared" si="10"/>
        <v>52.2</v>
      </c>
      <c r="AC96" s="971"/>
      <c r="AD96" s="973"/>
      <c r="AE96" s="971">
        <f>+'Exhibit F'!AF87+'Exhibit G'!AH78+' Exhbit I '!AI58</f>
        <v>287.39999999999998</v>
      </c>
      <c r="AF96" s="971"/>
      <c r="AG96" s="971"/>
      <c r="AH96" s="971">
        <f t="shared" si="11"/>
        <v>-235.2</v>
      </c>
      <c r="AI96" s="427"/>
      <c r="AJ96" s="1700">
        <f t="shared" si="16"/>
        <v>-0.81799999999999995</v>
      </c>
    </row>
    <row r="97" spans="1:45" ht="16.5" customHeight="1">
      <c r="A97" s="1669" t="s">
        <v>1406</v>
      </c>
      <c r="B97" s="1669"/>
      <c r="C97" s="971">
        <f>+'Exhibit F'!D88+'Exhibit G'!D79</f>
        <v>8.1</v>
      </c>
      <c r="D97" s="971"/>
      <c r="E97" s="971">
        <f>+'Exhibit F'!F88+'Exhibit G'!F79</f>
        <v>9.3000000000000007</v>
      </c>
      <c r="F97" s="971"/>
      <c r="G97" s="971">
        <f>+'Exhibit F'!H88+'Exhibit G'!H79</f>
        <v>13.3</v>
      </c>
      <c r="H97" s="971"/>
      <c r="I97" s="971">
        <f>+'Exhibit F'!J88+'Exhibit G'!J79</f>
        <v>8.1999999999999993</v>
      </c>
      <c r="J97" s="971"/>
      <c r="K97" s="971">
        <f>+'Exhibit F'!L88+'Exhibit G'!L79</f>
        <v>10.5</v>
      </c>
      <c r="L97" s="971"/>
      <c r="M97" s="971">
        <f>+'Exhibit F'!N88+'Exhibit G'!N79</f>
        <v>31.8</v>
      </c>
      <c r="N97" s="971"/>
      <c r="O97" s="971">
        <f>+'Exhibit F'!P88+'Exhibit G'!P79</f>
        <v>7.3</v>
      </c>
      <c r="P97" s="971"/>
      <c r="Q97" s="971">
        <f>+'Exhibit F'!R88+'Exhibit G'!R79</f>
        <v>6.2</v>
      </c>
      <c r="R97" s="971"/>
      <c r="S97" s="971">
        <f>+'Exhibit F'!T88+'Exhibit G'!T79</f>
        <v>8.1</v>
      </c>
      <c r="T97" s="971"/>
      <c r="U97" s="971">
        <f>+'Exhibit F'!V88+'Exhibit G'!V79</f>
        <v>7.8</v>
      </c>
      <c r="V97" s="971"/>
      <c r="W97" s="971"/>
      <c r="X97" s="971"/>
      <c r="Y97" s="971"/>
      <c r="Z97" s="971"/>
      <c r="AA97" s="972"/>
      <c r="AB97" s="971">
        <f t="shared" si="10"/>
        <v>110.6</v>
      </c>
      <c r="AC97" s="971"/>
      <c r="AD97" s="973"/>
      <c r="AE97" s="971">
        <f>+'Exhibit F'!AF88+'Exhibit G'!AH79</f>
        <v>97.3</v>
      </c>
      <c r="AF97" s="971"/>
      <c r="AG97" s="971"/>
      <c r="AH97" s="971">
        <f t="shared" si="11"/>
        <v>13.3</v>
      </c>
      <c r="AI97" s="427"/>
      <c r="AJ97" s="1700">
        <f t="shared" si="16"/>
        <v>0.13700000000000001</v>
      </c>
    </row>
    <row r="98" spans="1:45" ht="16.5" customHeight="1">
      <c r="A98" s="1669" t="s">
        <v>1407</v>
      </c>
      <c r="B98" s="1669"/>
      <c r="C98" s="971">
        <f>+'Exhibit F'!D89+'Exhibit G'!D80+' Exhbit I '!E59</f>
        <v>51.9</v>
      </c>
      <c r="D98" s="971"/>
      <c r="E98" s="971">
        <f>+'Exhibit F'!F89+'Exhibit G'!F80+' Exhbit I '!G59</f>
        <v>38.400000000000006</v>
      </c>
      <c r="F98" s="971"/>
      <c r="G98" s="971">
        <f>+'Exhibit F'!H89+'Exhibit G'!H80+' Exhbit I '!I59</f>
        <v>40.200000000000003</v>
      </c>
      <c r="H98" s="971"/>
      <c r="I98" s="971">
        <f>+'Exhibit F'!J89+'Exhibit G'!J80+' Exhbit I '!K59</f>
        <v>27</v>
      </c>
      <c r="J98" s="971"/>
      <c r="K98" s="971">
        <f>+'Exhibit F'!L89+'Exhibit G'!L80+' Exhbit I '!M59</f>
        <v>55.9</v>
      </c>
      <c r="L98" s="971"/>
      <c r="M98" s="971">
        <f>+'Exhibit F'!N89+'Exhibit G'!N80+' Exhbit I '!O59</f>
        <v>41.400000000000006</v>
      </c>
      <c r="N98" s="971"/>
      <c r="O98" s="971">
        <f>+'Exhibit F'!P89+'Exhibit G'!P80+' Exhbit I '!Q59</f>
        <v>50</v>
      </c>
      <c r="P98" s="971"/>
      <c r="Q98" s="971">
        <f>+'Exhibit F'!R89+'Exhibit G'!R80+' Exhbit I '!S59</f>
        <v>49.6</v>
      </c>
      <c r="R98" s="971"/>
      <c r="S98" s="971">
        <f>+'Exhibit F'!T89+'Exhibit G'!T80+' Exhbit I '!U59</f>
        <v>30.9</v>
      </c>
      <c r="T98" s="971"/>
      <c r="U98" s="971">
        <f>+'Exhibit F'!V89+'Exhibit G'!V80+' Exhbit I '!W59</f>
        <v>36.1</v>
      </c>
      <c r="V98" s="971"/>
      <c r="W98" s="971"/>
      <c r="X98" s="971"/>
      <c r="Y98" s="971"/>
      <c r="Z98" s="971"/>
      <c r="AA98" s="972"/>
      <c r="AB98" s="971">
        <f t="shared" si="10"/>
        <v>421.4</v>
      </c>
      <c r="AC98" s="971"/>
      <c r="AD98" s="973"/>
      <c r="AE98" s="971">
        <f>+'Exhibit F'!AF89+'Exhibit G'!AH80+' Exhbit I '!AI59</f>
        <v>419.40000000000003</v>
      </c>
      <c r="AF98" s="971"/>
      <c r="AG98" s="971"/>
      <c r="AH98" s="971">
        <f t="shared" si="11"/>
        <v>2</v>
      </c>
      <c r="AI98" s="427"/>
      <c r="AJ98" s="1700">
        <f t="shared" si="16"/>
        <v>5.0000000000000001E-3</v>
      </c>
    </row>
    <row r="99" spans="1:45" ht="16.5" customHeight="1">
      <c r="A99" s="1669" t="s">
        <v>1143</v>
      </c>
      <c r="B99" s="1669"/>
      <c r="C99" s="971">
        <f>+'Exhibit F'!D90+'Exhibit G'!D81+' Exhbit I '!E60+'Exhibit H'!B42</f>
        <v>1.2</v>
      </c>
      <c r="D99" s="971"/>
      <c r="E99" s="971">
        <f>+'Exhibit F'!F90+'Exhibit G'!F81+' Exhbit I '!G60+'Exhibit H'!D42</f>
        <v>1.5</v>
      </c>
      <c r="F99" s="971"/>
      <c r="G99" s="971">
        <f>+'Exhibit F'!H90+'Exhibit G'!H81+' Exhbit I '!I60+'Exhibit H'!F42</f>
        <v>1.3</v>
      </c>
      <c r="H99" s="971"/>
      <c r="I99" s="971">
        <f>+'Exhibit F'!J90+'Exhibit G'!J81+' Exhbit I '!K60+'Exhibit H'!H42</f>
        <v>1.3</v>
      </c>
      <c r="J99" s="971"/>
      <c r="K99" s="971">
        <f>+'Exhibit F'!L90+'Exhibit G'!L81+' Exhbit I '!M60+'Exhibit H'!J42</f>
        <v>10</v>
      </c>
      <c r="L99" s="971"/>
      <c r="M99" s="971">
        <f>+'Exhibit F'!N90+'Exhibit G'!N81+' Exhbit I '!O60+'Exhibit H'!L42</f>
        <v>3.5999999999999996</v>
      </c>
      <c r="N99" s="971"/>
      <c r="O99" s="971">
        <f>+'Exhibit F'!P90+'Exhibit G'!P81+' Exhbit I '!Q60+'Exhibit H'!N42</f>
        <v>1.9</v>
      </c>
      <c r="P99" s="971"/>
      <c r="Q99" s="971">
        <f>+'Exhibit F'!R90+'Exhibit G'!R81+' Exhbit I '!S60+'Exhibit H'!P42</f>
        <v>1.6</v>
      </c>
      <c r="R99" s="971"/>
      <c r="S99" s="971">
        <f>+'Exhibit F'!T90+'Exhibit G'!T81+' Exhbit I '!U60+'Exhibit H'!R42</f>
        <v>3.5000000000000004</v>
      </c>
      <c r="T99" s="971"/>
      <c r="U99" s="971">
        <f>+'Exhibit F'!V90+'Exhibit G'!V81+' Exhbit I '!W60+'Exhibit H'!T42</f>
        <v>4.0999999999999996</v>
      </c>
      <c r="V99" s="971"/>
      <c r="W99" s="971"/>
      <c r="X99" s="971"/>
      <c r="Y99" s="971"/>
      <c r="Z99" s="971"/>
      <c r="AA99" s="972"/>
      <c r="AB99" s="971">
        <f t="shared" si="10"/>
        <v>30</v>
      </c>
      <c r="AC99" s="971"/>
      <c r="AD99" s="973"/>
      <c r="AE99" s="971">
        <f>+'Exhibit F'!AF90+'Exhibit G'!AH81+' Exhbit I '!AI60+'Exhibit H'!AD42</f>
        <v>24.400000000000002</v>
      </c>
      <c r="AF99" s="971"/>
      <c r="AG99" s="971"/>
      <c r="AH99" s="971">
        <f t="shared" si="11"/>
        <v>5.6</v>
      </c>
      <c r="AI99" s="427"/>
      <c r="AJ99" s="1700">
        <f t="shared" si="16"/>
        <v>0.23</v>
      </c>
    </row>
    <row r="100" spans="1:45" ht="16.5" customHeight="1">
      <c r="A100" s="1669" t="s">
        <v>1144</v>
      </c>
      <c r="B100" s="1669"/>
      <c r="C100" s="971">
        <f>+'Exhibit G'!D82</f>
        <v>43.8</v>
      </c>
      <c r="D100" s="971"/>
      <c r="E100" s="971">
        <f>+'Exhibit G'!F82</f>
        <v>42.4</v>
      </c>
      <c r="F100" s="971"/>
      <c r="G100" s="971">
        <f>+'Exhibit G'!H82</f>
        <v>77.3</v>
      </c>
      <c r="H100" s="971"/>
      <c r="I100" s="971">
        <f>+'Exhibit G'!J82</f>
        <v>37.799999999999997</v>
      </c>
      <c r="J100" s="971"/>
      <c r="K100" s="971">
        <f>+'Exhibit G'!L82</f>
        <v>193.3</v>
      </c>
      <c r="L100" s="971"/>
      <c r="M100" s="971">
        <f>+'Exhibit G'!N82</f>
        <v>415.2</v>
      </c>
      <c r="N100" s="971"/>
      <c r="O100" s="971">
        <f>+'Exhibit G'!P82</f>
        <v>167.1</v>
      </c>
      <c r="P100" s="971"/>
      <c r="Q100" s="971">
        <f>+'Exhibit G'!R82</f>
        <v>67.3</v>
      </c>
      <c r="R100" s="971"/>
      <c r="S100" s="971">
        <f>+'Exhibit G'!T82</f>
        <v>54.1</v>
      </c>
      <c r="T100" s="971"/>
      <c r="U100" s="971">
        <f>+'Exhibit G'!V82</f>
        <v>285.8</v>
      </c>
      <c r="V100" s="971"/>
      <c r="W100" s="971"/>
      <c r="X100" s="971"/>
      <c r="Y100" s="971"/>
      <c r="Z100" s="971"/>
      <c r="AA100" s="972"/>
      <c r="AB100" s="971">
        <f t="shared" si="10"/>
        <v>1384.1</v>
      </c>
      <c r="AC100" s="971"/>
      <c r="AD100" s="973"/>
      <c r="AE100" s="971">
        <f>+'Exhibit G'!AH82</f>
        <v>1368.3</v>
      </c>
      <c r="AF100" s="971"/>
      <c r="AG100" s="971"/>
      <c r="AH100" s="971">
        <f t="shared" si="11"/>
        <v>15.8</v>
      </c>
      <c r="AI100" s="427"/>
      <c r="AJ100" s="1700">
        <f>ROUND(IF(AE100=0,0,AH100/ABS(AE100)),3)</f>
        <v>1.2E-2</v>
      </c>
    </row>
    <row r="101" spans="1:45" s="787" customFormat="1" ht="16.5" customHeight="1">
      <c r="A101" s="583" t="s">
        <v>1179</v>
      </c>
      <c r="B101" s="410"/>
      <c r="C101" s="480">
        <f>ROUND(SUM(C61:C100),1)</f>
        <v>1493.1</v>
      </c>
      <c r="D101" s="1932"/>
      <c r="E101" s="480">
        <f>ROUND(SUM(E61:E100),1)</f>
        <v>1886.7</v>
      </c>
      <c r="F101" s="1932"/>
      <c r="G101" s="480">
        <f>ROUND(SUM(G61:G100),1)</f>
        <v>1883.8</v>
      </c>
      <c r="H101" s="1719"/>
      <c r="I101" s="480">
        <f>ROUND(SUM(I61:I100),1)</f>
        <v>2671.1</v>
      </c>
      <c r="J101" s="1719"/>
      <c r="K101" s="480">
        <f>ROUND(SUM(K61:K100),1)</f>
        <v>1762.4</v>
      </c>
      <c r="L101" s="1719"/>
      <c r="M101" s="480">
        <f>ROUND(SUM(M61:M100),1)</f>
        <v>2741.2</v>
      </c>
      <c r="N101" s="1719"/>
      <c r="O101" s="480">
        <f>ROUND(SUM(O61:O100),1)</f>
        <v>2541.1</v>
      </c>
      <c r="P101" s="1719"/>
      <c r="Q101" s="480">
        <f>ROUND(SUM(Q61:Q100),1)</f>
        <v>1990</v>
      </c>
      <c r="R101" s="1719"/>
      <c r="S101" s="480">
        <f>ROUND(SUM(S61:S100),1)</f>
        <v>3579.8</v>
      </c>
      <c r="T101" s="1719"/>
      <c r="U101" s="480">
        <f>ROUND(SUM(U61:U100),1)</f>
        <v>2040</v>
      </c>
      <c r="V101" s="1719"/>
      <c r="W101" s="480">
        <f>ROUND(SUM(W61:W100),1)</f>
        <v>0</v>
      </c>
      <c r="X101" s="407"/>
      <c r="Y101" s="480">
        <f>ROUND(SUM(Y61:Y100),1)</f>
        <v>0</v>
      </c>
      <c r="Z101" s="407"/>
      <c r="AA101" s="481"/>
      <c r="AB101" s="480">
        <f>ROUND(SUM(AB61:AB100),1)</f>
        <v>22589.200000000001</v>
      </c>
      <c r="AC101" s="1719"/>
      <c r="AD101" s="258"/>
      <c r="AE101" s="480">
        <f>ROUND(SUM(AE61:AE100),1)</f>
        <v>20046.900000000001</v>
      </c>
      <c r="AF101" s="272"/>
      <c r="AG101" s="1941"/>
      <c r="AH101" s="480">
        <f>ROUND(SUM(AH61:AH100),1)</f>
        <v>2542.3000000000002</v>
      </c>
      <c r="AI101" s="272"/>
      <c r="AJ101" s="72">
        <f>ROUND(IF(AE101=0,0,AH101/ABS(AE101)),3)</f>
        <v>0.127</v>
      </c>
    </row>
    <row r="102" spans="1:45" s="787" customFormat="1" ht="16.5" customHeight="1">
      <c r="A102" s="961"/>
      <c r="B102" s="961"/>
      <c r="C102" s="979"/>
      <c r="D102" s="979"/>
      <c r="E102" s="979"/>
      <c r="F102" s="979"/>
      <c r="G102" s="979"/>
      <c r="H102" s="979"/>
      <c r="I102" s="979"/>
      <c r="J102" s="979"/>
      <c r="K102" s="979"/>
      <c r="L102" s="979"/>
      <c r="M102" s="979"/>
      <c r="N102" s="979"/>
      <c r="O102" s="979"/>
      <c r="P102" s="979"/>
      <c r="Q102" s="979"/>
      <c r="R102" s="979"/>
      <c r="S102" s="979"/>
      <c r="T102" s="979"/>
      <c r="U102" s="979"/>
      <c r="V102" s="979"/>
      <c r="X102" s="979"/>
      <c r="Y102" s="979"/>
      <c r="Z102" s="979"/>
      <c r="AA102" s="980"/>
      <c r="AB102" s="979"/>
      <c r="AC102" s="1940"/>
      <c r="AD102" s="980"/>
      <c r="AE102" s="979"/>
      <c r="AF102" s="1940"/>
      <c r="AG102" s="979"/>
      <c r="AH102" s="979"/>
      <c r="AI102" s="961"/>
      <c r="AJ102" s="509"/>
    </row>
    <row r="103" spans="1:45" ht="16.5" customHeight="1">
      <c r="A103" s="427" t="s">
        <v>21</v>
      </c>
      <c r="B103" s="427"/>
      <c r="C103" s="976">
        <f>+'Exhibit F'!D93+'Exhibit G'!D85+'Exhibit H'!B45+' Exhbit I '!E63</f>
        <v>3473.2</v>
      </c>
      <c r="D103" s="971"/>
      <c r="E103" s="976">
        <f>+'Exhibit F'!F93+'Exhibit G'!F85+'Exhibit H'!D45+' Exhbit I '!G63</f>
        <v>4695.2999999999993</v>
      </c>
      <c r="F103" s="971"/>
      <c r="G103" s="976">
        <f>+'Exhibit F'!H93+'Exhibit G'!H85+'Exhibit H'!F45+' Exhbit I '!I63</f>
        <v>5680.9000000000005</v>
      </c>
      <c r="H103" s="971"/>
      <c r="I103" s="976">
        <f>+'Exhibit F'!J93+'Exhibit G'!J85+'Exhibit H'!H45+' Exhbit I '!K63</f>
        <v>3774.4</v>
      </c>
      <c r="J103" s="971"/>
      <c r="K103" s="976">
        <f>+'Exhibit F'!L93+'Exhibit G'!L85+'Exhibit H'!J45+' Exhbit I '!M63</f>
        <v>5262.4</v>
      </c>
      <c r="L103" s="971"/>
      <c r="M103" s="976">
        <f>+'Exhibit F'!N93+'Exhibit G'!N85+'Exhibit H'!L45+' Exhbit I '!O63</f>
        <v>5149.4000000000005</v>
      </c>
      <c r="N103" s="971"/>
      <c r="O103" s="976">
        <f>+'Exhibit F'!P93+'Exhibit G'!P85+'Exhibit H'!N45+' Exhbit I '!Q63</f>
        <v>4214.7</v>
      </c>
      <c r="P103" s="971"/>
      <c r="Q103" s="976">
        <f>+'Exhibit F'!R93+'Exhibit G'!R85+'Exhibit H'!P45+' Exhbit I '!S63</f>
        <v>5349.1</v>
      </c>
      <c r="R103" s="971"/>
      <c r="S103" s="976">
        <f>+'Exhibit F'!T93+'Exhibit G'!T85+'Exhibit H'!R45+' Exhbit I '!U63</f>
        <v>5051.9000000000005</v>
      </c>
      <c r="T103" s="971"/>
      <c r="U103" s="976">
        <f>+'Exhibit F'!V93+'Exhibit G'!V85+'Exhibit H'!T45+' Exhbit I '!W63</f>
        <v>3761.7</v>
      </c>
      <c r="V103" s="971"/>
      <c r="W103" s="975"/>
      <c r="X103" s="971"/>
      <c r="Y103" s="975"/>
      <c r="Z103" s="971"/>
      <c r="AA103" s="972"/>
      <c r="AB103" s="975">
        <f>ROUND(SUM(C103:Y103),1)</f>
        <v>46413</v>
      </c>
      <c r="AC103" s="971"/>
      <c r="AD103" s="973"/>
      <c r="AE103" s="976">
        <f>+'Exhibit F'!AF93+'Exhibit G'!AH85+'Exhibit H'!AD45+' Exhbit I '!AI63</f>
        <v>43749.3</v>
      </c>
      <c r="AF103" s="983"/>
      <c r="AG103" s="971"/>
      <c r="AH103" s="975">
        <f>ROUND(SUM(AB103-AE103),1)</f>
        <v>2663.7</v>
      </c>
      <c r="AI103" s="427"/>
      <c r="AJ103" s="2418">
        <f>ROUND(IF(AE103=0,0,AH103/ABS(AE103)),3)</f>
        <v>6.0999999999999999E-2</v>
      </c>
    </row>
    <row r="104" spans="1:45" ht="16.5" customHeight="1">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71"/>
      <c r="AH104" s="971"/>
      <c r="AI104" s="427"/>
      <c r="AJ104" s="977"/>
    </row>
    <row r="105" spans="1:45" ht="16.5" customHeight="1">
      <c r="A105" s="221" t="s">
        <v>154</v>
      </c>
      <c r="B105" s="222"/>
      <c r="C105" s="1584">
        <f>ROUND(SUM(C103+C101+C57),1)</f>
        <v>12107</v>
      </c>
      <c r="D105" s="1719"/>
      <c r="E105" s="1584">
        <f>ROUND(SUM(E103+E101+E57),1)</f>
        <v>10431</v>
      </c>
      <c r="F105" s="1719"/>
      <c r="G105" s="1584">
        <f>ROUND(SUM(G103+G101+G57),1)</f>
        <v>15202.3</v>
      </c>
      <c r="H105" s="1719"/>
      <c r="I105" s="1584">
        <f>ROUND(SUM(I103+I101+I57),1)</f>
        <v>10875.6</v>
      </c>
      <c r="J105" s="1719"/>
      <c r="K105" s="1584">
        <f>ROUND(SUM(K103+K101+K57),1)</f>
        <v>12211.7</v>
      </c>
      <c r="L105" s="1719"/>
      <c r="M105" s="1584">
        <f>ROUND(SUM(M103+M101+M57),1)</f>
        <v>15733.7</v>
      </c>
      <c r="N105" s="1719"/>
      <c r="O105" s="1584">
        <f>ROUND(SUM(O103+O101+O57),1)</f>
        <v>11112.8</v>
      </c>
      <c r="P105" s="1719"/>
      <c r="Q105" s="1584">
        <f>ROUND(SUM(Q103+Q101+Q57),1)</f>
        <v>11506.3</v>
      </c>
      <c r="R105" s="1719"/>
      <c r="S105" s="1584">
        <f>ROUND(SUM(S103+S101+S57),1)</f>
        <v>18888.7</v>
      </c>
      <c r="T105" s="1719"/>
      <c r="U105" s="1584">
        <f>ROUND(SUM(U103+U101+U57),1)</f>
        <v>18919.7</v>
      </c>
      <c r="V105" s="1719"/>
      <c r="W105" s="1584">
        <f>ROUND(SUM(W103+W101+W57),1)</f>
        <v>0</v>
      </c>
      <c r="X105" s="407"/>
      <c r="Y105" s="1584">
        <f>ROUND(SUM(Y103+Y101+Y57),1)</f>
        <v>0</v>
      </c>
      <c r="Z105" s="474"/>
      <c r="AA105" s="475"/>
      <c r="AB105" s="1584">
        <f>ROUND(SUM(AB103+AB101+AB57),1)</f>
        <v>136988.79999999999</v>
      </c>
      <c r="AC105" s="1719"/>
      <c r="AD105" s="258"/>
      <c r="AE105" s="1584">
        <f>ROUND(SUM(AE103+AE101+AE57),1)</f>
        <v>126451.1</v>
      </c>
      <c r="AF105" s="272"/>
      <c r="AG105" s="1941"/>
      <c r="AH105" s="1584">
        <f>ROUND(SUM(AH103+AH101+AH57),1)</f>
        <v>10537.7</v>
      </c>
      <c r="AI105" s="272"/>
      <c r="AJ105" s="1793">
        <f>ROUND(IF(AE105=0,0,AH105/ABS(AE105)),3)</f>
        <v>8.3000000000000004E-2</v>
      </c>
      <c r="AK105" s="787"/>
      <c r="AL105" s="787"/>
      <c r="AM105" s="787"/>
      <c r="AN105" s="787"/>
      <c r="AO105" s="787"/>
      <c r="AP105" s="787"/>
      <c r="AQ105" s="787"/>
      <c r="AR105" s="787"/>
      <c r="AS105" s="787"/>
    </row>
    <row r="106" spans="1:45" ht="16.5" customHeight="1">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71"/>
      <c r="AG106" s="971"/>
      <c r="AH106" s="1111"/>
      <c r="AI106" s="427"/>
      <c r="AJ106" s="1560"/>
    </row>
    <row r="107" spans="1:45" ht="16.5" customHeight="1">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71"/>
      <c r="AG107" s="971"/>
      <c r="AH107" s="1111"/>
      <c r="AI107" s="427"/>
      <c r="AJ107" s="1560"/>
    </row>
    <row r="108" spans="1:45" ht="16.5" customHeight="1">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260"/>
      <c r="AF108" s="971"/>
      <c r="AG108" s="971"/>
      <c r="AH108" s="971"/>
      <c r="AI108" s="427"/>
      <c r="AJ108" s="1764"/>
    </row>
    <row r="109" spans="1:45" ht="16.5" customHeight="1">
      <c r="A109" s="478" t="s">
        <v>25</v>
      </c>
      <c r="B109" s="427"/>
      <c r="C109" s="971">
        <f>+'Exhibit F'!D99+'Exhibit G'!D91+' Exhbit I '!E69</f>
        <v>1247.7</v>
      </c>
      <c r="D109" s="971"/>
      <c r="E109" s="971">
        <f>+'Exhibit F'!F99+'Exhibit G'!F91+' Exhbit I '!G69</f>
        <v>4268</v>
      </c>
      <c r="F109" s="971"/>
      <c r="G109" s="971">
        <f>+'Exhibit F'!H99+'Exhibit G'!H91+' Exhbit I '!I69</f>
        <v>3739.9</v>
      </c>
      <c r="H109" s="971"/>
      <c r="I109" s="971">
        <f>+'Exhibit F'!J99+'Exhibit G'!J91+' Exhbit I '!K69</f>
        <v>681.80000000000007</v>
      </c>
      <c r="J109" s="971"/>
      <c r="K109" s="971">
        <f>+'Exhibit F'!L99+'Exhibit G'!L91+' Exhbit I '!M69</f>
        <v>995.10000000000014</v>
      </c>
      <c r="L109" s="971"/>
      <c r="M109" s="971">
        <f>+'Exhibit F'!N99+'Exhibit G'!N91+' Exhbit I '!O69</f>
        <v>4325.2999999999984</v>
      </c>
      <c r="N109" s="971"/>
      <c r="O109" s="971">
        <f>+'Exhibit F'!P99+'Exhibit G'!P91+' Exhbit I '!Q69</f>
        <v>1277.4000000000015</v>
      </c>
      <c r="P109" s="971"/>
      <c r="Q109" s="971">
        <f>+'Exhibit F'!R99+'Exhibit G'!R91+' Exhbit I '!S69</f>
        <v>2441.7999999999997</v>
      </c>
      <c r="R109" s="971"/>
      <c r="S109" s="971">
        <f>+'Exhibit F'!T99+'Exhibit G'!T91+' Exhbit I '!U69</f>
        <v>2707.1</v>
      </c>
      <c r="T109" s="971"/>
      <c r="U109" s="971">
        <f>+'Exhibit F'!V99+'Exhibit G'!V91+' Exhbit I '!W69</f>
        <v>3413.4</v>
      </c>
      <c r="V109" s="971"/>
      <c r="W109" s="1925"/>
      <c r="X109" s="971"/>
      <c r="Y109" s="1925"/>
      <c r="Z109" s="971"/>
      <c r="AA109" s="972"/>
      <c r="AB109" s="260">
        <f>ROUND(SUM(C109:Y109),1)</f>
        <v>25097.5</v>
      </c>
      <c r="AC109" s="971"/>
      <c r="AD109" s="973"/>
      <c r="AE109" s="260">
        <f>+'Exhibit F'!AF99+'Exhibit G'!AH91+' Exhbit I '!AI69</f>
        <v>24088.9</v>
      </c>
      <c r="AF109" s="971"/>
      <c r="AG109" s="971"/>
      <c r="AH109" s="971">
        <f>ROUND(SUM(AB109-AE109),1)</f>
        <v>1008.6</v>
      </c>
      <c r="AI109" s="427"/>
      <c r="AJ109" s="1700">
        <f>ROUND(IF(AE109=0,0,AH109/ABS(AE109)),3)</f>
        <v>4.2000000000000003E-2</v>
      </c>
    </row>
    <row r="110" spans="1:45" ht="16.5" customHeight="1">
      <c r="A110" s="478" t="s">
        <v>26</v>
      </c>
      <c r="B110" s="427"/>
      <c r="C110" s="971">
        <f>+'Exhibit F'!D100+'Exhibit G'!D92+' Exhbit I '!E70</f>
        <v>2.6999999999999997</v>
      </c>
      <c r="D110" s="971"/>
      <c r="E110" s="971">
        <f>+'Exhibit F'!F100+'Exhibit G'!F92+' Exhbit I '!G70</f>
        <v>32.700000000000003</v>
      </c>
      <c r="F110" s="971"/>
      <c r="G110" s="971">
        <f>+'Exhibit F'!H100+'Exhibit G'!H92+' Exhbit I '!I70</f>
        <v>3.8</v>
      </c>
      <c r="H110" s="971"/>
      <c r="I110" s="971">
        <f>+'Exhibit F'!J100+'Exhibit G'!J92+' Exhbit I '!K70</f>
        <v>7.2</v>
      </c>
      <c r="J110" s="971"/>
      <c r="K110" s="971">
        <f>+'Exhibit F'!L100+'Exhibit G'!L92+' Exhbit I '!M70</f>
        <v>8.9</v>
      </c>
      <c r="L110" s="971"/>
      <c r="M110" s="971">
        <f>+'Exhibit F'!N100+'Exhibit G'!N92+' Exhbit I '!O70</f>
        <v>9.1999999999999993</v>
      </c>
      <c r="N110" s="971"/>
      <c r="O110" s="971">
        <f>+'Exhibit F'!P100+'Exhibit G'!P92+' Exhbit I '!Q70</f>
        <v>8.7999999999999989</v>
      </c>
      <c r="P110" s="971"/>
      <c r="Q110" s="971">
        <f>+'Exhibit F'!R100+'Exhibit G'!R92+' Exhbit I '!S70</f>
        <v>32.700000000000003</v>
      </c>
      <c r="R110" s="971"/>
      <c r="S110" s="971">
        <f>+'Exhibit F'!T100+'Exhibit G'!T92+' Exhbit I '!U70</f>
        <v>180.20000000000002</v>
      </c>
      <c r="T110" s="971"/>
      <c r="U110" s="971">
        <f>+'Exhibit F'!V100+'Exhibit G'!V92+' Exhbit I '!W70</f>
        <v>7.9</v>
      </c>
      <c r="V110" s="971"/>
      <c r="W110" s="1925"/>
      <c r="X110" s="971"/>
      <c r="Y110" s="1925"/>
      <c r="Z110" s="971"/>
      <c r="AA110" s="972"/>
      <c r="AB110" s="260">
        <f t="shared" ref="AB110:AB117" si="17">ROUND(SUM(C110:Y110),1)</f>
        <v>294.10000000000002</v>
      </c>
      <c r="AC110" s="971"/>
      <c r="AD110" s="973"/>
      <c r="AE110" s="260">
        <f>+'Exhibit F'!AF100+'Exhibit G'!AH92+' Exhbit I '!AI70</f>
        <v>277.60000000000002</v>
      </c>
      <c r="AF110" s="971"/>
      <c r="AG110" s="971"/>
      <c r="AH110" s="971">
        <f t="shared" ref="AH110:AH117" si="18">ROUND(SUM(AB110-AE110),1)</f>
        <v>16.5</v>
      </c>
      <c r="AI110" s="427"/>
      <c r="AJ110" s="1700">
        <f>ROUND(IF(AE110=0,0,AH110/ABS(AE110)),3)</f>
        <v>5.8999999999999997E-2</v>
      </c>
    </row>
    <row r="111" spans="1:45" ht="16.5" customHeight="1">
      <c r="A111" s="478" t="s">
        <v>27</v>
      </c>
      <c r="B111" s="427"/>
      <c r="C111" s="971">
        <f>+'Exhibit F'!D101+'Exhibit G'!D93+' Exhbit I '!E71</f>
        <v>24.1</v>
      </c>
      <c r="D111" s="971"/>
      <c r="E111" s="971">
        <f>+'Exhibit F'!F101+'Exhibit G'!F93+' Exhbit I '!G71</f>
        <v>49.4</v>
      </c>
      <c r="F111" s="971"/>
      <c r="G111" s="971">
        <f>+'Exhibit F'!H101+'Exhibit G'!H93+' Exhbit I '!I71</f>
        <v>651.90000000000009</v>
      </c>
      <c r="H111" s="971"/>
      <c r="I111" s="971">
        <f>+'Exhibit F'!J101+'Exhibit G'!J93+' Exhbit I '!K71</f>
        <v>61.1</v>
      </c>
      <c r="J111" s="971"/>
      <c r="K111" s="971">
        <f>+'Exhibit F'!L101+'Exhibit G'!L93+' Exhbit I '!M71</f>
        <v>92.30000000000004</v>
      </c>
      <c r="L111" s="971"/>
      <c r="M111" s="971">
        <f>+'Exhibit F'!N101+'Exhibit G'!N93+' Exhbit I '!O71</f>
        <v>245.00000000000006</v>
      </c>
      <c r="N111" s="971"/>
      <c r="O111" s="971">
        <f>+'Exhibit F'!P101+'Exhibit G'!P93+' Exhbit I '!Q71</f>
        <v>75.199999999999989</v>
      </c>
      <c r="P111" s="971"/>
      <c r="Q111" s="971">
        <f>+'Exhibit F'!R101+'Exhibit G'!R93+' Exhbit I '!S71</f>
        <v>49.599999999999994</v>
      </c>
      <c r="R111" s="971"/>
      <c r="S111" s="971">
        <f>+'Exhibit F'!T101+'Exhibit G'!T93+' Exhbit I '!U71</f>
        <v>293.10000000000002</v>
      </c>
      <c r="T111" s="971"/>
      <c r="U111" s="971">
        <f>+'Exhibit F'!V101+'Exhibit G'!V93+' Exhbit I '!W71</f>
        <v>62.400000000000006</v>
      </c>
      <c r="V111" s="971"/>
      <c r="W111" s="1925"/>
      <c r="X111" s="971"/>
      <c r="Y111" s="1925"/>
      <c r="Z111" s="971"/>
      <c r="AA111" s="972"/>
      <c r="AB111" s="260">
        <f t="shared" si="17"/>
        <v>1604.1</v>
      </c>
      <c r="AC111" s="971"/>
      <c r="AD111" s="973"/>
      <c r="AE111" s="260">
        <f>+'Exhibit F'!AF101+'Exhibit G'!AH93+' Exhbit I '!AI71</f>
        <v>1487.2</v>
      </c>
      <c r="AF111" s="971"/>
      <c r="AG111" s="971"/>
      <c r="AH111" s="971">
        <f t="shared" si="18"/>
        <v>116.9</v>
      </c>
      <c r="AI111" s="427"/>
      <c r="AJ111" s="1700">
        <f>ROUND(IF(AE111=0,0,AH111/ABS(AE111)),3)</f>
        <v>7.9000000000000001E-2</v>
      </c>
    </row>
    <row r="112" spans="1:45" ht="16.5" customHeight="1">
      <c r="A112" s="478" t="s">
        <v>28</v>
      </c>
      <c r="B112" s="427"/>
      <c r="C112" s="971"/>
      <c r="D112" s="971"/>
      <c r="E112" s="971"/>
      <c r="F112" s="971"/>
      <c r="G112" s="971"/>
      <c r="H112" s="971"/>
      <c r="I112" s="971"/>
      <c r="J112" s="971"/>
      <c r="K112" s="971"/>
      <c r="L112" s="971"/>
      <c r="M112" s="971"/>
      <c r="N112" s="971"/>
      <c r="O112" s="971"/>
      <c r="P112" s="971"/>
      <c r="Q112" s="971"/>
      <c r="R112" s="971"/>
      <c r="S112" s="971"/>
      <c r="T112" s="971"/>
      <c r="U112" s="971"/>
      <c r="V112" s="971"/>
      <c r="W112" s="1925"/>
      <c r="X112" s="971"/>
      <c r="Y112" s="1925"/>
      <c r="Z112" s="971"/>
      <c r="AA112" s="972"/>
      <c r="AB112" s="260"/>
      <c r="AC112" s="971"/>
      <c r="AD112" s="973"/>
      <c r="AE112" s="370"/>
      <c r="AF112" s="971"/>
      <c r="AG112" s="971"/>
      <c r="AH112" s="971" t="s">
        <v>15</v>
      </c>
      <c r="AI112" s="427"/>
      <c r="AJ112" s="1764"/>
    </row>
    <row r="113" spans="1:44" ht="16.5" customHeight="1">
      <c r="A113" s="479" t="s">
        <v>29</v>
      </c>
      <c r="B113" s="427"/>
      <c r="C113" s="971">
        <f>+'Exhibit F'!D103+'Exhibit G'!D95+' Exhbit I '!E73</f>
        <v>4456.8999999999996</v>
      </c>
      <c r="D113" s="971"/>
      <c r="E113" s="971">
        <f>+'Exhibit F'!F103+'Exhibit G'!F95+' Exhbit I '!G73</f>
        <v>5499.9</v>
      </c>
      <c r="F113" s="971"/>
      <c r="G113" s="971">
        <f>+'Exhibit F'!H103+'Exhibit G'!H95+' Exhbit I '!I73</f>
        <v>4344.3999999999996</v>
      </c>
      <c r="H113" s="971"/>
      <c r="I113" s="971">
        <f>+'Exhibit F'!J103+'Exhibit G'!J95+' Exhbit I '!K73</f>
        <v>4124.0999999999995</v>
      </c>
      <c r="J113" s="971"/>
      <c r="K113" s="971">
        <f>+'Exhibit F'!L103+'Exhibit G'!L95+' Exhbit I '!M73</f>
        <v>5618.5</v>
      </c>
      <c r="L113" s="971"/>
      <c r="M113" s="971">
        <f>+'Exhibit F'!N103+'Exhibit G'!N95+' Exhbit I '!O73</f>
        <v>4606.7000000000007</v>
      </c>
      <c r="N113" s="971"/>
      <c r="O113" s="971">
        <f>+'Exhibit F'!P103+'Exhibit G'!P95+' Exhbit I '!Q73</f>
        <v>4499.1000000000022</v>
      </c>
      <c r="P113" s="971"/>
      <c r="Q113" s="971">
        <f>+'Exhibit F'!R103+'Exhibit G'!R95+' Exhbit I '!S73</f>
        <v>5340.6</v>
      </c>
      <c r="R113" s="971"/>
      <c r="S113" s="971">
        <f>+'Exhibit F'!T103+'Exhibit G'!T95+' Exhbit I '!U73</f>
        <v>4348.1999999999989</v>
      </c>
      <c r="T113" s="971"/>
      <c r="U113" s="971">
        <f>+'Exhibit F'!V103+'Exhibit G'!V95+' Exhbit I '!W73</f>
        <v>4760</v>
      </c>
      <c r="V113" s="971"/>
      <c r="W113" s="1925"/>
      <c r="X113" s="971"/>
      <c r="Y113" s="1925"/>
      <c r="Z113" s="971"/>
      <c r="AA113" s="972"/>
      <c r="AB113" s="260">
        <f t="shared" si="17"/>
        <v>47598.400000000001</v>
      </c>
      <c r="AC113" s="971"/>
      <c r="AD113" s="973"/>
      <c r="AE113" s="260">
        <f>+'Exhibit F'!AF103+'Exhibit G'!AH95+' Exhbit I '!AI73</f>
        <v>43178.1</v>
      </c>
      <c r="AF113" s="971"/>
      <c r="AG113" s="971"/>
      <c r="AH113" s="971">
        <f t="shared" si="18"/>
        <v>4420.3</v>
      </c>
      <c r="AI113" s="427"/>
      <c r="AJ113" s="1700">
        <f t="shared" ref="AJ113:AJ119" si="19">ROUND(IF(AE113=0,0,AH113/ABS(AE113)),3)</f>
        <v>0.10199999999999999</v>
      </c>
      <c r="AK113" s="415"/>
    </row>
    <row r="114" spans="1:44" ht="16.5" customHeight="1">
      <c r="A114" s="478" t="s">
        <v>30</v>
      </c>
      <c r="B114" s="427"/>
      <c r="C114" s="971">
        <f>+'Exhibit F'!D104+'Exhibit G'!D96+' Exhbit I '!E74</f>
        <v>537.5</v>
      </c>
      <c r="D114" s="971"/>
      <c r="E114" s="971">
        <f>+'Exhibit F'!F104+'Exhibit G'!F96+' Exhbit I '!G74</f>
        <v>869.1</v>
      </c>
      <c r="F114" s="971"/>
      <c r="G114" s="971">
        <f>+'Exhibit F'!H104+'Exhibit G'!H96+' Exhbit I '!I74</f>
        <v>938.69999999999993</v>
      </c>
      <c r="H114" s="971"/>
      <c r="I114" s="971">
        <f>+'Exhibit F'!J104+'Exhibit G'!J96+' Exhbit I '!K74</f>
        <v>914.1</v>
      </c>
      <c r="J114" s="971"/>
      <c r="K114" s="971">
        <f>+'Exhibit F'!L104+'Exhibit G'!L96+' Exhbit I '!M74</f>
        <v>565.39999999999986</v>
      </c>
      <c r="L114" s="971"/>
      <c r="M114" s="971">
        <f>+'Exhibit F'!N104+'Exhibit G'!N96+' Exhbit I '!O74</f>
        <v>1378.3999999999999</v>
      </c>
      <c r="N114" s="971"/>
      <c r="O114" s="971">
        <f>+'Exhibit F'!P104+'Exhibit G'!P96+' Exhbit I '!Q74</f>
        <v>616.79999999999995</v>
      </c>
      <c r="P114" s="971"/>
      <c r="Q114" s="971">
        <f>+'Exhibit F'!R104+'Exhibit G'!R96+' Exhbit I '!S74</f>
        <v>640.69999999999993</v>
      </c>
      <c r="R114" s="971"/>
      <c r="S114" s="971">
        <f>+'Exhibit F'!T104+'Exhibit G'!T96+' Exhbit I '!U74</f>
        <v>878.1</v>
      </c>
      <c r="T114" s="971"/>
      <c r="U114" s="971">
        <f>+'Exhibit F'!V104+'Exhibit G'!V96+' Exhbit I '!W74</f>
        <v>736</v>
      </c>
      <c r="V114" s="971"/>
      <c r="W114" s="1925"/>
      <c r="X114" s="971"/>
      <c r="Y114" s="1925"/>
      <c r="Z114" s="971"/>
      <c r="AA114" s="972"/>
      <c r="AB114" s="260">
        <f t="shared" si="17"/>
        <v>8074.8</v>
      </c>
      <c r="AC114" s="974"/>
      <c r="AD114" s="971"/>
      <c r="AE114" s="260">
        <f>+'Exhibit F'!AF104+'Exhibit G'!AH96+' Exhbit I '!AI74</f>
        <v>7325.7</v>
      </c>
      <c r="AF114" s="971"/>
      <c r="AG114" s="971"/>
      <c r="AH114" s="971">
        <f t="shared" si="18"/>
        <v>749.1</v>
      </c>
      <c r="AI114" s="427"/>
      <c r="AJ114" s="1700">
        <f t="shared" si="19"/>
        <v>0.10199999999999999</v>
      </c>
    </row>
    <row r="115" spans="1:44" ht="16.5" customHeight="1">
      <c r="A115" s="478" t="s">
        <v>31</v>
      </c>
      <c r="B115" s="427"/>
      <c r="C115" s="971">
        <f>+'Exhibit F'!D105+'Exhibit G'!D97+' Exhbit I '!E75</f>
        <v>137</v>
      </c>
      <c r="D115" s="971"/>
      <c r="E115" s="971">
        <f>+'Exhibit F'!F105+'Exhibit G'!F97+' Exhbit I '!G75</f>
        <v>80.699999999999989</v>
      </c>
      <c r="F115" s="971"/>
      <c r="G115" s="971">
        <f>+'Exhibit F'!H105+'Exhibit G'!H97+' Exhbit I '!I75</f>
        <v>129</v>
      </c>
      <c r="H115" s="971"/>
      <c r="I115" s="971">
        <f>+'Exhibit F'!J105+'Exhibit G'!J97+' Exhbit I '!K75</f>
        <v>88.600000000000009</v>
      </c>
      <c r="J115" s="971"/>
      <c r="K115" s="971">
        <f>+'Exhibit F'!L105+'Exhibit G'!L97+' Exhbit I '!M75</f>
        <v>180.2</v>
      </c>
      <c r="L115" s="971"/>
      <c r="M115" s="971">
        <f>+'Exhibit F'!N105+'Exhibit G'!N97+' Exhbit I '!O75</f>
        <v>76.2</v>
      </c>
      <c r="N115" s="971"/>
      <c r="O115" s="971">
        <f>+'Exhibit F'!P105+'Exhibit G'!P97+' Exhbit I '!Q75</f>
        <v>173.3</v>
      </c>
      <c r="P115" s="971"/>
      <c r="Q115" s="971">
        <f>+'Exhibit F'!R105+'Exhibit G'!R97+' Exhbit I '!S75</f>
        <v>189.20000000000002</v>
      </c>
      <c r="R115" s="971"/>
      <c r="S115" s="971">
        <f>+'Exhibit F'!T105+'Exhibit G'!T97+' Exhbit I '!U75</f>
        <v>133.30000000000001</v>
      </c>
      <c r="T115" s="971"/>
      <c r="U115" s="971">
        <f>+'Exhibit F'!V105+'Exhibit G'!V97+' Exhbit I '!W75</f>
        <v>215.7</v>
      </c>
      <c r="V115" s="971"/>
      <c r="W115" s="1925"/>
      <c r="X115" s="971"/>
      <c r="Y115" s="1925"/>
      <c r="Z115" s="971"/>
      <c r="AA115" s="972"/>
      <c r="AB115" s="260">
        <f t="shared" si="17"/>
        <v>1403.2</v>
      </c>
      <c r="AC115" s="984"/>
      <c r="AD115" s="973"/>
      <c r="AE115" s="260">
        <f>+'Exhibit F'!AF105+'Exhibit G'!AH97+' Exhbit I '!AI75</f>
        <v>1484.9</v>
      </c>
      <c r="AF115" s="971"/>
      <c r="AG115" s="971"/>
      <c r="AH115" s="971">
        <f t="shared" si="18"/>
        <v>-81.7</v>
      </c>
      <c r="AI115" s="427"/>
      <c r="AJ115" s="1700">
        <f t="shared" si="19"/>
        <v>-5.5E-2</v>
      </c>
    </row>
    <row r="116" spans="1:44" ht="16.5" customHeight="1">
      <c r="A116" s="478" t="s">
        <v>32</v>
      </c>
      <c r="B116" s="427"/>
      <c r="C116" s="971">
        <f>+'Exhibit F'!D106+'Exhibit G'!D98+' Exhbit I '!E76</f>
        <v>446.6</v>
      </c>
      <c r="D116" s="971"/>
      <c r="E116" s="971">
        <f>+'Exhibit F'!F106+'Exhibit G'!F98+' Exhbit I '!G76</f>
        <v>547.5</v>
      </c>
      <c r="F116" s="971"/>
      <c r="G116" s="971">
        <f>+'Exhibit F'!H106+'Exhibit G'!H98+' Exhbit I '!I76</f>
        <v>706.4</v>
      </c>
      <c r="H116" s="971"/>
      <c r="I116" s="971">
        <f>+'Exhibit F'!J106+'Exhibit G'!J98+' Exhbit I '!K76</f>
        <v>377.9</v>
      </c>
      <c r="J116" s="971"/>
      <c r="K116" s="971">
        <f>+'Exhibit F'!L106+'Exhibit G'!L98+' Exhbit I '!M76</f>
        <v>378.8</v>
      </c>
      <c r="L116" s="971"/>
      <c r="M116" s="971">
        <f>+'Exhibit F'!N106+'Exhibit G'!N98+' Exhbit I '!O76</f>
        <v>514.29999999999984</v>
      </c>
      <c r="N116" s="971"/>
      <c r="O116" s="971">
        <f>+'Exhibit F'!P106+'Exhibit G'!P98+' Exhbit I '!Q76</f>
        <v>855.80000000000007</v>
      </c>
      <c r="P116" s="971"/>
      <c r="Q116" s="971">
        <f>+'Exhibit F'!R106+'Exhibit G'!R98+' Exhbit I '!S76</f>
        <v>487.00000000000011</v>
      </c>
      <c r="R116" s="971"/>
      <c r="S116" s="971">
        <f>+'Exhibit F'!T106+'Exhibit G'!T98+' Exhbit I '!U76</f>
        <v>348.59999999999997</v>
      </c>
      <c r="T116" s="971"/>
      <c r="U116" s="971">
        <f>+'Exhibit F'!V106+'Exhibit G'!V98+' Exhbit I '!W76</f>
        <v>285.40000000000003</v>
      </c>
      <c r="V116" s="971"/>
      <c r="W116" s="1925"/>
      <c r="X116" s="971"/>
      <c r="Y116" s="1925"/>
      <c r="Z116" s="971"/>
      <c r="AA116" s="972"/>
      <c r="AB116" s="260">
        <f t="shared" si="17"/>
        <v>4948.3</v>
      </c>
      <c r="AC116" s="984"/>
      <c r="AD116" s="973"/>
      <c r="AE116" s="260">
        <f>+'Exhibit F'!AF106+'Exhibit G'!AH98+' Exhbit I '!AI76</f>
        <v>5971.4000000000005</v>
      </c>
      <c r="AF116" s="971"/>
      <c r="AG116" s="971"/>
      <c r="AH116" s="971">
        <f t="shared" si="18"/>
        <v>-1023.1</v>
      </c>
      <c r="AI116" s="427"/>
      <c r="AJ116" s="1700">
        <f t="shared" si="19"/>
        <v>-0.17100000000000001</v>
      </c>
    </row>
    <row r="117" spans="1:44" ht="16.5" customHeight="1">
      <c r="A117" s="478" t="s">
        <v>33</v>
      </c>
      <c r="B117" s="427"/>
      <c r="C117" s="971">
        <f>+'Exhibit F'!D107+'Exhibit G'!D99+' Exhbit I '!E77</f>
        <v>165.89999999999998</v>
      </c>
      <c r="D117" s="971"/>
      <c r="E117" s="971">
        <f>+'Exhibit F'!F107+'Exhibit G'!F99+' Exhbit I '!G77</f>
        <v>78.399999999999991</v>
      </c>
      <c r="F117" s="971"/>
      <c r="G117" s="971">
        <f>+'Exhibit F'!H107+'Exhibit G'!H99+' Exhbit I '!I77</f>
        <v>102.2</v>
      </c>
      <c r="H117" s="971"/>
      <c r="I117" s="971">
        <f>+'Exhibit F'!J107+'Exhibit G'!J99+' Exhbit I '!K77</f>
        <v>119.39999999999999</v>
      </c>
      <c r="J117" s="971"/>
      <c r="K117" s="971">
        <f>+'Exhibit F'!L107+'Exhibit G'!L99+' Exhbit I '!M77</f>
        <v>244.10000000000002</v>
      </c>
      <c r="L117" s="971"/>
      <c r="M117" s="971">
        <f>+'Exhibit F'!N107+'Exhibit G'!N99+' Exhbit I '!O77</f>
        <v>86.899999999999991</v>
      </c>
      <c r="N117" s="971"/>
      <c r="O117" s="971">
        <f>+'Exhibit F'!P107+'Exhibit G'!P99+' Exhbit I '!Q77</f>
        <v>82.100000000000009</v>
      </c>
      <c r="P117" s="971"/>
      <c r="Q117" s="971">
        <f>+'Exhibit F'!R107+'Exhibit G'!R99+' Exhbit I '!S77</f>
        <v>55</v>
      </c>
      <c r="R117" s="971"/>
      <c r="S117" s="971">
        <f>+'Exhibit F'!T107+'Exhibit G'!T99+' Exhbit I '!U77</f>
        <v>0.49999999999999467</v>
      </c>
      <c r="T117" s="971"/>
      <c r="U117" s="971">
        <f>+'Exhibit F'!V107+'Exhibit G'!V99+' Exhbit I '!W77</f>
        <v>44.199999999999996</v>
      </c>
      <c r="V117" s="971"/>
      <c r="W117" s="1925"/>
      <c r="X117" s="971"/>
      <c r="Y117" s="1925"/>
      <c r="Z117" s="971"/>
      <c r="AA117" s="972"/>
      <c r="AB117" s="260">
        <f t="shared" si="17"/>
        <v>978.7</v>
      </c>
      <c r="AC117" s="984"/>
      <c r="AD117" s="973"/>
      <c r="AE117" s="260">
        <f>+'Exhibit F'!AF107+'Exhibit G'!AH99+' Exhbit I '!AI77</f>
        <v>763.09999999999991</v>
      </c>
      <c r="AF117" s="971"/>
      <c r="AG117" s="971"/>
      <c r="AH117" s="971">
        <f t="shared" si="18"/>
        <v>215.6</v>
      </c>
      <c r="AI117" s="427"/>
      <c r="AJ117" s="2555">
        <f t="shared" si="19"/>
        <v>0.28299999999999997</v>
      </c>
    </row>
    <row r="118" spans="1:44" ht="16.5" customHeight="1">
      <c r="A118" s="478" t="s">
        <v>34</v>
      </c>
      <c r="B118" s="427"/>
      <c r="C118" s="971">
        <f>+'Exhibit F'!D108+'Exhibit G'!D100+' Exhbit I '!E78</f>
        <v>285.60000000000002</v>
      </c>
      <c r="D118" s="971"/>
      <c r="E118" s="971">
        <f>+'Exhibit F'!F108+'Exhibit G'!F100+' Exhbit I '!G78</f>
        <v>560.20000000000005</v>
      </c>
      <c r="F118" s="971"/>
      <c r="G118" s="971">
        <f>+'Exhibit F'!H108+'Exhibit G'!H100+' Exhbit I '!I78</f>
        <v>522.59999999999991</v>
      </c>
      <c r="H118" s="971"/>
      <c r="I118" s="971">
        <f>+'Exhibit F'!J108+'Exhibit G'!J100+' Exhbit I '!K78</f>
        <v>402.40000000000003</v>
      </c>
      <c r="J118" s="971"/>
      <c r="K118" s="971">
        <f>+'Exhibit F'!L108+'Exhibit G'!L100+' Exhbit I '!M78</f>
        <v>635.1</v>
      </c>
      <c r="L118" s="971"/>
      <c r="M118" s="971">
        <f>+'Exhibit F'!N108+'Exhibit G'!N100+' Exhbit I '!O78</f>
        <v>511.59999999999997</v>
      </c>
      <c r="N118" s="971"/>
      <c r="O118" s="971">
        <f>+'Exhibit F'!P108+'Exhibit G'!P100+' Exhbit I '!Q78</f>
        <v>435.9</v>
      </c>
      <c r="P118" s="971"/>
      <c r="Q118" s="971">
        <f>+'Exhibit F'!R108+'Exhibit G'!R100+' Exhbit I '!S78</f>
        <v>629.4</v>
      </c>
      <c r="R118" s="971"/>
      <c r="S118" s="971">
        <f>+'Exhibit F'!T108+'Exhibit G'!T100+' Exhbit I '!U78</f>
        <v>1154.9000000000001</v>
      </c>
      <c r="T118" s="971"/>
      <c r="U118" s="971">
        <f>+'Exhibit F'!V108+'Exhibit G'!V100+' Exhbit I '!W78</f>
        <v>267.89999999999998</v>
      </c>
      <c r="V118" s="971"/>
      <c r="W118" s="1925"/>
      <c r="X118" s="971"/>
      <c r="Y118" s="1925"/>
      <c r="Z118" s="971"/>
      <c r="AA118" s="972"/>
      <c r="AB118" s="971">
        <f>ROUND(SUM(C118:Y118),1)</f>
        <v>5405.6</v>
      </c>
      <c r="AC118" s="984"/>
      <c r="AD118" s="973"/>
      <c r="AE118" s="260">
        <f>+'Exhibit F'!AF108+'Exhibit G'!AH100+' Exhbit I '!AI78</f>
        <v>5526.2</v>
      </c>
      <c r="AF118" s="971"/>
      <c r="AG118" s="971"/>
      <c r="AH118" s="971">
        <f>ROUND(SUM(AB118-AE118),1)</f>
        <v>-120.6</v>
      </c>
      <c r="AI118" s="427"/>
      <c r="AJ118" s="1700">
        <f t="shared" si="19"/>
        <v>-2.1999999999999999E-2</v>
      </c>
    </row>
    <row r="119" spans="1:44" ht="16.5" customHeight="1">
      <c r="A119" s="427" t="s">
        <v>35</v>
      </c>
      <c r="B119" s="427"/>
      <c r="C119" s="988">
        <f>ROUND(SUM(C109:C118),1)</f>
        <v>7304</v>
      </c>
      <c r="D119" s="979"/>
      <c r="E119" s="988">
        <f>ROUND(SUM(E109:E118),1)</f>
        <v>11985.9</v>
      </c>
      <c r="F119" s="979"/>
      <c r="G119" s="988">
        <f>ROUND(SUM(G109:G118),1)</f>
        <v>11138.9</v>
      </c>
      <c r="H119" s="979"/>
      <c r="I119" s="988">
        <f>ROUND(SUM(I109:I118),1)</f>
        <v>6776.6</v>
      </c>
      <c r="J119" s="979"/>
      <c r="K119" s="988">
        <f>ROUND(SUM(K109:K118),1)</f>
        <v>8718.4</v>
      </c>
      <c r="L119" s="979"/>
      <c r="M119" s="988">
        <f>ROUND(SUM(M109:M118),1)</f>
        <v>11753.6</v>
      </c>
      <c r="N119" s="979"/>
      <c r="O119" s="988">
        <f>ROUND(SUM(O109:O118),1)</f>
        <v>8024.4</v>
      </c>
      <c r="P119" s="979"/>
      <c r="Q119" s="988">
        <f>ROUND(SUM(Q109:Q118),1)</f>
        <v>9866</v>
      </c>
      <c r="R119" s="979"/>
      <c r="S119" s="988">
        <f>ROUND(SUM(S109:S118),1)</f>
        <v>10044</v>
      </c>
      <c r="T119" s="979"/>
      <c r="U119" s="988">
        <f>ROUND(SUM(U109:U118),1)</f>
        <v>9792.9</v>
      </c>
      <c r="V119" s="979"/>
      <c r="W119" s="988">
        <f>ROUND(SUM(W109:W118),1)</f>
        <v>0</v>
      </c>
      <c r="X119" s="979"/>
      <c r="Y119" s="988">
        <f>ROUND(SUM(Y109:Y118),1)</f>
        <v>0</v>
      </c>
      <c r="Z119" s="979"/>
      <c r="AA119" s="980"/>
      <c r="AB119" s="988">
        <f>ROUND(SUM(AB109:AB118),1)</f>
        <v>95404.7</v>
      </c>
      <c r="AC119" s="989"/>
      <c r="AD119" s="981"/>
      <c r="AE119" s="988">
        <f>ROUND(SUM(AE109:AE118),1)</f>
        <v>90103.1</v>
      </c>
      <c r="AF119" s="979"/>
      <c r="AG119" s="979"/>
      <c r="AH119" s="988">
        <f>ROUND(SUM(AH109:AH118),1)</f>
        <v>5301.6</v>
      </c>
      <c r="AI119" s="961"/>
      <c r="AJ119" s="72">
        <f t="shared" si="19"/>
        <v>5.8999999999999997E-2</v>
      </c>
      <c r="AK119" s="787"/>
      <c r="AL119" s="787"/>
    </row>
    <row r="120" spans="1:44" ht="16.5" customHeight="1">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248"/>
      <c r="AF120" s="971"/>
      <c r="AG120" s="971"/>
      <c r="AH120" s="1111"/>
      <c r="AI120" s="427"/>
      <c r="AJ120" s="1560"/>
    </row>
    <row r="121" spans="1:44" ht="16.5" customHeight="1">
      <c r="A121" s="427" t="s">
        <v>141</v>
      </c>
      <c r="B121" s="427"/>
      <c r="C121" s="971">
        <f>+'Exhibit F'!D111+'Exhibit G'!D103+' Exhbit I '!E81</f>
        <v>1100</v>
      </c>
      <c r="D121" s="971"/>
      <c r="E121" s="971">
        <f>+'Exhibit F'!F111+'Exhibit G'!F103+' Exhbit I '!G81</f>
        <v>1450</v>
      </c>
      <c r="F121" s="971"/>
      <c r="G121" s="971">
        <f>+'Exhibit F'!H111+'Exhibit G'!H103+' Exhbit I '!I81</f>
        <v>1064.9000000000001</v>
      </c>
      <c r="H121" s="971"/>
      <c r="I121" s="971">
        <f>+'Exhibit F'!J111+'Exhibit G'!J103+' Exhbit I '!K81</f>
        <v>1044.2</v>
      </c>
      <c r="J121" s="971"/>
      <c r="K121" s="971">
        <f>+'Exhibit F'!L111+'Exhibit G'!L103+' Exhbit I '!M81</f>
        <v>1227.8</v>
      </c>
      <c r="L121" s="971"/>
      <c r="M121" s="971">
        <f>+'Exhibit F'!N111+'Exhibit G'!N103+' Exhbit I '!O81</f>
        <v>1047.8</v>
      </c>
      <c r="N121" s="971"/>
      <c r="O121" s="971">
        <f>+'Exhibit F'!P111+'Exhibit G'!P103+' Exhbit I '!Q81</f>
        <v>1111.9000000000001</v>
      </c>
      <c r="P121" s="971"/>
      <c r="Q121" s="971">
        <f>+'Exhibit F'!R111+'Exhibit G'!R103+' Exhbit I '!S81</f>
        <v>1421.1</v>
      </c>
      <c r="R121" s="971"/>
      <c r="S121" s="971">
        <f>+'Exhibit F'!T111+'Exhibit G'!T103+' Exhbit I '!U81</f>
        <v>1081.4000000000001</v>
      </c>
      <c r="T121" s="971"/>
      <c r="U121" s="971">
        <f>+'Exhibit F'!V111+'Exhibit G'!V103+' Exhbit I '!W81</f>
        <v>1033.2</v>
      </c>
      <c r="V121" s="971"/>
      <c r="W121" s="971"/>
      <c r="X121" s="971"/>
      <c r="Y121" s="971"/>
      <c r="Z121" s="971"/>
      <c r="AA121" s="972"/>
      <c r="AB121" s="971">
        <f>ROUND(SUM(C121:Y121),1)</f>
        <v>11582.3</v>
      </c>
      <c r="AC121" s="971"/>
      <c r="AD121" s="973"/>
      <c r="AE121" s="248">
        <f>+'Exhibit F'!AF111+'Exhibit G'!AH103+' Exhbit I '!AI81</f>
        <v>11474.599999999999</v>
      </c>
      <c r="AF121" s="971"/>
      <c r="AG121" s="971"/>
      <c r="AH121" s="971">
        <f>ROUND(SUM(AB121-AE121),1)</f>
        <v>107.7</v>
      </c>
      <c r="AI121" s="427"/>
      <c r="AJ121" s="1700">
        <f>ROUND(IF(AE121=0,0,AH121/ABS(AE121)),3)</f>
        <v>8.9999999999999993E-3</v>
      </c>
    </row>
    <row r="122" spans="1:44" ht="16.5" customHeight="1">
      <c r="A122" s="427" t="s">
        <v>142</v>
      </c>
      <c r="B122" s="427"/>
      <c r="C122" s="971">
        <f>+'Exhibit F'!D112+'Exhibit G'!D104+'Exhibit H'!B51+' Exhbit I '!E82</f>
        <v>368.9</v>
      </c>
      <c r="D122" s="971"/>
      <c r="E122" s="971">
        <f>+'Exhibit F'!F112+'Exhibit G'!F104+'Exhibit H'!D51+' Exhbit I '!G82</f>
        <v>620.20000000000005</v>
      </c>
      <c r="F122" s="971"/>
      <c r="G122" s="971">
        <f>+'Exhibit F'!H112+'Exhibit G'!H104+'Exhibit H'!F51+' Exhbit I '!I82</f>
        <v>611.20000000000005</v>
      </c>
      <c r="H122" s="971"/>
      <c r="I122" s="971">
        <f>+'Exhibit F'!J112+'Exhibit G'!J104+'Exhibit H'!H51+' Exhbit I '!K82</f>
        <v>428.59999999999997</v>
      </c>
      <c r="J122" s="971"/>
      <c r="K122" s="971">
        <f>+'Exhibit F'!L112+'Exhibit G'!L104+'Exhibit H'!J51+' Exhbit I '!M82</f>
        <v>658.4</v>
      </c>
      <c r="L122" s="971"/>
      <c r="M122" s="971">
        <f>+'Exhibit F'!N112+'Exhibit G'!N104+'Exhibit H'!L51+' Exhbit I '!O82</f>
        <v>645.60000000000014</v>
      </c>
      <c r="N122" s="971"/>
      <c r="O122" s="971">
        <f>+'Exhibit F'!P112+'Exhibit G'!P104+'Exhibit H'!N51+' Exhbit I '!Q82</f>
        <v>644.19999999999993</v>
      </c>
      <c r="P122" s="971"/>
      <c r="Q122" s="971">
        <f>+'Exhibit F'!R112+'Exhibit G'!R104+'Exhibit H'!P51+' Exhbit I '!S82</f>
        <v>598.30000000000007</v>
      </c>
      <c r="R122" s="971"/>
      <c r="S122" s="971">
        <f>+'Exhibit F'!T112+'Exhibit G'!T104+'Exhibit H'!R51+' Exhbit I '!U82</f>
        <v>489.8</v>
      </c>
      <c r="T122" s="971"/>
      <c r="U122" s="971">
        <f>+'Exhibit F'!V112+'Exhibit G'!V104+'Exhibit H'!T51+' Exhbit I '!W82</f>
        <v>691.19999999999993</v>
      </c>
      <c r="V122" s="971"/>
      <c r="W122" s="971"/>
      <c r="X122" s="971"/>
      <c r="Y122" s="971"/>
      <c r="Z122" s="971"/>
      <c r="AA122" s="972"/>
      <c r="AB122" s="971">
        <f>ROUND(SUM(C122:Y122),1)</f>
        <v>5756.4</v>
      </c>
      <c r="AC122" s="971"/>
      <c r="AD122" s="973"/>
      <c r="AE122" s="248">
        <f>+'Exhibit F'!AF112+'Exhibit G'!AH104+'Exhibit H'!AD51+' Exhbit I '!AI82</f>
        <v>5559.8</v>
      </c>
      <c r="AF122" s="971"/>
      <c r="AG122" s="971"/>
      <c r="AH122" s="971">
        <f>ROUND(SUM(AB122-AE122),1)</f>
        <v>196.6</v>
      </c>
      <c r="AI122" s="427"/>
      <c r="AJ122" s="1700">
        <f>ROUND(IF(AE122=0,0,AH122/ABS(AE122)),3)</f>
        <v>3.5000000000000003E-2</v>
      </c>
    </row>
    <row r="123" spans="1:44" ht="16.5" customHeight="1">
      <c r="A123" s="427" t="s">
        <v>39</v>
      </c>
      <c r="B123" s="427"/>
      <c r="C123" s="971">
        <f>+'Exhibit F'!D113+'Exhibit G'!D105+' Exhbit I '!E83</f>
        <v>2459.2999999999997</v>
      </c>
      <c r="D123" s="971"/>
      <c r="E123" s="971">
        <f>+'Exhibit F'!F113+'Exhibit G'!F105+' Exhbit I '!G83</f>
        <v>785.1</v>
      </c>
      <c r="F123" s="971"/>
      <c r="G123" s="971">
        <f>+'Exhibit F'!H113+'Exhibit G'!H105+' Exhbit I '!I83</f>
        <v>477.9</v>
      </c>
      <c r="H123" s="971"/>
      <c r="I123" s="971">
        <f>+'Exhibit F'!J113+'Exhibit G'!J105+' Exhbit I '!K83</f>
        <v>403.2</v>
      </c>
      <c r="J123" s="971"/>
      <c r="K123" s="971">
        <f>+'Exhibit F'!L113+'Exhibit G'!L105+' Exhbit I '!M83</f>
        <v>487.19999999999976</v>
      </c>
      <c r="L123" s="971"/>
      <c r="M123" s="971">
        <f>+'Exhibit F'!N113+'Exhibit G'!N105+' Exhbit I '!O83</f>
        <v>563.1</v>
      </c>
      <c r="N123" s="971"/>
      <c r="O123" s="971">
        <f>+'Exhibit F'!P113+'Exhibit G'!P105+' Exhbit I '!Q83</f>
        <v>557.8000000000003</v>
      </c>
      <c r="P123" s="971"/>
      <c r="Q123" s="971">
        <f>+'Exhibit F'!R113+'Exhibit G'!R105+' Exhbit I '!S83</f>
        <v>563.59999999999991</v>
      </c>
      <c r="R123" s="971"/>
      <c r="S123" s="971">
        <f>+'Exhibit F'!T113+'Exhibit G'!T105+' Exhbit I '!U83</f>
        <v>552.5</v>
      </c>
      <c r="T123" s="971"/>
      <c r="U123" s="971">
        <f>+'Exhibit F'!V113+'Exhibit G'!V105+' Exhbit I '!W83</f>
        <v>477.8</v>
      </c>
      <c r="V123" s="971"/>
      <c r="W123" s="971"/>
      <c r="X123" s="971"/>
      <c r="Y123" s="971"/>
      <c r="Z123" s="971"/>
      <c r="AA123" s="972"/>
      <c r="AB123" s="971">
        <f>ROUND(SUM(C123:Y123),1)</f>
        <v>7327.5</v>
      </c>
      <c r="AC123" s="971"/>
      <c r="AD123" s="973"/>
      <c r="AE123" s="248">
        <f>+'Exhibit F'!AF113+'Exhibit G'!AH105+'Exhibit H'!AD52+' Exhbit I '!AI83</f>
        <v>6996.1</v>
      </c>
      <c r="AF123" s="971"/>
      <c r="AG123" s="971"/>
      <c r="AH123" s="971">
        <f>ROUND(SUM(AB123-AE123),1)</f>
        <v>331.4</v>
      </c>
      <c r="AI123" s="427"/>
      <c r="AJ123" s="1700">
        <f>ROUND(IF(AE123=0,0,AH123/ABS(AE123)),3)</f>
        <v>4.7E-2</v>
      </c>
    </row>
    <row r="124" spans="1:44" ht="16.5" customHeight="1">
      <c r="A124" s="427" t="s">
        <v>1375</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71"/>
      <c r="AG124" s="971"/>
      <c r="AH124" s="971"/>
      <c r="AI124" s="427"/>
      <c r="AJ124" s="1764"/>
    </row>
    <row r="125" spans="1:44" ht="16.5" customHeight="1">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f>+'Exhibit H'!R53</f>
        <v>529.29999999999995</v>
      </c>
      <c r="T125" s="971"/>
      <c r="U125" s="971">
        <f>+'Exhibit H'!T53</f>
        <v>31.099999999999909</v>
      </c>
      <c r="V125" s="971"/>
      <c r="W125" s="971"/>
      <c r="X125" s="971"/>
      <c r="Y125" s="971"/>
      <c r="Z125" s="971"/>
      <c r="AA125" s="972"/>
      <c r="AB125" s="971">
        <f>ROUND(SUM(C125:Y125),1)</f>
        <v>2224.1</v>
      </c>
      <c r="AC125" s="971"/>
      <c r="AD125" s="973"/>
      <c r="AE125" s="248">
        <f>+'Exhibit H'!AD53</f>
        <v>1960</v>
      </c>
      <c r="AF125" s="971"/>
      <c r="AG125" s="971"/>
      <c r="AH125" s="971">
        <f>ROUND(SUM(AB125-AE125),1)</f>
        <v>264.10000000000002</v>
      </c>
      <c r="AI125" s="427"/>
      <c r="AJ125" s="1700">
        <f>ROUND(IF(AE125=0,0,AH125/ABS(AE125)),3)</f>
        <v>0.13500000000000001</v>
      </c>
    </row>
    <row r="126" spans="1:44" ht="16.5" customHeight="1">
      <c r="A126" s="987" t="s">
        <v>143</v>
      </c>
      <c r="B126" s="427"/>
      <c r="C126" s="976">
        <f>+'Exhibit G'!D106+' Exhbit I '!E84</f>
        <v>350</v>
      </c>
      <c r="D126" s="971"/>
      <c r="E126" s="976">
        <f>+'Exhibit G'!F106+' Exhbit I '!G84</f>
        <v>472.2</v>
      </c>
      <c r="F126" s="971"/>
      <c r="G126" s="976">
        <f>+'Exhibit G'!H106+' Exhbit I '!I84</f>
        <v>526</v>
      </c>
      <c r="H126" s="971"/>
      <c r="I126" s="976">
        <f>+'Exhibit G'!J106+' Exhbit I '!K84</f>
        <v>555.79999999999995</v>
      </c>
      <c r="J126" s="971"/>
      <c r="K126" s="976">
        <f>+'Exhibit G'!L106+' Exhbit I '!M84</f>
        <v>575.70000000000005</v>
      </c>
      <c r="L126" s="971"/>
      <c r="M126" s="976">
        <f>+'Exhibit G'!N106+' Exhbit I '!O84</f>
        <v>596.6</v>
      </c>
      <c r="N126" s="971"/>
      <c r="O126" s="976">
        <f>+'Exhibit G'!P106+' Exhbit I '!Q84</f>
        <v>718.2</v>
      </c>
      <c r="P126" s="971"/>
      <c r="Q126" s="976">
        <f>+'Exhibit G'!R106+' Exhbit I '!S84</f>
        <v>645.30000000000007</v>
      </c>
      <c r="R126" s="971"/>
      <c r="S126" s="976">
        <f>+'Exhibit G'!T106+' Exhbit I '!U84</f>
        <v>517.79999999999995</v>
      </c>
      <c r="T126" s="971"/>
      <c r="U126" s="976">
        <f>+'Exhibit G'!V106+' Exhbit I '!W84</f>
        <v>606.70000000000005</v>
      </c>
      <c r="V126" s="971"/>
      <c r="W126" s="976"/>
      <c r="X126" s="971"/>
      <c r="Y126" s="976"/>
      <c r="Z126" s="971"/>
      <c r="AA126" s="972"/>
      <c r="AB126" s="975">
        <f>ROUND(SUM(C126:Y126),1)</f>
        <v>5564.3</v>
      </c>
      <c r="AC126" s="971"/>
      <c r="AD126" s="973"/>
      <c r="AE126" s="986">
        <f>+'Exhibit G'!AH106+' Exhbit I '!AI84</f>
        <v>5404.9</v>
      </c>
      <c r="AF126" s="971"/>
      <c r="AG126" s="971"/>
      <c r="AH126" s="975">
        <f>ROUND(SUM(AB126-AE126),1)</f>
        <v>159.4</v>
      </c>
      <c r="AI126" s="427"/>
      <c r="AJ126" s="2418">
        <f>ROUND(IF(AE126=0,0,AH126/ABS(AE126)),3)</f>
        <v>2.9000000000000001E-2</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71"/>
      <c r="AG127" s="971"/>
      <c r="AH127" s="983"/>
      <c r="AI127" s="427"/>
      <c r="AJ127" s="1204"/>
    </row>
    <row r="128" spans="1:44" ht="16.5" customHeight="1">
      <c r="A128" s="407" t="s">
        <v>59</v>
      </c>
      <c r="B128" s="427"/>
      <c r="C128" s="978">
        <f>ROUND(SUM(C119:C126),1)</f>
        <v>11669.4</v>
      </c>
      <c r="D128" s="979"/>
      <c r="E128" s="978">
        <f>ROUND(SUM(E119:E126),1)</f>
        <v>15461.6</v>
      </c>
      <c r="F128" s="979"/>
      <c r="G128" s="978">
        <f>ROUND(SUM(G119:G126),1)</f>
        <v>14005</v>
      </c>
      <c r="H128" s="979"/>
      <c r="I128" s="978">
        <f>ROUND(SUM(I119:I126),1)</f>
        <v>9236.4</v>
      </c>
      <c r="J128" s="979"/>
      <c r="K128" s="978">
        <f>ROUND(SUM(K119:K126),1)</f>
        <v>12016.1</v>
      </c>
      <c r="L128" s="979"/>
      <c r="M128" s="978">
        <f>ROUND(SUM(M119:M126),1)</f>
        <v>15363.8</v>
      </c>
      <c r="N128" s="979"/>
      <c r="O128" s="978">
        <f>ROUND(SUM(O119:O126),1)</f>
        <v>11083.2</v>
      </c>
      <c r="P128" s="979"/>
      <c r="Q128" s="978">
        <f>ROUND(SUM(Q119:Q126),1)</f>
        <v>13176.1</v>
      </c>
      <c r="R128" s="979"/>
      <c r="S128" s="978">
        <f>ROUND(SUM(S119:S126),1)</f>
        <v>13214.8</v>
      </c>
      <c r="T128" s="979"/>
      <c r="U128" s="978">
        <f>ROUND(SUM(U119:U126),1)</f>
        <v>12632.9</v>
      </c>
      <c r="V128" s="979"/>
      <c r="W128" s="978">
        <f>ROUND(SUM(W119:W126),1)</f>
        <v>0</v>
      </c>
      <c r="X128" s="979"/>
      <c r="Y128" s="978">
        <f>ROUND(SUM(Y119:Y126),1)</f>
        <v>0</v>
      </c>
      <c r="Z128" s="979"/>
      <c r="AA128" s="980"/>
      <c r="AB128" s="978">
        <f>ROUND(SUM(AB119:AB126),1)</f>
        <v>127859.3</v>
      </c>
      <c r="AC128" s="979"/>
      <c r="AD128" s="981"/>
      <c r="AE128" s="978">
        <f>ROUND(SUM(AE119:AE126),1)</f>
        <v>121498.5</v>
      </c>
      <c r="AF128" s="979"/>
      <c r="AG128" s="979"/>
      <c r="AH128" s="978">
        <f>ROUND(SUM(AB128-AE128),1)</f>
        <v>6360.8</v>
      </c>
      <c r="AI128" s="961"/>
      <c r="AJ128" s="1793">
        <f>ROUND(IF(AE128=0,0,AH128/ABS(AE128)),3)</f>
        <v>5.1999999999999998E-2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71"/>
      <c r="AG129" s="971"/>
      <c r="AH129" s="1111"/>
      <c r="AI129" s="427"/>
      <c r="AJ129" s="1560"/>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71"/>
      <c r="AG130" s="971"/>
      <c r="AH130" s="1111"/>
      <c r="AI130" s="427"/>
      <c r="AJ130" s="1560"/>
    </row>
    <row r="131" spans="1:59" ht="16.5" customHeight="1">
      <c r="A131" s="407" t="s">
        <v>45</v>
      </c>
      <c r="B131" s="427"/>
      <c r="C131" s="978">
        <f>ROUND(SUM(C105-C128),1)</f>
        <v>437.6</v>
      </c>
      <c r="D131" s="979"/>
      <c r="E131" s="978">
        <f>ROUND(SUM(E105-E128),1)</f>
        <v>-5030.6000000000004</v>
      </c>
      <c r="F131" s="979"/>
      <c r="G131" s="978">
        <f>ROUND(SUM(G105-G128),1)</f>
        <v>1197.3</v>
      </c>
      <c r="H131" s="979"/>
      <c r="I131" s="978">
        <f>ROUND(SUM(I105-I128),1)</f>
        <v>1639.2</v>
      </c>
      <c r="J131" s="979"/>
      <c r="K131" s="978">
        <f>ROUND(SUM(K105-K128),1)</f>
        <v>195.6</v>
      </c>
      <c r="L131" s="979"/>
      <c r="M131" s="978">
        <f>ROUND(SUM(M105-M128),1)</f>
        <v>369.9</v>
      </c>
      <c r="N131" s="979"/>
      <c r="O131" s="978">
        <f>ROUND(SUM(O105-O128),1)</f>
        <v>29.6</v>
      </c>
      <c r="P131" s="979"/>
      <c r="Q131" s="978">
        <f>ROUND(SUM(Q105-Q128),1)</f>
        <v>-1669.8</v>
      </c>
      <c r="R131" s="979"/>
      <c r="S131" s="978">
        <f>ROUND(SUM(S105-S128),1)</f>
        <v>5673.9</v>
      </c>
      <c r="T131" s="979"/>
      <c r="U131" s="978">
        <f>ROUND(SUM(U105-U128),1)</f>
        <v>6286.8</v>
      </c>
      <c r="V131" s="979"/>
      <c r="W131" s="978">
        <f>ROUND(SUM(W105-W128),1)</f>
        <v>0</v>
      </c>
      <c r="X131" s="979"/>
      <c r="Y131" s="978">
        <f>ROUND(SUM(Y105-Y128),1)</f>
        <v>0</v>
      </c>
      <c r="Z131" s="979"/>
      <c r="AA131" s="980"/>
      <c r="AB131" s="978">
        <f>ROUND(SUM(AB105-AB128),1)</f>
        <v>9129.5</v>
      </c>
      <c r="AC131" s="979"/>
      <c r="AD131" s="981"/>
      <c r="AE131" s="978">
        <f>ROUND(SUM(AE105-AE128),1)</f>
        <v>4952.6000000000004</v>
      </c>
      <c r="AF131" s="979"/>
      <c r="AG131" s="979"/>
      <c r="AH131" s="990">
        <f>ROUND(SUM(AB131-AE131),1)</f>
        <v>4176.8999999999996</v>
      </c>
      <c r="AI131" s="961"/>
      <c r="AJ131" s="2544">
        <f>ROUND(IF(AE131=0,0,AH131/ABS(AE131)),3)</f>
        <v>0.84299999999999997</v>
      </c>
      <c r="AK131" s="787"/>
      <c r="AL131" s="787"/>
    </row>
    <row r="132" spans="1:59" ht="16.5" customHeight="1">
      <c r="A132" s="365"/>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71"/>
      <c r="AG132" s="971"/>
      <c r="AH132" s="1111"/>
      <c r="AI132" s="427"/>
      <c r="AJ132" s="1560"/>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974"/>
      <c r="AA133" s="972"/>
      <c r="AB133" s="983"/>
      <c r="AC133" s="974"/>
      <c r="AD133" s="971"/>
      <c r="AE133" s="983"/>
      <c r="AF133" s="971"/>
      <c r="AG133" s="971"/>
      <c r="AH133" s="1111"/>
      <c r="AI133" s="427"/>
      <c r="AJ133" s="1560"/>
    </row>
    <row r="134" spans="1:59" ht="16.5" customHeight="1">
      <c r="A134" s="427" t="s">
        <v>47</v>
      </c>
      <c r="B134" s="427"/>
      <c r="C134" s="993">
        <v>0</v>
      </c>
      <c r="D134" s="971"/>
      <c r="E134" s="993">
        <v>0</v>
      </c>
      <c r="F134" s="992"/>
      <c r="G134" s="993">
        <v>0</v>
      </c>
      <c r="H134" s="992"/>
      <c r="I134" s="993">
        <v>0</v>
      </c>
      <c r="J134" s="992"/>
      <c r="K134" s="3333">
        <v>0</v>
      </c>
      <c r="L134" s="992"/>
      <c r="M134" s="993">
        <v>0</v>
      </c>
      <c r="N134" s="992"/>
      <c r="O134" s="993">
        <v>0</v>
      </c>
      <c r="P134" s="992"/>
      <c r="Q134" s="993">
        <v>0</v>
      </c>
      <c r="R134" s="992"/>
      <c r="S134" s="993">
        <v>0</v>
      </c>
      <c r="T134" s="992"/>
      <c r="U134" s="993">
        <v>0</v>
      </c>
      <c r="V134" s="971"/>
      <c r="W134" s="993"/>
      <c r="X134" s="971"/>
      <c r="Y134" s="993"/>
      <c r="Z134" s="971"/>
      <c r="AA134" s="972"/>
      <c r="AB134" s="971">
        <f>ROUND(SUM(C134:Y134),1)</f>
        <v>0</v>
      </c>
      <c r="AC134" s="971"/>
      <c r="AD134" s="973"/>
      <c r="AE134" s="994">
        <v>0</v>
      </c>
      <c r="AF134" s="971"/>
      <c r="AG134" s="971"/>
      <c r="AH134" s="971">
        <f>ROUND(SUM(AB134-AE134),1)</f>
        <v>0</v>
      </c>
      <c r="AI134" s="963"/>
      <c r="AJ134" s="2582">
        <f>ROUND(IF(AE134=0,0,AH134/ABS(AE134)),3)</f>
        <v>0</v>
      </c>
    </row>
    <row r="135" spans="1:59" ht="16.5" customHeight="1">
      <c r="A135" s="427" t="s">
        <v>48</v>
      </c>
      <c r="B135" s="427"/>
      <c r="C135" s="3333">
        <v>3449.1</v>
      </c>
      <c r="D135" s="971"/>
      <c r="E135" s="3333">
        <v>2289.1999999999998</v>
      </c>
      <c r="F135" s="971"/>
      <c r="G135" s="3333">
        <v>3496.5</v>
      </c>
      <c r="H135" s="971"/>
      <c r="I135" s="3333">
        <v>1494</v>
      </c>
      <c r="J135" s="971"/>
      <c r="K135" s="3333">
        <v>2367.8000000000002</v>
      </c>
      <c r="L135" s="971"/>
      <c r="M135" s="3333">
        <v>3227.7</v>
      </c>
      <c r="N135" s="971"/>
      <c r="O135" s="3333">
        <v>2075.1</v>
      </c>
      <c r="P135" s="971"/>
      <c r="Q135" s="3333">
        <v>2420.1</v>
      </c>
      <c r="R135" s="971"/>
      <c r="S135" s="3333">
        <v>2196.9</v>
      </c>
      <c r="T135" s="971"/>
      <c r="U135" s="3333">
        <f>'Exhibit A'!V49</f>
        <v>2576.6999999999998</v>
      </c>
      <c r="V135" s="971"/>
      <c r="W135" s="993"/>
      <c r="X135" s="971"/>
      <c r="Y135" s="993"/>
      <c r="Z135" s="971"/>
      <c r="AA135" s="972"/>
      <c r="AB135" s="971">
        <f>ROUND(SUM(C135:Y135),1)</f>
        <v>25593.1</v>
      </c>
      <c r="AC135" s="971"/>
      <c r="AD135" s="972"/>
      <c r="AE135" s="971">
        <f>'Exhibit A'!AD49</f>
        <v>25437.9</v>
      </c>
      <c r="AF135" s="971"/>
      <c r="AG135" s="971"/>
      <c r="AH135" s="971">
        <f>ROUND(SUM(AB135-AE135),1)</f>
        <v>155.19999999999999</v>
      </c>
      <c r="AI135" s="427"/>
      <c r="AJ135" s="2582">
        <f>ROUND(IF(AE135=0,0,AH135/ABS(AE135)),3)</f>
        <v>6.0000000000000001E-3</v>
      </c>
    </row>
    <row r="136" spans="1:59" ht="16.5" customHeight="1">
      <c r="A136" s="427" t="s">
        <v>49</v>
      </c>
      <c r="C136" s="3334">
        <v>-3475</v>
      </c>
      <c r="D136" s="247"/>
      <c r="E136" s="3333">
        <v>-2291.1</v>
      </c>
      <c r="F136" s="247"/>
      <c r="G136" s="3333">
        <v>-3497.8</v>
      </c>
      <c r="H136" s="247"/>
      <c r="I136" s="3333">
        <v>-1496.3</v>
      </c>
      <c r="J136" s="247"/>
      <c r="K136" s="3334">
        <v>-2385.6999999999998</v>
      </c>
      <c r="L136" s="247"/>
      <c r="M136" s="3334">
        <v>-3241.5</v>
      </c>
      <c r="N136" s="247"/>
      <c r="O136" s="3334">
        <v>-2081.6999999999998</v>
      </c>
      <c r="P136" s="247"/>
      <c r="Q136" s="3334">
        <v>-2437.8000000000002</v>
      </c>
      <c r="R136" s="247"/>
      <c r="S136" s="3334">
        <v>-2204.1</v>
      </c>
      <c r="T136" s="247"/>
      <c r="U136" s="3334">
        <f>'Exhibit A'!V50</f>
        <v>-2579.6999999999998</v>
      </c>
      <c r="V136" s="247"/>
      <c r="W136" s="1088"/>
      <c r="X136" s="247"/>
      <c r="Y136" s="1088"/>
      <c r="Z136" s="247"/>
      <c r="AA136" s="995"/>
      <c r="AB136" s="975">
        <f>ROUND(SUM(C136:Y136),1)</f>
        <v>-25690.7</v>
      </c>
      <c r="AC136" s="247"/>
      <c r="AD136" s="995"/>
      <c r="AE136" s="975">
        <f>+'Exhibit A'!AD50</f>
        <v>-25469.1</v>
      </c>
      <c r="AF136" s="247"/>
      <c r="AG136" s="247"/>
      <c r="AH136" s="975">
        <f>ROUND(SUM(-AB136+AE136),1)</f>
        <v>221.6</v>
      </c>
      <c r="AI136" s="1560"/>
      <c r="AJ136" s="2585">
        <f>ROUND(IF(AE136=0,0,AH136/ABS(AE136)),3)</f>
        <v>8.9999999999999993E-3</v>
      </c>
      <c r="AK136" s="2655"/>
    </row>
    <row r="137" spans="1:59" ht="16.5" customHeight="1">
      <c r="A137" s="427"/>
      <c r="C137" s="983"/>
      <c r="D137" s="247"/>
      <c r="E137" s="3345"/>
      <c r="F137" s="247"/>
      <c r="G137" s="3345"/>
      <c r="H137" s="247"/>
      <c r="I137" s="3345"/>
      <c r="J137" s="247"/>
      <c r="K137" s="3470"/>
      <c r="L137" s="247"/>
      <c r="M137" s="983"/>
      <c r="N137" s="247"/>
      <c r="O137" s="983"/>
      <c r="P137" s="247"/>
      <c r="Q137" s="983"/>
      <c r="R137" s="247"/>
      <c r="S137" s="983"/>
      <c r="T137" s="247"/>
      <c r="U137" s="983"/>
      <c r="V137" s="247"/>
      <c r="W137" s="983"/>
      <c r="X137" s="247"/>
      <c r="Y137" s="983"/>
      <c r="Z137" s="247"/>
      <c r="AA137" s="995"/>
      <c r="AB137" s="983"/>
      <c r="AC137" s="247"/>
      <c r="AD137" s="995"/>
      <c r="AE137" s="983"/>
      <c r="AF137" s="247"/>
      <c r="AG137" s="247"/>
      <c r="AH137" s="983"/>
      <c r="AI137" s="1560"/>
      <c r="AJ137" s="1204"/>
    </row>
    <row r="138" spans="1:59" ht="16.5" customHeight="1">
      <c r="A138" s="407" t="s">
        <v>50</v>
      </c>
      <c r="C138" s="978">
        <f>ROUND(SUM(C134:C136),1)</f>
        <v>-25.9</v>
      </c>
      <c r="D138" s="996"/>
      <c r="E138" s="978">
        <f>ROUND(SUM(E134:E136),1)</f>
        <v>-1.9</v>
      </c>
      <c r="F138" s="996"/>
      <c r="G138" s="978">
        <f>ROUND(SUM(G134:G136),1)</f>
        <v>-1.3</v>
      </c>
      <c r="H138" s="996"/>
      <c r="I138" s="978">
        <f>ROUND(SUM(I134:I136),1)</f>
        <v>-2.2999999999999998</v>
      </c>
      <c r="J138" s="996"/>
      <c r="K138" s="3471">
        <f>ROUND(SUM(K134:K136),1)</f>
        <v>-17.899999999999999</v>
      </c>
      <c r="L138" s="996"/>
      <c r="M138" s="978">
        <f>ROUND(SUM(M134:M136),1)</f>
        <v>-13.8</v>
      </c>
      <c r="N138" s="996"/>
      <c r="O138" s="978">
        <f>ROUND(SUM(O134:O136),1)</f>
        <v>-6.6</v>
      </c>
      <c r="P138" s="996"/>
      <c r="Q138" s="978">
        <f>ROUND(SUM(Q134:Q136),1)</f>
        <v>-17.7</v>
      </c>
      <c r="R138" s="996"/>
      <c r="S138" s="978">
        <f>ROUND(SUM(S134:S136),1)</f>
        <v>-7.2</v>
      </c>
      <c r="T138" s="996"/>
      <c r="U138" s="978">
        <f>ROUND(SUM(U134:U136),1)</f>
        <v>-3</v>
      </c>
      <c r="V138" s="996"/>
      <c r="W138" s="978">
        <f>ROUND(SUM(W134:W136),1)</f>
        <v>0</v>
      </c>
      <c r="X138" s="996"/>
      <c r="Y138" s="978">
        <f>ROUND(SUM(Y134:Y136),1)</f>
        <v>0</v>
      </c>
      <c r="Z138" s="996"/>
      <c r="AA138" s="997"/>
      <c r="AB138" s="978">
        <f>ROUND(SUM(AB134:AB137),1)</f>
        <v>-97.6</v>
      </c>
      <c r="AC138" s="996"/>
      <c r="AD138" s="997"/>
      <c r="AE138" s="978">
        <f>SUM(AE134:AE137)</f>
        <v>-31.19999999999709</v>
      </c>
      <c r="AF138" s="996"/>
      <c r="AG138" s="996"/>
      <c r="AH138" s="978">
        <f>ROUND(SUM(+AH135-AH136+AH134),1)</f>
        <v>-66.400000000000006</v>
      </c>
      <c r="AI138" s="407"/>
      <c r="AJ138" s="1793">
        <f>ROUND(IF(AE138=0,0,AH138/ABS(AE138)),3)</f>
        <v>-2.1280000000000001</v>
      </c>
      <c r="AK138" s="787"/>
      <c r="AL138" s="787"/>
    </row>
    <row r="139" spans="1:59" ht="16.5" customHeight="1">
      <c r="A139" s="365"/>
      <c r="C139" s="247"/>
      <c r="D139" s="247"/>
      <c r="E139" s="247"/>
      <c r="F139" s="247"/>
      <c r="G139" s="247"/>
      <c r="H139" s="247"/>
      <c r="I139" s="247"/>
      <c r="J139" s="247"/>
      <c r="K139" s="3472"/>
      <c r="L139" s="247"/>
      <c r="M139" s="247"/>
      <c r="N139" s="247"/>
      <c r="O139" s="247"/>
      <c r="P139" s="247"/>
      <c r="Q139" s="247"/>
      <c r="R139" s="247"/>
      <c r="S139" s="247"/>
      <c r="T139" s="247"/>
      <c r="U139" s="247"/>
      <c r="V139" s="247"/>
      <c r="W139" s="247"/>
      <c r="X139" s="247"/>
      <c r="Y139" s="247"/>
      <c r="Z139" s="247"/>
      <c r="AA139" s="995"/>
      <c r="AB139" s="247"/>
      <c r="AC139" s="247"/>
      <c r="AD139" s="995"/>
      <c r="AE139" s="247"/>
      <c r="AF139" s="247"/>
      <c r="AG139" s="247"/>
      <c r="AH139" s="1111"/>
      <c r="AI139" s="1560"/>
      <c r="AJ139" s="1560"/>
    </row>
    <row r="140" spans="1:59" ht="16.5" customHeight="1">
      <c r="A140" s="476" t="s">
        <v>44</v>
      </c>
      <c r="C140" s="983"/>
      <c r="D140" s="247"/>
      <c r="E140" s="983"/>
      <c r="F140" s="247"/>
      <c r="G140" s="983"/>
      <c r="H140" s="247"/>
      <c r="I140" s="983"/>
      <c r="J140" s="247"/>
      <c r="K140" s="983"/>
      <c r="L140" s="247"/>
      <c r="M140" s="983"/>
      <c r="N140" s="247"/>
      <c r="O140" s="983"/>
      <c r="P140" s="247"/>
      <c r="Q140" s="983"/>
      <c r="R140" s="247"/>
      <c r="S140" s="983"/>
      <c r="T140" s="247"/>
      <c r="U140" s="983"/>
      <c r="V140" s="247"/>
      <c r="W140" s="983"/>
      <c r="X140" s="247"/>
      <c r="Y140" s="983"/>
      <c r="Z140" s="247"/>
      <c r="AA140" s="995"/>
      <c r="AB140" s="983"/>
      <c r="AC140" s="247"/>
      <c r="AD140" s="995"/>
      <c r="AE140" s="983"/>
      <c r="AF140" s="247"/>
      <c r="AG140" s="247"/>
      <c r="AH140" s="1111"/>
      <c r="AI140" s="1560"/>
      <c r="AJ140" s="1560"/>
    </row>
    <row r="141" spans="1:59" ht="16.5" customHeight="1">
      <c r="A141" s="476" t="s">
        <v>51</v>
      </c>
      <c r="C141" s="979"/>
      <c r="D141" s="996"/>
      <c r="E141" s="979"/>
      <c r="F141" s="996"/>
      <c r="G141" s="979"/>
      <c r="H141" s="996"/>
      <c r="I141" s="979"/>
      <c r="J141" s="996"/>
      <c r="K141" s="979"/>
      <c r="L141" s="996"/>
      <c r="M141" s="979"/>
      <c r="N141" s="996"/>
      <c r="O141" s="979"/>
      <c r="P141" s="996"/>
      <c r="Q141" s="979"/>
      <c r="R141" s="996"/>
      <c r="S141" s="979"/>
      <c r="T141" s="996"/>
      <c r="U141" s="979"/>
      <c r="V141" s="996"/>
      <c r="W141" s="979"/>
      <c r="X141" s="996"/>
      <c r="Y141" s="979"/>
      <c r="Z141" s="996"/>
      <c r="AA141" s="997"/>
      <c r="AB141" s="979"/>
      <c r="AC141" s="996"/>
      <c r="AD141" s="997"/>
      <c r="AE141" s="979"/>
      <c r="AF141" s="996"/>
      <c r="AG141" s="996"/>
      <c r="AH141" s="1719"/>
      <c r="AI141" s="407"/>
      <c r="AJ141" s="40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6.5" customHeight="1">
      <c r="A142" s="476" t="s">
        <v>52</v>
      </c>
      <c r="C142" s="998">
        <f>ROUND(SUM(C131+C138),1)</f>
        <v>411.7</v>
      </c>
      <c r="D142" s="996"/>
      <c r="E142" s="998">
        <f>ROUND(SUM(E131+E138),1)</f>
        <v>-5032.5</v>
      </c>
      <c r="F142" s="996"/>
      <c r="G142" s="998">
        <f>ROUND(SUM(G131+G138),1)</f>
        <v>1196</v>
      </c>
      <c r="H142" s="996"/>
      <c r="I142" s="998">
        <f>ROUND(SUM(I131+I138),1)</f>
        <v>1636.9</v>
      </c>
      <c r="J142" s="996"/>
      <c r="K142" s="998">
        <f>ROUND(SUM(K131+K138),1)</f>
        <v>177.7</v>
      </c>
      <c r="L142" s="996"/>
      <c r="M142" s="998">
        <f>ROUND(SUM(M131+M138),1)</f>
        <v>356.1</v>
      </c>
      <c r="N142" s="996"/>
      <c r="O142" s="998">
        <f>ROUND(SUM(O131+O138),1)</f>
        <v>23</v>
      </c>
      <c r="P142" s="996"/>
      <c r="Q142" s="998">
        <f>ROUND(SUM(Q131+Q138),1)</f>
        <v>-1687.5</v>
      </c>
      <c r="R142" s="996"/>
      <c r="S142" s="998">
        <f>ROUND(SUM(S131+S138),1)</f>
        <v>5666.7</v>
      </c>
      <c r="T142" s="996"/>
      <c r="U142" s="998">
        <f>ROUND(SUM(U131+U138),1)</f>
        <v>6283.8</v>
      </c>
      <c r="V142" s="996"/>
      <c r="W142" s="998">
        <f>ROUND(SUM(W131+W138),1)</f>
        <v>0</v>
      </c>
      <c r="X142" s="996"/>
      <c r="Y142" s="998">
        <f>ROUND(SUM(Y131+Y138),1)</f>
        <v>0</v>
      </c>
      <c r="Z142" s="996"/>
      <c r="AA142" s="997"/>
      <c r="AB142" s="998">
        <f>ROUND(SUM(AB131+AB138),1)</f>
        <v>9031.9</v>
      </c>
      <c r="AC142" s="996"/>
      <c r="AD142" s="997"/>
      <c r="AE142" s="998">
        <f>AE131+AE138</f>
        <v>4921.4000000000033</v>
      </c>
      <c r="AF142" s="996"/>
      <c r="AG142" s="996"/>
      <c r="AH142" s="990">
        <f>ROUND(SUM(AB142-AE142),1)</f>
        <v>4110.5</v>
      </c>
      <c r="AI142" s="407"/>
      <c r="AJ142" s="2544">
        <f>ROUND(IF(AE142=0,0,AH142/ABS(AE142)),3)</f>
        <v>0.83499999999999996</v>
      </c>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row>
    <row r="143" spans="1:59" ht="16.5" customHeight="1">
      <c r="A143" s="407"/>
      <c r="C143" s="964"/>
      <c r="E143" s="964"/>
      <c r="G143" s="964"/>
      <c r="I143" s="964"/>
      <c r="K143" s="964"/>
      <c r="M143" s="964"/>
      <c r="O143" s="964"/>
      <c r="Q143" s="964"/>
      <c r="S143" s="964"/>
      <c r="U143" s="964"/>
      <c r="W143" s="964"/>
      <c r="Y143" s="964"/>
      <c r="AA143" s="999"/>
      <c r="AB143" s="964"/>
      <c r="AD143" s="999"/>
      <c r="AE143" s="964"/>
      <c r="AH143" s="1560"/>
      <c r="AI143" s="1560"/>
      <c r="AJ143" s="1560"/>
    </row>
    <row r="144" spans="1:59" ht="16.5" customHeight="1" thickBot="1">
      <c r="A144" s="1000" t="s">
        <v>144</v>
      </c>
      <c r="C144" s="1001">
        <f>ROUND(SUM(C16+C142),1)</f>
        <v>11516.4</v>
      </c>
      <c r="D144" s="469"/>
      <c r="E144" s="1001">
        <f>ROUND(SUM(E16+E142),1)</f>
        <v>6483.9</v>
      </c>
      <c r="F144" s="469"/>
      <c r="G144" s="1001">
        <f>ROUND(SUM(G16+G142),1)</f>
        <v>7679.9</v>
      </c>
      <c r="H144" s="469"/>
      <c r="I144" s="1001">
        <f>ROUND(SUM(I16+I142),1)</f>
        <v>9316.7999999999993</v>
      </c>
      <c r="J144" s="1002"/>
      <c r="K144" s="1001">
        <f>ROUND(SUM(K16+K142),1)</f>
        <v>9494.5</v>
      </c>
      <c r="L144" s="1002"/>
      <c r="M144" s="1001">
        <f>ROUND(SUM(M16+M142),1)</f>
        <v>9850.6</v>
      </c>
      <c r="N144" s="1002"/>
      <c r="O144" s="1001">
        <f>ROUND(SUM(O16+O142),1)</f>
        <v>9873.6</v>
      </c>
      <c r="P144" s="1002"/>
      <c r="Q144" s="1001">
        <f>ROUND(SUM(Q16+Q142),1)</f>
        <v>8186.1</v>
      </c>
      <c r="R144" s="1002"/>
      <c r="S144" s="1001">
        <f>ROUND(SUM(S16+S142),1)</f>
        <v>13852.8</v>
      </c>
      <c r="T144" s="1002"/>
      <c r="U144" s="1001">
        <f>ROUND(SUM(U16+U142),1)</f>
        <v>20136.599999999999</v>
      </c>
      <c r="V144" s="1002"/>
      <c r="W144" s="1001">
        <f>ROUND(SUM(W16+W142),1)</f>
        <v>0</v>
      </c>
      <c r="X144" s="1002"/>
      <c r="Y144" s="1001">
        <f>ROUND(SUM(Y16+Y142),1)</f>
        <v>0</v>
      </c>
      <c r="Z144" s="469"/>
      <c r="AA144" s="1003"/>
      <c r="AB144" s="1001">
        <f>ROUND(SUM(AB16+AB142),1)</f>
        <v>20136.599999999999</v>
      </c>
      <c r="AC144" s="469"/>
      <c r="AD144" s="1003"/>
      <c r="AE144" s="1001">
        <f>AE16+AE142</f>
        <v>16731.500000000004</v>
      </c>
      <c r="AF144" s="469"/>
      <c r="AG144" s="469"/>
      <c r="AH144" s="1001">
        <f>ROUND(SUM(AB144-AE144),1)</f>
        <v>3405.1</v>
      </c>
      <c r="AI144" s="407"/>
      <c r="AJ144" s="127">
        <f>ROUND(IF(AE144=0,0,AH144/ABS(AE144)),3)</f>
        <v>0.20399999999999999</v>
      </c>
      <c r="AK144" s="787"/>
    </row>
    <row r="145" spans="1:36" ht="16.5" customHeight="1" thickTop="1">
      <c r="A145" s="1004"/>
      <c r="C145" s="415"/>
      <c r="AH145" s="1560"/>
      <c r="AI145" s="1560"/>
      <c r="AJ145" s="1560"/>
    </row>
    <row r="146" spans="1:36" ht="16.5" customHeight="1">
      <c r="A146" s="675" t="s">
        <v>145</v>
      </c>
      <c r="AH146" s="1560"/>
      <c r="AI146" s="1560"/>
      <c r="AJ146" s="1560"/>
    </row>
    <row r="147" spans="1:36" ht="16.5" customHeight="1">
      <c r="A147" s="222"/>
      <c r="AH147" s="1560"/>
      <c r="AI147" s="1560"/>
      <c r="AJ147" s="1560"/>
    </row>
    <row r="148" spans="1:36" ht="16.5" customHeight="1">
      <c r="A148" s="222"/>
      <c r="AH148" s="1560"/>
      <c r="AI148" s="1560"/>
      <c r="AJ148" s="1560"/>
    </row>
    <row r="149" spans="1:36" ht="16.5" customHeight="1">
      <c r="A149" s="222"/>
      <c r="AH149" s="1560"/>
      <c r="AI149" s="1560"/>
      <c r="AJ149" s="1560"/>
    </row>
    <row r="150" spans="1:36" ht="16.5" customHeight="1">
      <c r="AH150" s="1560"/>
      <c r="AI150" s="1560"/>
      <c r="AJ150" s="1560"/>
    </row>
    <row r="151" spans="1:36" ht="16.5" customHeight="1">
      <c r="AH151" s="1560"/>
      <c r="AI151" s="1560"/>
      <c r="AJ151" s="1560"/>
    </row>
    <row r="152" spans="1:36" ht="16.5" customHeight="1">
      <c r="AH152" s="1560"/>
      <c r="AI152" s="1560"/>
      <c r="AJ152" s="1560"/>
    </row>
    <row r="153" spans="1:36" ht="16.5" customHeight="1">
      <c r="AH153" s="1560"/>
      <c r="AI153" s="1560"/>
      <c r="AJ153" s="1560"/>
    </row>
    <row r="154" spans="1:36" ht="16.5" customHeight="1">
      <c r="AH154" s="1560"/>
      <c r="AI154" s="1560"/>
      <c r="AJ154" s="1560"/>
    </row>
    <row r="155" spans="1:36" ht="16.5" customHeight="1">
      <c r="AH155" s="1560"/>
      <c r="AI155" s="1560"/>
      <c r="AJ155" s="1560"/>
    </row>
    <row r="156" spans="1:36" ht="16.5" customHeight="1">
      <c r="AH156" s="1560"/>
      <c r="AI156" s="1560"/>
      <c r="AJ156" s="1560"/>
    </row>
    <row r="157" spans="1:36" ht="16.5" customHeight="1">
      <c r="AH157" s="1560"/>
      <c r="AI157" s="1560"/>
      <c r="AJ157" s="1560"/>
    </row>
    <row r="158" spans="1:36" ht="16.5" customHeight="1">
      <c r="AH158" s="1560"/>
      <c r="AI158" s="1560"/>
      <c r="AJ158" s="1560"/>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firstPageNumber="17"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34" t="s">
        <v>1066</v>
      </c>
    </row>
    <row r="2" spans="1:37" ht="15">
      <c r="A2" s="1577"/>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1268</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1269</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37"/>
      <c r="AD5" s="3540"/>
      <c r="AE5" s="3540"/>
      <c r="AF5" s="3540"/>
      <c r="AG5" s="3540"/>
      <c r="AH5" s="3540"/>
      <c r="AI5" s="3540"/>
      <c r="AJ5" s="3540"/>
    </row>
    <row r="6" spans="1:37" ht="22.8">
      <c r="A6" s="426" t="s">
        <v>1437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41" t="str">
        <f>+'Cashflow Governmental'!AB12:AJ12</f>
        <v xml:space="preserve">                                  10 Months Ended January 31</v>
      </c>
      <c r="AC12" s="3541"/>
      <c r="AD12" s="3541"/>
      <c r="AE12" s="3541"/>
      <c r="AF12" s="3541"/>
      <c r="AG12" s="3541"/>
      <c r="AH12" s="3541"/>
      <c r="AI12" s="3541"/>
      <c r="AJ12" s="3541"/>
    </row>
    <row r="13" spans="1:37" ht="15.6">
      <c r="A13" s="427"/>
      <c r="B13" s="427"/>
      <c r="C13" s="2885">
        <v>2017</v>
      </c>
      <c r="D13" s="961"/>
      <c r="E13" s="961"/>
      <c r="F13" s="961"/>
      <c r="G13" s="961"/>
      <c r="H13" s="961"/>
      <c r="I13" s="961"/>
      <c r="J13" s="961"/>
      <c r="K13" s="961"/>
      <c r="L13" s="961"/>
      <c r="M13" s="961"/>
      <c r="N13" s="961"/>
      <c r="O13" s="961"/>
      <c r="P13" s="961"/>
      <c r="Q13" s="961"/>
      <c r="R13" s="961"/>
      <c r="S13" s="961"/>
      <c r="T13" s="961"/>
      <c r="U13" s="2885">
        <v>2018</v>
      </c>
      <c r="V13" s="961"/>
      <c r="W13" s="961"/>
      <c r="X13" s="961"/>
      <c r="Y13" s="961"/>
      <c r="Z13" s="961"/>
      <c r="AA13" s="961"/>
      <c r="AB13" s="961"/>
      <c r="AC13" s="1391"/>
      <c r="AD13" s="1391"/>
      <c r="AE13" s="1391"/>
      <c r="AF13" s="961"/>
      <c r="AG13" s="961"/>
      <c r="AH13" s="1392" t="s">
        <v>8</v>
      </c>
      <c r="AI13" s="1390"/>
      <c r="AJ13" s="1392" t="s">
        <v>9</v>
      </c>
    </row>
    <row r="14" spans="1:37" ht="15.6">
      <c r="A14" s="427"/>
      <c r="B14" s="427"/>
      <c r="C14" s="1392" t="s">
        <v>127</v>
      </c>
      <c r="D14" s="961"/>
      <c r="E14" s="1392" t="s">
        <v>128</v>
      </c>
      <c r="F14" s="961"/>
      <c r="G14" s="1392" t="s">
        <v>129</v>
      </c>
      <c r="H14" s="961"/>
      <c r="I14" s="1392" t="s">
        <v>130</v>
      </c>
      <c r="J14" s="961"/>
      <c r="K14" s="1392" t="s">
        <v>131</v>
      </c>
      <c r="L14" s="961"/>
      <c r="M14" s="1392" t="s">
        <v>132</v>
      </c>
      <c r="N14" s="961"/>
      <c r="O14" s="1392" t="s">
        <v>133</v>
      </c>
      <c r="P14" s="961"/>
      <c r="Q14" s="1392" t="s">
        <v>134</v>
      </c>
      <c r="R14" s="961"/>
      <c r="S14" s="1392" t="s">
        <v>135</v>
      </c>
      <c r="T14" s="961"/>
      <c r="U14" s="1392" t="s">
        <v>136</v>
      </c>
      <c r="V14" s="961"/>
      <c r="W14" s="1392" t="s">
        <v>137</v>
      </c>
      <c r="X14" s="961"/>
      <c r="Y14" s="1392" t="s">
        <v>138</v>
      </c>
      <c r="Z14" s="961"/>
      <c r="AA14" s="961"/>
      <c r="AB14" s="1393">
        <v>2018</v>
      </c>
      <c r="AC14" s="961"/>
      <c r="AD14" s="961"/>
      <c r="AE14" s="1393">
        <v>2017</v>
      </c>
      <c r="AF14" s="1391"/>
      <c r="AG14" s="1391"/>
      <c r="AH14" s="1760" t="s">
        <v>12</v>
      </c>
      <c r="AI14" s="1390"/>
      <c r="AJ14" s="1760" t="s">
        <v>13</v>
      </c>
    </row>
    <row r="15" spans="1:37" ht="5.25"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1942"/>
      <c r="AG15" s="1942"/>
      <c r="AI15" s="427"/>
    </row>
    <row r="16" spans="1:37" ht="15.6">
      <c r="A16" s="962" t="s">
        <v>139</v>
      </c>
      <c r="B16" s="427"/>
      <c r="C16" s="1263">
        <v>11625.3</v>
      </c>
      <c r="D16" s="965"/>
      <c r="E16" s="965">
        <f>C143</f>
        <v>12636.4</v>
      </c>
      <c r="F16" s="965"/>
      <c r="G16" s="965">
        <f>E143</f>
        <v>8247.2000000000007</v>
      </c>
      <c r="H16" s="965"/>
      <c r="I16" s="965">
        <f>G143</f>
        <v>8315.4</v>
      </c>
      <c r="J16" s="965"/>
      <c r="K16" s="965">
        <f>I143</f>
        <v>10096</v>
      </c>
      <c r="L16" s="965"/>
      <c r="M16" s="965">
        <f>K143</f>
        <v>10519.7</v>
      </c>
      <c r="N16" s="965"/>
      <c r="O16" s="965">
        <f>M143</f>
        <v>10984.5</v>
      </c>
      <c r="P16" s="965"/>
      <c r="Q16" s="965">
        <f>O143</f>
        <v>11587.1</v>
      </c>
      <c r="R16" s="965"/>
      <c r="S16" s="965">
        <f>Q143</f>
        <v>9743.4</v>
      </c>
      <c r="T16" s="965"/>
      <c r="U16" s="965">
        <f>S143</f>
        <v>14491.4</v>
      </c>
      <c r="V16" s="965"/>
      <c r="W16" s="965"/>
      <c r="X16" s="965"/>
      <c r="Y16" s="965"/>
      <c r="Z16" s="965"/>
      <c r="AA16" s="1761"/>
      <c r="AB16" s="965">
        <v>11625.3</v>
      </c>
      <c r="AC16" s="965"/>
      <c r="AD16" s="967"/>
      <c r="AE16" s="965">
        <v>12641.2</v>
      </c>
      <c r="AF16" s="1943"/>
      <c r="AG16" s="1943"/>
      <c r="AH16" s="965">
        <f>ROUND(SUM(AB16-AE16),1)</f>
        <v>-1015.9</v>
      </c>
      <c r="AI16" s="961"/>
      <c r="AJ16" s="509">
        <f>ROUND(SUM(AH16/AE16),3)</f>
        <v>-0.08</v>
      </c>
      <c r="AK16" s="787"/>
    </row>
    <row r="17" spans="1:36" ht="15">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1762"/>
      <c r="AB17" s="427" t="s">
        <v>15</v>
      </c>
      <c r="AC17" s="427"/>
      <c r="AD17" s="970"/>
      <c r="AE17" s="427" t="s">
        <v>15</v>
      </c>
      <c r="AF17" s="1942"/>
      <c r="AG17" s="1942"/>
      <c r="AH17" s="1560"/>
      <c r="AI17" s="427"/>
      <c r="AJ17" s="1560"/>
    </row>
    <row r="18" spans="1:36" ht="15.6">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1762"/>
      <c r="AB18" s="427"/>
      <c r="AC18" s="427"/>
      <c r="AD18" s="970"/>
      <c r="AE18" s="427"/>
      <c r="AF18" s="1942"/>
      <c r="AG18" s="1942"/>
      <c r="AH18" s="1560"/>
      <c r="AI18" s="427"/>
      <c r="AJ18" s="1560"/>
    </row>
    <row r="19" spans="1:36" ht="15.6">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1942"/>
      <c r="AG19" s="1942"/>
      <c r="AH19" s="1560"/>
      <c r="AI19" s="427"/>
      <c r="AJ19" s="1560"/>
    </row>
    <row r="20" spans="1:36" ht="15">
      <c r="A20" s="1907" t="s">
        <v>1247</v>
      </c>
      <c r="B20" s="427"/>
      <c r="C20" s="427"/>
      <c r="D20" s="427"/>
      <c r="E20" s="968"/>
      <c r="F20" s="427"/>
      <c r="G20" s="968"/>
      <c r="H20" s="427"/>
      <c r="I20" s="968"/>
      <c r="J20" s="427"/>
      <c r="K20" s="968"/>
      <c r="L20" s="427"/>
      <c r="M20" s="968"/>
      <c r="N20" s="427"/>
      <c r="O20" s="968"/>
      <c r="P20" s="427"/>
      <c r="Q20" s="968"/>
      <c r="R20" s="427"/>
      <c r="S20" s="968"/>
      <c r="T20" s="427"/>
      <c r="U20" s="968"/>
      <c r="V20" s="427"/>
      <c r="W20" s="968"/>
      <c r="X20" s="427"/>
      <c r="Y20" s="968"/>
      <c r="Z20" s="427"/>
      <c r="AA20" s="1762"/>
      <c r="AB20" s="427"/>
      <c r="AC20" s="427"/>
      <c r="AD20" s="970"/>
      <c r="AE20" s="427"/>
      <c r="AF20" s="1942"/>
      <c r="AG20" s="1942"/>
      <c r="AH20" s="1560"/>
      <c r="AI20" s="427"/>
      <c r="AJ20" s="1560"/>
    </row>
    <row r="21" spans="1:36" ht="15">
      <c r="A21" s="1206" t="s">
        <v>1183</v>
      </c>
      <c r="B21" s="427"/>
      <c r="C21" s="971">
        <f>+'Exhibit F'!D19</f>
        <v>2755.8</v>
      </c>
      <c r="D21" s="971"/>
      <c r="E21" s="971">
        <f>+'Exhibit F'!F19</f>
        <v>2855</v>
      </c>
      <c r="F21" s="971"/>
      <c r="G21" s="971">
        <f>+'Exhibit F'!H19</f>
        <v>2889.4</v>
      </c>
      <c r="H21" s="971"/>
      <c r="I21" s="971">
        <f>+'Exhibit F'!J19</f>
        <v>2682.4</v>
      </c>
      <c r="J21" s="971"/>
      <c r="K21" s="971">
        <f>+'Exhibit F'!L19</f>
        <v>3026.7</v>
      </c>
      <c r="L21" s="971"/>
      <c r="M21" s="971">
        <f>+'Exhibit F'!N19</f>
        <v>2583.1000000000022</v>
      </c>
      <c r="N21" s="971"/>
      <c r="O21" s="971">
        <f>+'Exhibit F'!P19</f>
        <v>2789.6999999999971</v>
      </c>
      <c r="P21" s="427"/>
      <c r="Q21" s="971">
        <f>+'Exhibit F'!R19</f>
        <v>2898.9000000000015</v>
      </c>
      <c r="R21" s="427"/>
      <c r="S21" s="971">
        <f>+'Exhibit F'!T19</f>
        <v>3930.0999999999985</v>
      </c>
      <c r="T21" s="427"/>
      <c r="U21" s="971">
        <f>+'Exhibit F'!V19</f>
        <v>5581.9</v>
      </c>
      <c r="V21" s="427"/>
      <c r="W21" s="971"/>
      <c r="X21" s="427"/>
      <c r="Y21" s="971"/>
      <c r="Z21" s="427"/>
      <c r="AA21" s="1762"/>
      <c r="AB21" s="971">
        <f t="shared" ref="AB21:AB29" si="0">ROUND(SUM(C21:Y21),1)</f>
        <v>31993</v>
      </c>
      <c r="AC21" s="427"/>
      <c r="AD21" s="970"/>
      <c r="AE21" s="427">
        <f>+'Exhibit F'!AF19</f>
        <v>29092.1</v>
      </c>
      <c r="AF21" s="1942"/>
      <c r="AG21" s="1942"/>
      <c r="AH21" s="1111">
        <f>ROUND(SUM(+AB21-AE21),1)</f>
        <v>2900.9</v>
      </c>
      <c r="AI21" s="1922"/>
      <c r="AJ21" s="1764">
        <f t="shared" ref="AJ21:AJ26" si="1">ROUND(SUM(+AH21/ABS(AE21)),3)</f>
        <v>0.1</v>
      </c>
    </row>
    <row r="22" spans="1:36" ht="15">
      <c r="A22" s="1206" t="s">
        <v>1184</v>
      </c>
      <c r="B22" s="427"/>
      <c r="C22" s="971">
        <f>+'Exhibit F'!D20</f>
        <v>4168.2</v>
      </c>
      <c r="D22" s="971"/>
      <c r="E22" s="971">
        <f>+'Exhibit F'!F20</f>
        <v>112.1</v>
      </c>
      <c r="F22" s="971"/>
      <c r="G22" s="971">
        <f>+'Exhibit F'!H20</f>
        <v>1922.9</v>
      </c>
      <c r="H22" s="971"/>
      <c r="I22" s="971">
        <f>+'Exhibit F'!J20</f>
        <v>89.7</v>
      </c>
      <c r="J22" s="971"/>
      <c r="K22" s="971">
        <f>+'Exhibit F'!L20</f>
        <v>95.600000000000364</v>
      </c>
      <c r="L22" s="971"/>
      <c r="M22" s="971">
        <f>+'Exhibit F'!N20</f>
        <v>2315.2999999999993</v>
      </c>
      <c r="N22" s="971"/>
      <c r="O22" s="971">
        <f>+'Exhibit F'!P20</f>
        <v>145.30000000000001</v>
      </c>
      <c r="P22" s="427"/>
      <c r="Q22" s="971">
        <f>+'Exhibit F'!R20</f>
        <v>116.69999999999891</v>
      </c>
      <c r="R22" s="427"/>
      <c r="S22" s="971">
        <f>+'Exhibit F'!T20</f>
        <v>3044.8000000000011</v>
      </c>
      <c r="T22" s="427"/>
      <c r="U22" s="971">
        <f>+'Exhibit F'!V20</f>
        <v>5609.6</v>
      </c>
      <c r="V22" s="427"/>
      <c r="W22" s="971"/>
      <c r="X22" s="427"/>
      <c r="Y22" s="971"/>
      <c r="Z22" s="427"/>
      <c r="AA22" s="1762"/>
      <c r="AB22" s="971">
        <f t="shared" si="0"/>
        <v>17620.2</v>
      </c>
      <c r="AC22" s="427"/>
      <c r="AD22" s="970"/>
      <c r="AE22" s="427">
        <f>+'Exhibit F'!AF20</f>
        <v>14790.1</v>
      </c>
      <c r="AF22" s="1942"/>
      <c r="AG22" s="1942"/>
      <c r="AH22" s="1111">
        <f t="shared" ref="AH22:AH28" si="2">ROUND(SUM(+AB22-AE22),1)</f>
        <v>2830.1</v>
      </c>
      <c r="AI22" s="1922"/>
      <c r="AJ22" s="1764">
        <f t="shared" si="1"/>
        <v>0.191</v>
      </c>
    </row>
    <row r="23" spans="1:36" ht="15">
      <c r="A23" s="1206" t="s">
        <v>1185</v>
      </c>
      <c r="B23" s="427"/>
      <c r="C23" s="971">
        <f>+'Exhibit F'!D21</f>
        <v>1572.8</v>
      </c>
      <c r="D23" s="971"/>
      <c r="E23" s="971">
        <f>+'Exhibit F'!F21</f>
        <v>74.599999999999994</v>
      </c>
      <c r="F23" s="971"/>
      <c r="G23" s="971">
        <f>+'Exhibit F'!H21</f>
        <v>44.2</v>
      </c>
      <c r="H23" s="971"/>
      <c r="I23" s="971">
        <f>+'Exhibit F'!J21</f>
        <v>31.7</v>
      </c>
      <c r="J23" s="971"/>
      <c r="K23" s="971">
        <f>+'Exhibit F'!L21</f>
        <v>33</v>
      </c>
      <c r="L23" s="971"/>
      <c r="M23" s="971">
        <f>+'Exhibit F'!N21</f>
        <v>47.299999999999955</v>
      </c>
      <c r="N23" s="971"/>
      <c r="O23" s="971">
        <f>+'Exhibit F'!P21</f>
        <v>391.70000000000027</v>
      </c>
      <c r="P23" s="427"/>
      <c r="Q23" s="971">
        <f>+'Exhibit F'!R21</f>
        <v>33.899999999999636</v>
      </c>
      <c r="R23" s="427"/>
      <c r="S23" s="971">
        <f>+'Exhibit F'!T21</f>
        <v>34.1</v>
      </c>
      <c r="T23" s="427"/>
      <c r="U23" s="971">
        <f>+'Exhibit F'!V21</f>
        <v>39.299999999999997</v>
      </c>
      <c r="V23" s="427"/>
      <c r="W23" s="971"/>
      <c r="X23" s="427"/>
      <c r="Y23" s="971"/>
      <c r="Z23" s="427"/>
      <c r="AA23" s="1762"/>
      <c r="AB23" s="971">
        <f t="shared" si="0"/>
        <v>2302.6</v>
      </c>
      <c r="AC23" s="427"/>
      <c r="AD23" s="970"/>
      <c r="AE23" s="427">
        <f>+'Exhibit F'!AF21</f>
        <v>2421.5</v>
      </c>
      <c r="AF23" s="1942"/>
      <c r="AG23" s="1942"/>
      <c r="AH23" s="1111">
        <f t="shared" si="2"/>
        <v>-118.9</v>
      </c>
      <c r="AI23" s="1922"/>
      <c r="AJ23" s="1764">
        <f t="shared" si="1"/>
        <v>-4.9000000000000002E-2</v>
      </c>
    </row>
    <row r="24" spans="1:36" ht="15">
      <c r="A24" s="1945" t="s">
        <v>1186</v>
      </c>
      <c r="B24" s="427"/>
      <c r="C24" s="971">
        <f>+'Exhibit F'!D22</f>
        <v>-201.5</v>
      </c>
      <c r="D24" s="971"/>
      <c r="E24" s="971">
        <f>+'Exhibit F'!F22</f>
        <v>-15.6</v>
      </c>
      <c r="F24" s="971"/>
      <c r="G24" s="971">
        <f>+'Exhibit F'!H22</f>
        <v>-19.399999999999999</v>
      </c>
      <c r="H24" s="971"/>
      <c r="I24" s="971">
        <f>+'Exhibit F'!J22</f>
        <v>-19</v>
      </c>
      <c r="J24" s="971"/>
      <c r="K24" s="971">
        <f>+'Exhibit F'!L22</f>
        <v>-21.199999999999989</v>
      </c>
      <c r="L24" s="971"/>
      <c r="M24" s="971">
        <f>+'Exhibit F'!N22</f>
        <v>-29</v>
      </c>
      <c r="N24" s="971"/>
      <c r="O24" s="971">
        <f>+'Exhibit F'!P22</f>
        <v>-321.7</v>
      </c>
      <c r="P24" s="427"/>
      <c r="Q24" s="971">
        <f>+'Exhibit F'!R22</f>
        <v>-96</v>
      </c>
      <c r="R24" s="427"/>
      <c r="S24" s="971">
        <f>+'Exhibit F'!T22</f>
        <v>-8.3000000000000007</v>
      </c>
      <c r="T24" s="427"/>
      <c r="U24" s="971">
        <f>+'Exhibit F'!V22</f>
        <v>-16.3</v>
      </c>
      <c r="V24" s="427"/>
      <c r="W24" s="971"/>
      <c r="X24" s="427"/>
      <c r="Y24" s="971"/>
      <c r="Z24" s="427"/>
      <c r="AA24" s="1762"/>
      <c r="AB24" s="971">
        <f t="shared" si="0"/>
        <v>-748</v>
      </c>
      <c r="AC24" s="427"/>
      <c r="AD24" s="970"/>
      <c r="AE24" s="427">
        <f>+'Exhibit F'!AF22</f>
        <v>-770.3</v>
      </c>
      <c r="AF24" s="1942"/>
      <c r="AG24" s="1942"/>
      <c r="AH24" s="1111">
        <f>-ROUND(SUM(+AB24-AE24),1)</f>
        <v>-22.3</v>
      </c>
      <c r="AI24" s="1922"/>
      <c r="AJ24" s="1764">
        <f t="shared" si="1"/>
        <v>-2.9000000000000001E-2</v>
      </c>
    </row>
    <row r="25" spans="1:36" ht="15">
      <c r="A25" s="1945" t="s">
        <v>1187</v>
      </c>
      <c r="B25" s="427"/>
      <c r="C25" s="971">
        <f>+'Exhibit F'!D23</f>
        <v>154</v>
      </c>
      <c r="D25" s="971"/>
      <c r="E25" s="971">
        <f>+'Exhibit F'!F23</f>
        <v>105.2</v>
      </c>
      <c r="F25" s="971"/>
      <c r="G25" s="971">
        <f>+'Exhibit F'!H23</f>
        <v>87.5</v>
      </c>
      <c r="H25" s="971"/>
      <c r="I25" s="971">
        <f>+'Exhibit F'!J23</f>
        <v>97.2</v>
      </c>
      <c r="J25" s="971"/>
      <c r="K25" s="971">
        <f>+'Exhibit F'!L23</f>
        <v>110.70000000000005</v>
      </c>
      <c r="L25" s="971"/>
      <c r="M25" s="971">
        <f>+'Exhibit F'!N23</f>
        <v>79.399999999999977</v>
      </c>
      <c r="N25" s="971"/>
      <c r="O25" s="971">
        <f>+'Exhibit F'!P23</f>
        <v>100.10000000000002</v>
      </c>
      <c r="P25" s="427"/>
      <c r="Q25" s="971">
        <f>+'Exhibit F'!R23</f>
        <v>108.29999999999995</v>
      </c>
      <c r="R25" s="427"/>
      <c r="S25" s="971">
        <f>+'Exhibit F'!T23</f>
        <v>106.10000000000002</v>
      </c>
      <c r="T25" s="427"/>
      <c r="U25" s="971">
        <f>+'Exhibit F'!V23</f>
        <v>209.4</v>
      </c>
      <c r="V25" s="427"/>
      <c r="W25" s="971"/>
      <c r="X25" s="427"/>
      <c r="Y25" s="971"/>
      <c r="Z25" s="427"/>
      <c r="AA25" s="1762"/>
      <c r="AB25" s="971">
        <f t="shared" si="0"/>
        <v>1157.9000000000001</v>
      </c>
      <c r="AC25" s="427"/>
      <c r="AD25" s="970"/>
      <c r="AE25" s="427">
        <f>+'Exhibit F'!AF23</f>
        <v>1079.2</v>
      </c>
      <c r="AF25" s="1942"/>
      <c r="AG25" s="1942"/>
      <c r="AH25" s="1111">
        <f t="shared" si="2"/>
        <v>78.7</v>
      </c>
      <c r="AI25" s="1922"/>
      <c r="AJ25" s="1764">
        <f t="shared" si="1"/>
        <v>7.2999999999999995E-2</v>
      </c>
    </row>
    <row r="26" spans="1:36" ht="15.6">
      <c r="A26" s="1207" t="s">
        <v>1188</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3105.1</v>
      </c>
      <c r="P26" s="427"/>
      <c r="Q26" s="480">
        <f>ROUND(SUM(Q21:Q25),1)</f>
        <v>3061.8</v>
      </c>
      <c r="R26" s="427"/>
      <c r="S26" s="480">
        <f>ROUND(SUM(S21:S25),1)</f>
        <v>7106.8</v>
      </c>
      <c r="T26" s="427"/>
      <c r="U26" s="480">
        <f>ROUND(SUM(U21:U25),1)</f>
        <v>11423.9</v>
      </c>
      <c r="V26" s="427"/>
      <c r="W26" s="480">
        <f>ROUND(SUM(W21:W25),1)</f>
        <v>0</v>
      </c>
      <c r="X26" s="427"/>
      <c r="Y26" s="480">
        <f>ROUND(SUM(Y21:Y25),1)</f>
        <v>0</v>
      </c>
      <c r="Z26" s="427"/>
      <c r="AA26" s="1762"/>
      <c r="AB26" s="480">
        <f>ROUND(SUM(AB21:AB25),1)</f>
        <v>52325.7</v>
      </c>
      <c r="AC26" s="427"/>
      <c r="AD26" s="970"/>
      <c r="AE26" s="480">
        <f>ROUND(SUM(AE21:AE25),1)</f>
        <v>46612.6</v>
      </c>
      <c r="AF26" s="1942"/>
      <c r="AG26" s="1942"/>
      <c r="AH26" s="255">
        <f t="shared" si="2"/>
        <v>5713.1</v>
      </c>
      <c r="AI26" s="1922"/>
      <c r="AJ26" s="524">
        <f t="shared" si="1"/>
        <v>0.123</v>
      </c>
    </row>
    <row r="27" spans="1:36" ht="15">
      <c r="A27" s="1945" t="s">
        <v>1190</v>
      </c>
      <c r="B27" s="427"/>
      <c r="C27" s="971">
        <f>+'Exhibit F'!D25+'Exhibit G State'!D17</f>
        <v>0</v>
      </c>
      <c r="D27" s="427"/>
      <c r="E27" s="971">
        <f>+'Exhibit F'!F25+'Exhibit G State'!F17</f>
        <v>0</v>
      </c>
      <c r="F27" s="427"/>
      <c r="G27" s="971">
        <f>+'Exhibit F'!H25+'Exhibit G State'!H17</f>
        <v>0</v>
      </c>
      <c r="H27" s="427"/>
      <c r="I27" s="971">
        <f>+'Exhibit F'!J25+'Exhibit G State'!J17</f>
        <v>0</v>
      </c>
      <c r="J27" s="427"/>
      <c r="K27" s="971">
        <f>+'Exhibit F'!L25+'Exhibit G State'!L17</f>
        <v>0</v>
      </c>
      <c r="L27" s="427"/>
      <c r="M27" s="971">
        <f>+'Exhibit F'!N25+'Exhibit G State'!N17</f>
        <v>0</v>
      </c>
      <c r="N27" s="427"/>
      <c r="O27" s="971">
        <f>+'Exhibit F'!P25+'Exhibit G State'!P17</f>
        <v>0</v>
      </c>
      <c r="P27" s="427"/>
      <c r="Q27" s="971">
        <f>+'Exhibit F'!R25+'Exhibit G State'!R17</f>
        <v>0</v>
      </c>
      <c r="R27" s="427"/>
      <c r="S27" s="971">
        <f>+'Exhibit F'!T25+'Exhibit G State'!T17</f>
        <v>0</v>
      </c>
      <c r="T27" s="427"/>
      <c r="U27" s="971">
        <f>+'Exhibit F'!V25+'Exhibit G State'!V17</f>
        <v>0</v>
      </c>
      <c r="V27" s="427"/>
      <c r="W27" s="971"/>
      <c r="X27" s="427"/>
      <c r="Y27" s="971"/>
      <c r="Z27" s="427"/>
      <c r="AA27" s="1762"/>
      <c r="AB27" s="971">
        <f t="shared" si="0"/>
        <v>0</v>
      </c>
      <c r="AC27" s="427"/>
      <c r="AD27" s="970"/>
      <c r="AE27" s="971">
        <f>+'Exhibit F'!AF25+'Exhibit G State'!AF17</f>
        <v>0</v>
      </c>
      <c r="AF27" s="1942"/>
      <c r="AG27" s="1942"/>
      <c r="AH27" s="1111">
        <f t="shared" si="2"/>
        <v>0</v>
      </c>
      <c r="AI27" s="1922"/>
      <c r="AJ27" s="1700">
        <f>ROUND(IF(AE27=0,0,AH27/ABS(AE27)),3)</f>
        <v>0</v>
      </c>
    </row>
    <row r="28" spans="1:36" ht="15">
      <c r="A28" s="1945" t="s">
        <v>1191</v>
      </c>
      <c r="B28" s="427"/>
      <c r="C28" s="971">
        <f>+'Exhibit F'!D26+'Exhibit H'!B16</f>
        <v>0</v>
      </c>
      <c r="D28" s="427"/>
      <c r="E28" s="971">
        <f>+'Exhibit F'!F26+'Exhibit H'!D16</f>
        <v>0</v>
      </c>
      <c r="F28" s="427"/>
      <c r="G28" s="971">
        <f>+'Exhibit F'!H26+'Exhibit H'!F16</f>
        <v>0</v>
      </c>
      <c r="H28" s="427"/>
      <c r="I28" s="971">
        <f>+'Exhibit F'!J26+'Exhibit H'!H16</f>
        <v>0</v>
      </c>
      <c r="J28" s="427"/>
      <c r="K28" s="971">
        <f>+'Exhibit F'!L26+'Exhibit H'!J16</f>
        <v>0</v>
      </c>
      <c r="L28" s="427"/>
      <c r="M28" s="971">
        <f>+'Exhibit F'!N26+'Exhibit H'!L16</f>
        <v>0</v>
      </c>
      <c r="N28" s="427"/>
      <c r="O28" s="971">
        <f>+'Exhibit F'!P26+'Exhibit H'!N16</f>
        <v>0</v>
      </c>
      <c r="P28" s="427"/>
      <c r="Q28" s="971">
        <f>+'Exhibit F'!R26+'Exhibit H'!P16</f>
        <v>0</v>
      </c>
      <c r="R28" s="427"/>
      <c r="S28" s="971">
        <f>+'Exhibit F'!T26+'Exhibit H'!R16</f>
        <v>0</v>
      </c>
      <c r="T28" s="427"/>
      <c r="U28" s="971">
        <f>+'Exhibit F'!V26+'Exhibit H'!T16</f>
        <v>0</v>
      </c>
      <c r="V28" s="427"/>
      <c r="W28" s="971"/>
      <c r="X28" s="427"/>
      <c r="Y28" s="971"/>
      <c r="Z28" s="427"/>
      <c r="AA28" s="1762"/>
      <c r="AB28" s="971">
        <f t="shared" si="0"/>
        <v>0</v>
      </c>
      <c r="AC28" s="427"/>
      <c r="AD28" s="970"/>
      <c r="AE28" s="971">
        <f>+'Exhibit F'!AF26+'Exhibit H'!AD16</f>
        <v>0</v>
      </c>
      <c r="AF28" s="1942"/>
      <c r="AG28" s="1942"/>
      <c r="AH28" s="1111">
        <f t="shared" si="2"/>
        <v>0</v>
      </c>
      <c r="AI28" s="1922"/>
      <c r="AJ28" s="1700">
        <f>ROUND(IF(AE28=0,0,AH28/ABS(AE28)),3)</f>
        <v>0</v>
      </c>
    </row>
    <row r="29" spans="1:36" ht="15">
      <c r="A29" s="1206" t="s">
        <v>1192</v>
      </c>
      <c r="B29" s="971"/>
      <c r="C29" s="971">
        <f>+'Exhibit F'!D27</f>
        <v>-3447.5</v>
      </c>
      <c r="D29" s="971"/>
      <c r="E29" s="971">
        <f>+'Exhibit F'!F27</f>
        <v>-1030</v>
      </c>
      <c r="F29" s="971"/>
      <c r="G29" s="971">
        <f>+'Exhibit F'!H27</f>
        <v>-273.8</v>
      </c>
      <c r="H29" s="971"/>
      <c r="I29" s="971">
        <f>+'Exhibit F'!J27</f>
        <v>-232</v>
      </c>
      <c r="J29" s="971"/>
      <c r="K29" s="971">
        <f>+'Exhibit F'!L27</f>
        <v>-189.8</v>
      </c>
      <c r="L29" s="427"/>
      <c r="M29" s="971">
        <f>+'Exhibit F'!N27</f>
        <v>-280.3</v>
      </c>
      <c r="N29" s="427"/>
      <c r="O29" s="971">
        <f>+'Exhibit F'!P27</f>
        <v>-410.9</v>
      </c>
      <c r="P29" s="427"/>
      <c r="Q29" s="971">
        <f>+'Exhibit F'!R27</f>
        <v>-670.39999999999964</v>
      </c>
      <c r="R29" s="427"/>
      <c r="S29" s="971">
        <f>+'Exhibit F'!T27</f>
        <v>-335</v>
      </c>
      <c r="T29" s="427"/>
      <c r="U29" s="971">
        <f>+'Exhibit F'!V27</f>
        <v>-194.7</v>
      </c>
      <c r="V29" s="427"/>
      <c r="W29" s="971"/>
      <c r="X29" s="427"/>
      <c r="Y29" s="971"/>
      <c r="Z29" s="427"/>
      <c r="AA29" s="1762"/>
      <c r="AB29" s="971">
        <f t="shared" si="0"/>
        <v>-7064.4</v>
      </c>
      <c r="AC29" s="427"/>
      <c r="AD29" s="970"/>
      <c r="AE29" s="427">
        <f>+'Exhibit F'!AF27</f>
        <v>-6139.7</v>
      </c>
      <c r="AF29" s="1942"/>
      <c r="AG29" s="1942"/>
      <c r="AH29" s="1111">
        <f>-ROUND(SUM(+AB29-AE29),1)</f>
        <v>924.7</v>
      </c>
      <c r="AI29" s="1922"/>
      <c r="AJ29" s="1764">
        <f>ROUND(SUM(+AH29/ABS(AE29)),3)</f>
        <v>0.151</v>
      </c>
    </row>
    <row r="30" spans="1:36" ht="15.6">
      <c r="A30" s="583" t="s">
        <v>1189</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2694.2</v>
      </c>
      <c r="P30" s="427"/>
      <c r="Q30" s="480">
        <f>ROUND(SUM(Q26+Q27+Q28+Q29),1)</f>
        <v>2391.4</v>
      </c>
      <c r="R30" s="427"/>
      <c r="S30" s="480">
        <f>ROUND(SUM(S26+S27+S28+S29),1)</f>
        <v>6771.8</v>
      </c>
      <c r="T30" s="427"/>
      <c r="U30" s="480">
        <f>ROUND(SUM(U26+U27+U28+U29),1)</f>
        <v>11229.2</v>
      </c>
      <c r="V30" s="427"/>
      <c r="W30" s="480">
        <f>ROUND(SUM(W26+W27+W28+W29),1)</f>
        <v>0</v>
      </c>
      <c r="X30" s="427"/>
      <c r="Y30" s="480">
        <f>ROUND(SUM(Y26+Y27+Y28+Y29),1)</f>
        <v>0</v>
      </c>
      <c r="Z30" s="427"/>
      <c r="AA30" s="1762"/>
      <c r="AB30" s="480">
        <f>ROUND(SUM(AB26+AB27+AB28+AB29),1)</f>
        <v>45261.3</v>
      </c>
      <c r="AC30" s="427"/>
      <c r="AD30" s="970"/>
      <c r="AE30" s="480">
        <f>ROUND(SUM(AE26+AE27+AE28+AE29),1)</f>
        <v>40472.9</v>
      </c>
      <c r="AF30" s="1942"/>
      <c r="AG30" s="1942"/>
      <c r="AH30" s="480">
        <f>ROUND(SUM(AH26+AH27+AH28-AH29),1)</f>
        <v>4788.3999999999996</v>
      </c>
      <c r="AI30" s="1921"/>
      <c r="AJ30" s="524">
        <f>ROUND(SUM(+AH30/ABS(AE30)),3)</f>
        <v>0.11799999999999999</v>
      </c>
    </row>
    <row r="31" spans="1:36" ht="15">
      <c r="A31" s="1907" t="s">
        <v>1244</v>
      </c>
      <c r="B31" s="427"/>
      <c r="C31" s="427"/>
      <c r="D31" s="427"/>
      <c r="E31" s="427"/>
      <c r="F31" s="427"/>
      <c r="G31" s="427"/>
      <c r="H31" s="427"/>
      <c r="I31" s="427"/>
      <c r="J31" s="427"/>
      <c r="K31" s="427"/>
      <c r="L31" s="427"/>
      <c r="M31" s="2802"/>
      <c r="N31" s="427"/>
      <c r="O31" s="968"/>
      <c r="P31" s="427"/>
      <c r="Q31" s="968"/>
      <c r="R31" s="427"/>
      <c r="S31" s="968"/>
      <c r="T31" s="427"/>
      <c r="U31" s="968"/>
      <c r="V31" s="427"/>
      <c r="W31" s="968"/>
      <c r="X31" s="427"/>
      <c r="Y31" s="968"/>
      <c r="Z31" s="427"/>
      <c r="AA31" s="1762"/>
      <c r="AB31" s="427"/>
      <c r="AC31" s="427"/>
      <c r="AD31" s="970"/>
      <c r="AE31" s="427"/>
      <c r="AF31" s="1942"/>
      <c r="AG31" s="1942"/>
      <c r="AH31" s="1560"/>
      <c r="AI31" s="427"/>
      <c r="AJ31" s="1560"/>
    </row>
    <row r="32" spans="1:36" ht="15">
      <c r="A32" s="1206" t="s">
        <v>1195</v>
      </c>
      <c r="B32" s="427"/>
      <c r="C32" s="971">
        <f>+'Exhibit F'!D30+'Exhibit H'!B19+'Exhibit G State'!D20</f>
        <v>1042.9000000000001</v>
      </c>
      <c r="D32" s="971"/>
      <c r="E32" s="971">
        <f>+'Exhibit F'!F30+'Exhibit H'!D19+'Exhibit G State'!F20</f>
        <v>1044</v>
      </c>
      <c r="F32" s="971"/>
      <c r="G32" s="971">
        <f>+'Exhibit F'!H30+'Exhibit H'!F19+'Exhibit G State'!H20</f>
        <v>1447.1000000000001</v>
      </c>
      <c r="H32" s="971"/>
      <c r="I32" s="971">
        <f>+'Exhibit F'!J30+'Exhibit H'!H19+'Exhibit G State'!J20</f>
        <v>1125.0999999999999</v>
      </c>
      <c r="J32" s="971"/>
      <c r="K32" s="971">
        <f>+'Exhibit F'!L30+'Exhibit H'!J19+'Exhibit G State'!L20</f>
        <v>1101.1999999999998</v>
      </c>
      <c r="L32" s="427"/>
      <c r="M32" s="971">
        <f>+'Exhibit F'!N30+'Exhibit H'!L19+'Exhibit G State'!N20</f>
        <v>1456.1999999999998</v>
      </c>
      <c r="N32" s="427"/>
      <c r="O32" s="971">
        <f>+'Exhibit F'!P30+'Exhibit H'!N19+'Exhibit G State'!P20</f>
        <v>1112.8999999999999</v>
      </c>
      <c r="P32" s="427"/>
      <c r="Q32" s="971">
        <f>+'Exhibit F'!R30+'Exhibit H'!P19+'Exhibit G State'!R20</f>
        <v>1179.2</v>
      </c>
      <c r="R32" s="427"/>
      <c r="S32" s="971">
        <f>+'Exhibit F'!T30+'Exhibit H'!R19+'Exhibit G State'!T20</f>
        <v>1482.8000000000004</v>
      </c>
      <c r="T32" s="427"/>
      <c r="U32" s="971">
        <f>+'Exhibit F'!V30+'Exhibit H'!T19+'Exhibit G State'!V20</f>
        <v>1199.0999999999999</v>
      </c>
      <c r="V32" s="427"/>
      <c r="W32" s="971"/>
      <c r="X32" s="427"/>
      <c r="Y32" s="971"/>
      <c r="Z32" s="427"/>
      <c r="AA32" s="1762"/>
      <c r="AB32" s="971">
        <f t="shared" ref="AB32:AB39" si="3">ROUND(SUM(C32:Y32),1)</f>
        <v>12190.5</v>
      </c>
      <c r="AC32" s="427"/>
      <c r="AD32" s="970"/>
      <c r="AE32" s="427">
        <f>+'Exhibit F'!AF30+'Exhibit H'!AD19+'Exhibit G State'!AF20</f>
        <v>11666.4</v>
      </c>
      <c r="AF32" s="1942"/>
      <c r="AG32" s="1942"/>
      <c r="AH32" s="1111">
        <f t="shared" ref="AH32:AH39" si="4">ROUND(SUM(+AB32-AE32),1)</f>
        <v>524.1</v>
      </c>
      <c r="AI32" s="1922"/>
      <c r="AJ32" s="1764">
        <f>ROUND(SUM(+AH32/ABS(AE32)),3)</f>
        <v>4.4999999999999998E-2</v>
      </c>
    </row>
    <row r="33" spans="1:36" ht="15">
      <c r="A33" s="1206" t="s">
        <v>1196</v>
      </c>
      <c r="B33" s="427"/>
      <c r="C33" s="971">
        <f>+'Exhibit F'!D31+'Exhibit G State'!D21</f>
        <v>3.7</v>
      </c>
      <c r="D33" s="971"/>
      <c r="E33" s="971">
        <f>+'Exhibit F'!F31+'Exhibit G State'!F21</f>
        <v>3.3</v>
      </c>
      <c r="F33" s="971"/>
      <c r="G33" s="971">
        <f>+'Exhibit F'!H31+'Exhibit G State'!H21</f>
        <v>4.5999999999999996</v>
      </c>
      <c r="H33" s="971"/>
      <c r="I33" s="971">
        <f>+'Exhibit F'!J31+'Exhibit G State'!J21</f>
        <v>5.0999999999999996</v>
      </c>
      <c r="J33" s="971"/>
      <c r="K33" s="971">
        <f>+'Exhibit F'!L31+'Exhibit G State'!L21</f>
        <v>4.9000000000000004</v>
      </c>
      <c r="L33" s="427"/>
      <c r="M33" s="971">
        <f>+'Exhibit F'!N31+'Exhibit G State'!N21</f>
        <v>4.5999999999999996</v>
      </c>
      <c r="N33" s="427"/>
      <c r="O33" s="971">
        <f>+'Exhibit F'!P31+'Exhibit G State'!P21</f>
        <v>3.5</v>
      </c>
      <c r="P33" s="427"/>
      <c r="Q33" s="971">
        <f>+'Exhibit F'!R31+'Exhibit G State'!R21</f>
        <v>3.7</v>
      </c>
      <c r="R33" s="427"/>
      <c r="S33" s="971">
        <f>+'Exhibit F'!T31+'Exhibit G State'!T21</f>
        <v>2.9</v>
      </c>
      <c r="T33" s="427"/>
      <c r="U33" s="971">
        <f>+'Exhibit F'!V31+'Exhibit G State'!V21</f>
        <v>0</v>
      </c>
      <c r="V33" s="427"/>
      <c r="W33" s="971"/>
      <c r="X33" s="427"/>
      <c r="Y33" s="971"/>
      <c r="Z33" s="427"/>
      <c r="AA33" s="1762"/>
      <c r="AB33" s="971">
        <f t="shared" si="3"/>
        <v>36.299999999999997</v>
      </c>
      <c r="AC33" s="427"/>
      <c r="AD33" s="970"/>
      <c r="AE33" s="427">
        <f>+'Exhibit F'!AF31+'Exhibit G State'!AF21</f>
        <v>43.3</v>
      </c>
      <c r="AF33" s="1942"/>
      <c r="AG33" s="1942"/>
      <c r="AH33" s="1111">
        <f t="shared" si="4"/>
        <v>-7</v>
      </c>
      <c r="AI33" s="1922"/>
      <c r="AJ33" s="1764">
        <f>ROUND(SUM(+AH33/ABS(AE33)),3)</f>
        <v>-0.16200000000000001</v>
      </c>
    </row>
    <row r="34" spans="1:36" ht="15">
      <c r="A34" s="1206" t="s">
        <v>1197</v>
      </c>
      <c r="B34" s="427"/>
      <c r="C34" s="971">
        <f>+'Exhibit F'!D32+'Exhibit G State'!D22</f>
        <v>87.699999999999989</v>
      </c>
      <c r="D34" s="971"/>
      <c r="E34" s="971">
        <f>+'Exhibit F'!F32+'Exhibit G State'!F22</f>
        <v>107.8</v>
      </c>
      <c r="F34" s="971"/>
      <c r="G34" s="971">
        <f>+'Exhibit F'!H32+'Exhibit G State'!H22</f>
        <v>105.8</v>
      </c>
      <c r="H34" s="971"/>
      <c r="I34" s="971">
        <f>+'Exhibit F'!J32+'Exhibit G State'!J22</f>
        <v>97.800000000000011</v>
      </c>
      <c r="J34" s="971"/>
      <c r="K34" s="971">
        <f>+'Exhibit F'!L32+'Exhibit G State'!L22</f>
        <v>118.10000000000001</v>
      </c>
      <c r="L34" s="427"/>
      <c r="M34" s="971">
        <f>+'Exhibit F'!N32+'Exhibit G State'!N22</f>
        <v>101.69999999999999</v>
      </c>
      <c r="N34" s="427"/>
      <c r="O34" s="971">
        <f>+'Exhibit F'!P32+'Exhibit G State'!P22</f>
        <v>106</v>
      </c>
      <c r="P34" s="427"/>
      <c r="Q34" s="971">
        <f>+'Exhibit F'!R32+'Exhibit G State'!R22</f>
        <v>97.500000000000014</v>
      </c>
      <c r="R34" s="427"/>
      <c r="S34" s="971">
        <f>+'Exhibit F'!T32+'Exhibit G State'!T22</f>
        <v>95.799999999999969</v>
      </c>
      <c r="T34" s="427"/>
      <c r="U34" s="971">
        <f>+'Exhibit F'!V32+'Exhibit G State'!V22</f>
        <v>101.2</v>
      </c>
      <c r="V34" s="427"/>
      <c r="W34" s="971"/>
      <c r="X34" s="427"/>
      <c r="Y34" s="971"/>
      <c r="Z34" s="427"/>
      <c r="AA34" s="1762"/>
      <c r="AB34" s="971">
        <f t="shared" si="3"/>
        <v>1019.4</v>
      </c>
      <c r="AC34" s="427"/>
      <c r="AD34" s="970"/>
      <c r="AE34" s="427">
        <f>+'Exhibit F'!AF32+'Exhibit G State'!AF22</f>
        <v>1070.6999999999998</v>
      </c>
      <c r="AF34" s="1942"/>
      <c r="AG34" s="1942"/>
      <c r="AH34" s="1111">
        <f t="shared" si="4"/>
        <v>-51.3</v>
      </c>
      <c r="AI34" s="1922"/>
      <c r="AJ34" s="1764">
        <f>ROUND(SUM(+AH34/ABS(AE34)),3)</f>
        <v>-4.8000000000000001E-2</v>
      </c>
    </row>
    <row r="35" spans="1:36" ht="15">
      <c r="A35" s="1206" t="s">
        <v>1361</v>
      </c>
      <c r="B35" s="2802"/>
      <c r="C35" s="971">
        <f>'Exhibit G State'!D23</f>
        <v>0.1</v>
      </c>
      <c r="D35" s="971"/>
      <c r="E35" s="971">
        <f>'Exhibit G State'!F23</f>
        <v>0.1</v>
      </c>
      <c r="F35" s="971"/>
      <c r="G35" s="971">
        <f>'Exhibit G State'!H23</f>
        <v>0.1</v>
      </c>
      <c r="H35" s="971"/>
      <c r="I35" s="971">
        <f>'Exhibit G State'!J23</f>
        <v>0.1</v>
      </c>
      <c r="J35" s="971"/>
      <c r="K35" s="971">
        <f>'Exhibit G State'!L23</f>
        <v>0.2</v>
      </c>
      <c r="L35" s="2802"/>
      <c r="M35" s="971">
        <f>'Exhibit G State'!N23</f>
        <v>0.1</v>
      </c>
      <c r="N35" s="2802"/>
      <c r="O35" s="971">
        <f>'Exhibit G State'!P23</f>
        <v>0.2</v>
      </c>
      <c r="P35" s="2802"/>
      <c r="Q35" s="971">
        <f>'Exhibit G State'!R23</f>
        <v>0.2</v>
      </c>
      <c r="R35" s="2802"/>
      <c r="S35" s="971">
        <f>'Exhibit G State'!T23</f>
        <v>0.2</v>
      </c>
      <c r="T35" s="2802"/>
      <c r="U35" s="971">
        <f>'Exhibit G State'!V23</f>
        <v>0.2</v>
      </c>
      <c r="V35" s="2802"/>
      <c r="W35" s="971"/>
      <c r="X35" s="2802"/>
      <c r="Y35" s="971"/>
      <c r="Z35" s="2802"/>
      <c r="AA35" s="1762"/>
      <c r="AB35" s="971">
        <f t="shared" si="3"/>
        <v>1.5</v>
      </c>
      <c r="AC35" s="2802"/>
      <c r="AD35" s="970"/>
      <c r="AE35" s="971">
        <f>'Exhibit G State'!AF23</f>
        <v>0.4</v>
      </c>
      <c r="AF35" s="1942"/>
      <c r="AG35" s="1942"/>
      <c r="AH35" s="2800">
        <f t="shared" ref="AH35" si="5">ROUND(SUM(+AB35-AE35),1)</f>
        <v>1.1000000000000001</v>
      </c>
      <c r="AI35" s="1922"/>
      <c r="AJ35" s="2582">
        <f>ROUND(IF(AE35=0,1,AH35/ABS(AE35)),3)</f>
        <v>2.75</v>
      </c>
    </row>
    <row r="36" spans="1:36" ht="15">
      <c r="A36" s="1206" t="s">
        <v>1198</v>
      </c>
      <c r="B36" s="427"/>
      <c r="C36" s="971">
        <f>+'Exhibit F'!D33+'Exhibit G State'!D24</f>
        <v>8.6</v>
      </c>
      <c r="D36" s="971"/>
      <c r="E36" s="971">
        <f>+'Exhibit F'!F33+'Exhibit G State'!F24</f>
        <v>8.6999999999999993</v>
      </c>
      <c r="F36" s="971"/>
      <c r="G36" s="971">
        <f>+'Exhibit F'!H33+'Exhibit G State'!H24</f>
        <v>9.3000000000000007</v>
      </c>
      <c r="H36" s="971"/>
      <c r="I36" s="971">
        <f>+'Exhibit F'!J33+'Exhibit G State'!J24</f>
        <v>9.5</v>
      </c>
      <c r="J36" s="971"/>
      <c r="K36" s="971">
        <f>+'Exhibit F'!L33+'Exhibit G State'!L24</f>
        <v>9.3000000000000007</v>
      </c>
      <c r="L36" s="427"/>
      <c r="M36" s="971">
        <f>+'Exhibit F'!N33+'Exhibit G State'!N24</f>
        <v>9.9</v>
      </c>
      <c r="N36" s="427"/>
      <c r="O36" s="971">
        <f>+'Exhibit F'!P33+'Exhibit G State'!P24</f>
        <v>9.1</v>
      </c>
      <c r="P36" s="427"/>
      <c r="Q36" s="971">
        <f>+'Exhibit F'!R33+'Exhibit G State'!R24</f>
        <v>9.1</v>
      </c>
      <c r="R36" s="427"/>
      <c r="S36" s="971">
        <f>+'Exhibit F'!T33+'Exhibit G State'!T24</f>
        <v>9.8000000000000007</v>
      </c>
      <c r="T36" s="427"/>
      <c r="U36" s="971">
        <f>+'Exhibit F'!V33+'Exhibit G State'!V24</f>
        <v>9.1</v>
      </c>
      <c r="V36" s="427"/>
      <c r="W36" s="971"/>
      <c r="X36" s="427"/>
      <c r="Y36" s="971"/>
      <c r="Z36" s="427"/>
      <c r="AA36" s="1762"/>
      <c r="AB36" s="971">
        <f t="shared" si="3"/>
        <v>92.4</v>
      </c>
      <c r="AC36" s="427"/>
      <c r="AD36" s="970"/>
      <c r="AE36" s="427">
        <f>+'Exhibit F'!AF33+'Exhibit G State'!AF24</f>
        <v>92.3</v>
      </c>
      <c r="AF36" s="1942"/>
      <c r="AG36" s="1942"/>
      <c r="AH36" s="1111">
        <f t="shared" si="4"/>
        <v>0.1</v>
      </c>
      <c r="AI36" s="1922"/>
      <c r="AJ36" s="1764">
        <f>ROUND(SUM(+AH36/ABS(AE36)),3)</f>
        <v>1E-3</v>
      </c>
    </row>
    <row r="37" spans="1:36" ht="15">
      <c r="A37" s="1206" t="s">
        <v>1199</v>
      </c>
      <c r="B37" s="427"/>
      <c r="C37" s="971">
        <f>+'Exhibit F'!D34+'Exhibit G State'!D25</f>
        <v>21</v>
      </c>
      <c r="D37" s="971"/>
      <c r="E37" s="971">
        <f>+'Exhibit F'!F34+'Exhibit G State'!F25</f>
        <v>19</v>
      </c>
      <c r="F37" s="971"/>
      <c r="G37" s="971">
        <f>+'Exhibit F'!H34+'Exhibit G State'!H25</f>
        <v>23.6</v>
      </c>
      <c r="H37" s="971"/>
      <c r="I37" s="971">
        <f>+'Exhibit F'!J34+'Exhibit G State'!J25</f>
        <v>28.9</v>
      </c>
      <c r="J37" s="971"/>
      <c r="K37" s="971">
        <f>+'Exhibit F'!L34+'Exhibit G State'!L25</f>
        <v>16.5</v>
      </c>
      <c r="L37" s="427"/>
      <c r="M37" s="971">
        <f>+'Exhibit F'!N34+'Exhibit G State'!N25</f>
        <v>24.099999999999994</v>
      </c>
      <c r="N37" s="427"/>
      <c r="O37" s="971">
        <f>+'Exhibit F'!P34+'Exhibit G State'!P25</f>
        <v>19.400000000000006</v>
      </c>
      <c r="P37" s="427"/>
      <c r="Q37" s="971">
        <f>+'Exhibit F'!R34+'Exhibit G State'!R25</f>
        <v>23.1</v>
      </c>
      <c r="R37" s="427"/>
      <c r="S37" s="971">
        <f>+'Exhibit F'!T34+'Exhibit G State'!T25</f>
        <v>21.700000000000017</v>
      </c>
      <c r="T37" s="427"/>
      <c r="U37" s="971">
        <f>+'Exhibit F'!V34+'Exhibit G State'!V25</f>
        <v>28.9</v>
      </c>
      <c r="V37" s="427"/>
      <c r="W37" s="971"/>
      <c r="X37" s="427"/>
      <c r="Y37" s="971"/>
      <c r="Z37" s="427"/>
      <c r="AA37" s="1762"/>
      <c r="AB37" s="971">
        <f t="shared" si="3"/>
        <v>226.2</v>
      </c>
      <c r="AC37" s="427"/>
      <c r="AD37" s="970"/>
      <c r="AE37" s="427">
        <f>+'Exhibit F'!AF34+'Exhibit G State'!AF25</f>
        <v>227.4</v>
      </c>
      <c r="AF37" s="1942"/>
      <c r="AG37" s="1942"/>
      <c r="AH37" s="1111">
        <f t="shared" si="4"/>
        <v>-1.2</v>
      </c>
      <c r="AI37" s="1922"/>
      <c r="AJ37" s="1764">
        <f>ROUND(SUM(+AH37/ABS(AE37)),3)</f>
        <v>-5.0000000000000001E-3</v>
      </c>
    </row>
    <row r="38" spans="1:36" ht="15">
      <c r="A38" s="1206" t="s">
        <v>1200</v>
      </c>
      <c r="B38" s="427"/>
      <c r="C38" s="971">
        <f>+'Exhibit F'!D35+'Exhibit G State'!D26</f>
        <v>0.1</v>
      </c>
      <c r="D38" s="971"/>
      <c r="E38" s="971">
        <f>+'Exhibit F'!F35+'Exhibit G State'!F26</f>
        <v>0.2</v>
      </c>
      <c r="F38" s="971"/>
      <c r="G38" s="971">
        <f>+'Exhibit F'!H35+'Exhibit G State'!H26</f>
        <v>0.2</v>
      </c>
      <c r="H38" s="971"/>
      <c r="I38" s="971">
        <f>+'Exhibit F'!J35+'Exhibit G State'!J26</f>
        <v>0.2</v>
      </c>
      <c r="J38" s="971"/>
      <c r="K38" s="971">
        <f>+'Exhibit F'!L35+'Exhibit G State'!L26</f>
        <v>0.2</v>
      </c>
      <c r="L38" s="427"/>
      <c r="M38" s="971">
        <f>+'Exhibit F'!N35+'Exhibit G State'!N26</f>
        <v>0.2</v>
      </c>
      <c r="N38" s="427"/>
      <c r="O38" s="971">
        <f>+'Exhibit F'!P35+'Exhibit G State'!P26</f>
        <v>0.1</v>
      </c>
      <c r="P38" s="427"/>
      <c r="Q38" s="971">
        <f>+'Exhibit F'!R35+'Exhibit G State'!R26</f>
        <v>0.1</v>
      </c>
      <c r="R38" s="427"/>
      <c r="S38" s="971">
        <f>+'Exhibit F'!T35+'Exhibit G State'!T26</f>
        <v>0.1</v>
      </c>
      <c r="T38" s="427"/>
      <c r="U38" s="971">
        <f>+'Exhibit F'!V35+'Exhibit G State'!V26</f>
        <v>0.1</v>
      </c>
      <c r="V38" s="427"/>
      <c r="W38" s="971"/>
      <c r="X38" s="427"/>
      <c r="Y38" s="971"/>
      <c r="Z38" s="427"/>
      <c r="AA38" s="1762"/>
      <c r="AB38" s="971">
        <f t="shared" si="3"/>
        <v>1.5</v>
      </c>
      <c r="AC38" s="427"/>
      <c r="AD38" s="970"/>
      <c r="AE38" s="971">
        <f>+'Exhibit F'!AF35+'Exhibit G State'!AF26</f>
        <v>2</v>
      </c>
      <c r="AF38" s="1942"/>
      <c r="AG38" s="1942"/>
      <c r="AH38" s="1111">
        <f t="shared" si="4"/>
        <v>-0.5</v>
      </c>
      <c r="AI38" s="1922"/>
      <c r="AJ38" s="2582">
        <f>ROUND(IF(AE38=0,1,AH38/ABS(AE38)),3)</f>
        <v>-0.25</v>
      </c>
    </row>
    <row r="39" spans="1:36" ht="15">
      <c r="A39" s="1946" t="s">
        <v>1201</v>
      </c>
      <c r="B39" s="427"/>
      <c r="C39" s="971">
        <f>+'Exhibit F'!D36+'Exhibit G State'!D27</f>
        <v>13.4</v>
      </c>
      <c r="D39" s="971"/>
      <c r="E39" s="971">
        <f>+'Exhibit F'!F36+'Exhibit G State'!F27</f>
        <v>0.7</v>
      </c>
      <c r="F39" s="971"/>
      <c r="G39" s="971">
        <f>+'Exhibit F'!H36+'Exhibit G State'!H27</f>
        <v>0.4</v>
      </c>
      <c r="H39" s="971"/>
      <c r="I39" s="971">
        <f>+'Exhibit F'!J36+'Exhibit G State'!J27</f>
        <v>13.1</v>
      </c>
      <c r="J39" s="971"/>
      <c r="K39" s="971">
        <f>+'Exhibit F'!L36+'Exhibit G State'!L27</f>
        <v>0.5</v>
      </c>
      <c r="L39" s="427"/>
      <c r="M39" s="971">
        <f>+'Exhibit F'!N36+'Exhibit G State'!N27</f>
        <v>0.4</v>
      </c>
      <c r="N39" s="427"/>
      <c r="O39" s="971">
        <f>+'Exhibit F'!P36+'Exhibit G State'!P27</f>
        <v>11.4</v>
      </c>
      <c r="P39" s="427"/>
      <c r="Q39" s="971">
        <f>+'Exhibit F'!R36+'Exhibit G State'!R27</f>
        <v>1.3</v>
      </c>
      <c r="R39" s="427"/>
      <c r="S39" s="971">
        <f>+'Exhibit F'!T36+'Exhibit G State'!T27</f>
        <v>0.6</v>
      </c>
      <c r="T39" s="427"/>
      <c r="U39" s="971">
        <f>+'Exhibit F'!V36+'Exhibit G State'!V27</f>
        <v>12.8</v>
      </c>
      <c r="V39" s="427"/>
      <c r="W39" s="971"/>
      <c r="X39" s="427"/>
      <c r="Y39" s="971"/>
      <c r="Z39" s="427"/>
      <c r="AA39" s="1762"/>
      <c r="AB39" s="971">
        <f t="shared" si="3"/>
        <v>54.6</v>
      </c>
      <c r="AC39" s="427"/>
      <c r="AD39" s="970"/>
      <c r="AE39" s="427">
        <f>+'Exhibit F'!AF36+'Exhibit G State'!AF27</f>
        <v>63.3</v>
      </c>
      <c r="AF39" s="1942"/>
      <c r="AG39" s="1942"/>
      <c r="AH39" s="1111">
        <f t="shared" si="4"/>
        <v>-8.6999999999999993</v>
      </c>
      <c r="AI39" s="1922"/>
      <c r="AJ39" s="1764">
        <f>ROUND(SUM(+AH39/ABS(AE39)),3)</f>
        <v>-0.13700000000000001</v>
      </c>
    </row>
    <row r="40" spans="1:36" ht="15.6">
      <c r="A40" s="583" t="s">
        <v>1194</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1262.5999999999999</v>
      </c>
      <c r="P40" s="427"/>
      <c r="Q40" s="480">
        <f>ROUND(SUM(Q32:Q39),1)</f>
        <v>1314.2</v>
      </c>
      <c r="R40" s="427"/>
      <c r="S40" s="480">
        <f>ROUND(SUM(S32:S39),1)</f>
        <v>1613.9</v>
      </c>
      <c r="T40" s="427"/>
      <c r="U40" s="480">
        <f>ROUND(SUM(U32:U39),1)</f>
        <v>1351.4</v>
      </c>
      <c r="V40" s="427"/>
      <c r="W40" s="480">
        <f>ROUND(SUM(W32:W39),1)</f>
        <v>0</v>
      </c>
      <c r="X40" s="427"/>
      <c r="Y40" s="480">
        <f>ROUND(SUM(Y32:Y39),1)</f>
        <v>0</v>
      </c>
      <c r="Z40" s="427"/>
      <c r="AA40" s="1762"/>
      <c r="AB40" s="480">
        <f>ROUND(SUM(AB32:AB39),1)</f>
        <v>13622.4</v>
      </c>
      <c r="AC40" s="427"/>
      <c r="AD40" s="970"/>
      <c r="AE40" s="480">
        <f>ROUND(SUM(AE32:AE39),1)</f>
        <v>13165.8</v>
      </c>
      <c r="AF40" s="1942"/>
      <c r="AG40" s="1942"/>
      <c r="AH40" s="480">
        <f>ROUND(SUM(AH32:AH39),1)</f>
        <v>456.6</v>
      </c>
      <c r="AI40" s="1921"/>
      <c r="AJ40" s="524">
        <f>ROUND(SUM(+AH40/ABS(AE40)),3)</f>
        <v>3.5000000000000003E-2</v>
      </c>
    </row>
    <row r="41" spans="1:36" ht="15">
      <c r="A41" s="1907" t="s">
        <v>1245</v>
      </c>
      <c r="B41" s="427"/>
      <c r="C41" s="427"/>
      <c r="D41" s="427"/>
      <c r="E41" s="427"/>
      <c r="F41" s="427"/>
      <c r="G41" s="427"/>
      <c r="H41" s="427"/>
      <c r="I41" s="427"/>
      <c r="J41" s="427"/>
      <c r="K41" s="427"/>
      <c r="L41" s="427"/>
      <c r="M41" s="2802"/>
      <c r="N41" s="427"/>
      <c r="O41" s="968"/>
      <c r="P41" s="427"/>
      <c r="Q41" s="968"/>
      <c r="R41" s="427"/>
      <c r="S41" s="968"/>
      <c r="T41" s="427"/>
      <c r="U41" s="968"/>
      <c r="V41" s="427"/>
      <c r="W41" s="968"/>
      <c r="X41" s="427"/>
      <c r="Y41" s="968"/>
      <c r="Z41" s="427"/>
      <c r="AA41" s="1762"/>
      <c r="AB41" s="427"/>
      <c r="AC41" s="427"/>
      <c r="AD41" s="970"/>
      <c r="AE41" s="427"/>
      <c r="AF41" s="1942"/>
      <c r="AG41" s="1942"/>
      <c r="AH41" s="1560"/>
      <c r="AI41" s="427"/>
      <c r="AJ41" s="1560"/>
    </row>
    <row r="42" spans="1:36" ht="15">
      <c r="A42" s="1206" t="s">
        <v>1203</v>
      </c>
      <c r="B42" s="427"/>
      <c r="C42" s="971">
        <f>+'Exhibit F'!D39+'Exhibit G State'!D30</f>
        <v>430.09999999999997</v>
      </c>
      <c r="D42" s="971"/>
      <c r="E42" s="971">
        <f>+'Exhibit F'!F39+'Exhibit G State'!F30</f>
        <v>118</v>
      </c>
      <c r="F42" s="971"/>
      <c r="G42" s="971">
        <f>+'Exhibit F'!H39+'Exhibit G State'!H30</f>
        <v>495.59999999999997</v>
      </c>
      <c r="H42" s="971"/>
      <c r="I42" s="971">
        <f>+'Exhibit F'!J39+'Exhibit G State'!J30</f>
        <v>60.6</v>
      </c>
      <c r="J42" s="971"/>
      <c r="K42" s="971">
        <f>+'Exhibit F'!L39+'Exhibit G State'!L30</f>
        <v>130.6</v>
      </c>
      <c r="L42" s="971"/>
      <c r="M42" s="971">
        <f>+'Exhibit F'!N39+'Exhibit G State'!N30</f>
        <v>498.79999999999995</v>
      </c>
      <c r="N42" s="427"/>
      <c r="O42" s="971">
        <f>+'Exhibit F'!P39+'Exhibit G State'!P30</f>
        <v>-32.399999999999956</v>
      </c>
      <c r="P42" s="427"/>
      <c r="Q42" s="971">
        <f>+'Exhibit F'!R39+'Exhibit G State'!R30</f>
        <v>51.7</v>
      </c>
      <c r="R42" s="427"/>
      <c r="S42" s="971">
        <f>+'Exhibit F'!T39+'Exhibit G State'!T30</f>
        <v>777.1</v>
      </c>
      <c r="T42" s="427"/>
      <c r="U42" s="971">
        <f>+'Exhibit F'!V39+'Exhibit G State'!V30</f>
        <v>-125.7</v>
      </c>
      <c r="V42" s="427"/>
      <c r="W42" s="971"/>
      <c r="X42" s="427"/>
      <c r="Y42" s="971"/>
      <c r="Z42" s="427"/>
      <c r="AA42" s="1762"/>
      <c r="AB42" s="971">
        <f>ROUND(SUM(C42:Y42),1)</f>
        <v>2404.4</v>
      </c>
      <c r="AC42" s="427"/>
      <c r="AD42" s="970"/>
      <c r="AE42" s="427">
        <f>+'Exhibit F'!AF39+'Exhibit G State'!AF30</f>
        <v>2629.6</v>
      </c>
      <c r="AF42" s="1942"/>
      <c r="AG42" s="1942"/>
      <c r="AH42" s="1111">
        <f t="shared" ref="AH42:AH54" si="6">ROUND(SUM(+AB42-AE42),1)</f>
        <v>-225.2</v>
      </c>
      <c r="AI42" s="1922"/>
      <c r="AJ42" s="1764">
        <f t="shared" ref="AJ42:AJ47" si="7">ROUND(SUM(+AH42/ABS(AE42)),3)</f>
        <v>-8.5999999999999993E-2</v>
      </c>
    </row>
    <row r="43" spans="1:36" ht="15">
      <c r="A43" s="1206" t="s">
        <v>1204</v>
      </c>
      <c r="B43" s="427"/>
      <c r="C43" s="971">
        <f>+'Exhibit G State'!D31+'Exhibit F'!D40</f>
        <v>39.700000000000003</v>
      </c>
      <c r="D43" s="971"/>
      <c r="E43" s="971">
        <f>+'Exhibit G State'!F31+'Exhibit F'!F40</f>
        <v>35.6</v>
      </c>
      <c r="F43" s="971"/>
      <c r="G43" s="971">
        <f>+'Exhibit G State'!H31+'Exhibit F'!H40</f>
        <v>117.9</v>
      </c>
      <c r="H43" s="971"/>
      <c r="I43" s="971">
        <f>+'Exhibit G State'!J31+'Exhibit F'!J40</f>
        <v>10.600000000000001</v>
      </c>
      <c r="J43" s="971"/>
      <c r="K43" s="971">
        <f>+'Exhibit G State'!L31+'Exhibit F'!L40</f>
        <v>3.6999999999999944</v>
      </c>
      <c r="L43" s="971"/>
      <c r="M43" s="971">
        <f>+'Exhibit G State'!N31+'Exhibit F'!N40</f>
        <v>121.90000000000003</v>
      </c>
      <c r="N43" s="427"/>
      <c r="O43" s="971">
        <f>+'Exhibit G State'!P31+'Exhibit F'!P40</f>
        <v>1.0999999999999546</v>
      </c>
      <c r="P43" s="427"/>
      <c r="Q43" s="971">
        <f>+'Exhibit G State'!R31+'Exhibit F'!R40</f>
        <v>1</v>
      </c>
      <c r="R43" s="427"/>
      <c r="S43" s="971">
        <f>+'Exhibit G State'!T31+'Exhibit F'!T40</f>
        <v>119.70000000000003</v>
      </c>
      <c r="T43" s="427"/>
      <c r="U43" s="971">
        <f>+'Exhibit G State'!V31+'Exhibit F'!V40</f>
        <v>20.8</v>
      </c>
      <c r="V43" s="427"/>
      <c r="W43" s="971"/>
      <c r="X43" s="427"/>
      <c r="Y43" s="971"/>
      <c r="Z43" s="427"/>
      <c r="AA43" s="1762"/>
      <c r="AB43" s="971">
        <f>ROUND(SUM(C43:Y43),1)</f>
        <v>472</v>
      </c>
      <c r="AC43" s="427"/>
      <c r="AD43" s="970"/>
      <c r="AE43" s="427">
        <f>+'Exhibit G State'!AF31+'Exhibit F'!AF40</f>
        <v>480.9</v>
      </c>
      <c r="AF43" s="1942"/>
      <c r="AG43" s="1942"/>
      <c r="AH43" s="1111">
        <f t="shared" si="6"/>
        <v>-8.9</v>
      </c>
      <c r="AI43" s="1922"/>
      <c r="AJ43" s="1764">
        <f t="shared" si="7"/>
        <v>-1.9E-2</v>
      </c>
    </row>
    <row r="44" spans="1:36" ht="15">
      <c r="A44" s="1206" t="s">
        <v>1205</v>
      </c>
      <c r="B44" s="427"/>
      <c r="C44" s="971">
        <f>+'Exhibit F'!D41+'Exhibit G State'!D32</f>
        <v>45.5</v>
      </c>
      <c r="D44" s="971"/>
      <c r="E44" s="971">
        <f>+'Exhibit F'!F41+'Exhibit G State'!F32</f>
        <v>15.5</v>
      </c>
      <c r="F44" s="971"/>
      <c r="G44" s="971">
        <f>+'Exhibit F'!H41+'Exhibit G State'!H32</f>
        <v>321.3</v>
      </c>
      <c r="H44" s="971"/>
      <c r="I44" s="971">
        <f>+'Exhibit F'!J41+'Exhibit G State'!J32</f>
        <v>7.2</v>
      </c>
      <c r="J44" s="971"/>
      <c r="K44" s="971">
        <f>+'Exhibit F'!L41+'Exhibit G State'!L32</f>
        <v>24.399999999999967</v>
      </c>
      <c r="L44" s="971"/>
      <c r="M44" s="971">
        <f>+'Exhibit F'!N41+'Exhibit G State'!N32</f>
        <v>340.49999999999994</v>
      </c>
      <c r="N44" s="427"/>
      <c r="O44" s="971">
        <f>+'Exhibit F'!P41+'Exhibit G State'!P32</f>
        <v>8.5000000000000675</v>
      </c>
      <c r="P44" s="427"/>
      <c r="Q44" s="971">
        <f>+'Exhibit F'!R41+'Exhibit G State'!R32</f>
        <v>5.1000000000000227</v>
      </c>
      <c r="R44" s="427"/>
      <c r="S44" s="971">
        <f>+'Exhibit F'!T41+'Exhibit G State'!T32</f>
        <v>319.39999999999992</v>
      </c>
      <c r="T44" s="427"/>
      <c r="U44" s="971">
        <f>+'Exhibit F'!V41+'Exhibit G State'!V32</f>
        <v>22.7</v>
      </c>
      <c r="V44" s="427"/>
      <c r="W44" s="971"/>
      <c r="X44" s="427"/>
      <c r="Y44" s="971"/>
      <c r="Z44" s="427"/>
      <c r="AA44" s="1762"/>
      <c r="AB44" s="971">
        <f>ROUND(SUM(C44:Y44),1)</f>
        <v>1110.0999999999999</v>
      </c>
      <c r="AC44" s="427"/>
      <c r="AD44" s="970"/>
      <c r="AE44" s="427">
        <f>+'Exhibit F'!AF41+'Exhibit G State'!AF32</f>
        <v>1009.8000000000001</v>
      </c>
      <c r="AF44" s="1942"/>
      <c r="AG44" s="1942"/>
      <c r="AH44" s="1111">
        <f t="shared" si="6"/>
        <v>100.3</v>
      </c>
      <c r="AI44" s="1922"/>
      <c r="AJ44" s="1764">
        <f t="shared" si="7"/>
        <v>9.9000000000000005E-2</v>
      </c>
    </row>
    <row r="45" spans="1:36" ht="15">
      <c r="A45" s="1206" t="s">
        <v>1206</v>
      </c>
      <c r="B45" s="427"/>
      <c r="C45" s="971">
        <f>+'Exhibit F'!D42+'Exhibit G State'!D33</f>
        <v>4.3</v>
      </c>
      <c r="D45" s="971"/>
      <c r="E45" s="971">
        <f>+'Exhibit F'!F42+'Exhibit G State'!F33</f>
        <v>-7.4</v>
      </c>
      <c r="F45" s="971"/>
      <c r="G45" s="971">
        <f>+'Exhibit F'!H42+'Exhibit G State'!H33</f>
        <v>-0.9</v>
      </c>
      <c r="H45" s="971"/>
      <c r="I45" s="971">
        <f>+'Exhibit F'!J42+'Exhibit G State'!J33</f>
        <v>6.9</v>
      </c>
      <c r="J45" s="971"/>
      <c r="K45" s="971">
        <f>+'Exhibit F'!L42+'Exhibit G State'!L33</f>
        <v>275.10000000000002</v>
      </c>
      <c r="L45" s="971"/>
      <c r="M45" s="971">
        <f>+'Exhibit F'!N42+'Exhibit G State'!N33</f>
        <v>-10.400000000000011</v>
      </c>
      <c r="N45" s="427"/>
      <c r="O45" s="971">
        <f>+'Exhibit F'!P42+'Exhibit G State'!P33</f>
        <v>0.99999999999999434</v>
      </c>
      <c r="P45" s="427"/>
      <c r="Q45" s="971">
        <f>+'Exhibit F'!R42+'Exhibit G State'!R33</f>
        <v>0</v>
      </c>
      <c r="R45" s="427"/>
      <c r="S45" s="971">
        <f>+'Exhibit F'!T42+'Exhibit G State'!T33</f>
        <v>159.6</v>
      </c>
      <c r="T45" s="427"/>
      <c r="U45" s="971">
        <f>+'Exhibit F'!V42+'Exhibit G State'!V33</f>
        <v>4.5</v>
      </c>
      <c r="V45" s="427"/>
      <c r="W45" s="971"/>
      <c r="X45" s="427"/>
      <c r="Y45" s="971"/>
      <c r="Z45" s="427"/>
      <c r="AA45" s="1762"/>
      <c r="AB45" s="971">
        <f>ROUND(SUM(C45:Y45),1)</f>
        <v>432.7</v>
      </c>
      <c r="AC45" s="427"/>
      <c r="AD45" s="970"/>
      <c r="AE45" s="427">
        <f>+'Exhibit F'!AF42+'Exhibit G State'!AF33</f>
        <v>367.90000000000003</v>
      </c>
      <c r="AF45" s="1942"/>
      <c r="AG45" s="1942"/>
      <c r="AH45" s="1111">
        <f t="shared" si="6"/>
        <v>64.8</v>
      </c>
      <c r="AI45" s="1922"/>
      <c r="AJ45" s="2541">
        <f t="shared" si="7"/>
        <v>0.17599999999999999</v>
      </c>
    </row>
    <row r="46" spans="1:36" ht="15">
      <c r="A46" s="1206" t="s">
        <v>1207</v>
      </c>
      <c r="B46" s="427"/>
      <c r="C46" s="971">
        <f>+'Exhibit F'!D43+'Exhibit G State'!D34</f>
        <v>36.799999999999997</v>
      </c>
      <c r="D46" s="971"/>
      <c r="E46" s="971">
        <f>+'Exhibit F'!F43+'Exhibit G State'!F34</f>
        <v>36.6</v>
      </c>
      <c r="F46" s="971"/>
      <c r="G46" s="971">
        <f>+'Exhibit F'!H43+'Exhibit G State'!H34</f>
        <v>42.1</v>
      </c>
      <c r="H46" s="971"/>
      <c r="I46" s="971">
        <f>+'Exhibit F'!J43+'Exhibit G State'!J34</f>
        <v>44.3</v>
      </c>
      <c r="J46" s="971"/>
      <c r="K46" s="971">
        <f>+'Exhibit F'!L43+'Exhibit G State'!L34</f>
        <v>40.299999999999997</v>
      </c>
      <c r="L46" s="971"/>
      <c r="M46" s="971">
        <f>+'Exhibit F'!N43+'Exhibit G State'!N34</f>
        <v>44.2</v>
      </c>
      <c r="N46" s="427"/>
      <c r="O46" s="971">
        <f>+'Exhibit F'!P43+'Exhibit G State'!P34</f>
        <v>40.5</v>
      </c>
      <c r="P46" s="427"/>
      <c r="Q46" s="971">
        <f>+'Exhibit F'!R43+'Exhibit G State'!R34</f>
        <v>41.2</v>
      </c>
      <c r="R46" s="427"/>
      <c r="S46" s="971">
        <f>+'Exhibit F'!T43+'Exhibit G State'!T34</f>
        <v>40.5</v>
      </c>
      <c r="T46" s="427"/>
      <c r="U46" s="971">
        <f>+'Exhibit F'!V43+'Exhibit G State'!V34</f>
        <v>41.1</v>
      </c>
      <c r="V46" s="427"/>
      <c r="W46" s="971"/>
      <c r="X46" s="427"/>
      <c r="Y46" s="971"/>
      <c r="Z46" s="427"/>
      <c r="AA46" s="1762"/>
      <c r="AB46" s="971">
        <f>ROUND(SUM(C46:Y46),1)</f>
        <v>407.6</v>
      </c>
      <c r="AC46" s="427"/>
      <c r="AD46" s="970"/>
      <c r="AE46" s="427">
        <f>+'Exhibit F'!AF43+'Exhibit G State'!AF34</f>
        <v>423.6</v>
      </c>
      <c r="AF46" s="1942"/>
      <c r="AG46" s="1942"/>
      <c r="AH46" s="1111">
        <f t="shared" si="6"/>
        <v>-16</v>
      </c>
      <c r="AI46" s="1922"/>
      <c r="AJ46" s="1764">
        <f t="shared" si="7"/>
        <v>-3.7999999999999999E-2</v>
      </c>
    </row>
    <row r="47" spans="1:36" ht="15.6">
      <c r="A47" s="583" t="s">
        <v>1202</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18.7</v>
      </c>
      <c r="P47" s="427"/>
      <c r="Q47" s="480">
        <f>ROUND(SUM(Q42:Q46),1)</f>
        <v>99</v>
      </c>
      <c r="R47" s="427"/>
      <c r="S47" s="480">
        <f>ROUND(SUM(S42:S46),1)</f>
        <v>1416.3</v>
      </c>
      <c r="T47" s="427"/>
      <c r="U47" s="480">
        <f>ROUND(SUM(U42:U46),1)</f>
        <v>-36.6</v>
      </c>
      <c r="V47" s="427"/>
      <c r="W47" s="480">
        <f>ROUND(SUM(W42:W46),1)</f>
        <v>0</v>
      </c>
      <c r="X47" s="427"/>
      <c r="Y47" s="480">
        <f>ROUND(SUM(Y42:Y46),1)</f>
        <v>0</v>
      </c>
      <c r="Z47" s="427"/>
      <c r="AA47" s="1762"/>
      <c r="AB47" s="480">
        <f>ROUND(SUM(AB42:AB46),1)</f>
        <v>4826.8</v>
      </c>
      <c r="AC47" s="427"/>
      <c r="AD47" s="970"/>
      <c r="AE47" s="480">
        <f>ROUND(SUM(AE42:AE46),1)</f>
        <v>4911.8</v>
      </c>
      <c r="AF47" s="1942"/>
      <c r="AG47" s="1942"/>
      <c r="AH47" s="480">
        <f>ROUND(SUM(AH42:AH46),1)</f>
        <v>-85</v>
      </c>
      <c r="AI47" s="1921"/>
      <c r="AJ47" s="524">
        <f t="shared" si="7"/>
        <v>-1.7000000000000001E-2</v>
      </c>
    </row>
    <row r="48" spans="1:36" ht="15">
      <c r="A48" s="1907" t="s">
        <v>1246</v>
      </c>
      <c r="B48" s="427"/>
      <c r="C48" s="427"/>
      <c r="D48" s="427"/>
      <c r="E48" s="427"/>
      <c r="F48" s="427"/>
      <c r="G48" s="427"/>
      <c r="H48" s="427"/>
      <c r="I48" s="427"/>
      <c r="J48" s="427"/>
      <c r="K48" s="427"/>
      <c r="L48" s="427"/>
      <c r="M48" s="2802"/>
      <c r="N48" s="427"/>
      <c r="O48" s="968"/>
      <c r="P48" s="427"/>
      <c r="Q48" s="968"/>
      <c r="R48" s="427"/>
      <c r="S48" s="968"/>
      <c r="T48" s="427"/>
      <c r="U48" s="968"/>
      <c r="V48" s="427"/>
      <c r="W48" s="968"/>
      <c r="X48" s="427"/>
      <c r="Y48" s="968"/>
      <c r="Z48" s="427"/>
      <c r="AA48" s="1762"/>
      <c r="AB48" s="427"/>
      <c r="AC48" s="427"/>
      <c r="AD48" s="970"/>
      <c r="AE48" s="427"/>
      <c r="AF48" s="1942"/>
      <c r="AG48" s="1942"/>
      <c r="AH48" s="1560"/>
      <c r="AI48" s="427"/>
      <c r="AJ48" s="1560"/>
    </row>
    <row r="49" spans="1:36" ht="15">
      <c r="A49" s="1206" t="s">
        <v>1210</v>
      </c>
      <c r="B49" s="427"/>
      <c r="C49" s="971">
        <f>+'Exhibit F'!D46</f>
        <v>0</v>
      </c>
      <c r="D49" s="971"/>
      <c r="E49" s="971">
        <f>+'Exhibit F'!F46</f>
        <v>0</v>
      </c>
      <c r="F49" s="971"/>
      <c r="G49" s="971">
        <f>+'Exhibit F'!H46</f>
        <v>0</v>
      </c>
      <c r="H49" s="971"/>
      <c r="I49" s="971">
        <f>+'Exhibit F'!J46</f>
        <v>0</v>
      </c>
      <c r="J49" s="971"/>
      <c r="K49" s="971">
        <f>+'Exhibit F'!L46</f>
        <v>0</v>
      </c>
      <c r="L49" s="427"/>
      <c r="M49" s="971">
        <f>+'Exhibit F'!N46</f>
        <v>0</v>
      </c>
      <c r="N49" s="427"/>
      <c r="O49" s="971">
        <f>+'Exhibit F'!P46</f>
        <v>0</v>
      </c>
      <c r="P49" s="427"/>
      <c r="Q49" s="971">
        <f>+'Exhibit F'!R46</f>
        <v>0</v>
      </c>
      <c r="R49" s="427"/>
      <c r="S49" s="971">
        <f>+'Exhibit F'!T46</f>
        <v>0</v>
      </c>
      <c r="T49" s="427"/>
      <c r="U49" s="971">
        <f>+'Exhibit F'!V46</f>
        <v>0</v>
      </c>
      <c r="V49" s="427"/>
      <c r="W49" s="971"/>
      <c r="X49" s="427"/>
      <c r="Y49" s="971"/>
      <c r="Z49" s="427"/>
      <c r="AA49" s="1762"/>
      <c r="AB49" s="971">
        <f t="shared" ref="AB49:AB54" si="8">ROUND(SUM(C49:Y49),1)</f>
        <v>0</v>
      </c>
      <c r="AC49" s="427"/>
      <c r="AD49" s="970"/>
      <c r="AE49" s="971">
        <f>+'Exhibit F'!AF46</f>
        <v>0.1</v>
      </c>
      <c r="AF49" s="1942"/>
      <c r="AG49" s="1942"/>
      <c r="AH49" s="1111">
        <f t="shared" si="6"/>
        <v>-0.1</v>
      </c>
      <c r="AI49" s="427"/>
      <c r="AJ49" s="2582">
        <f>ROUND(IF(AE49=0,0,AH49/ABS(AE49)),3)</f>
        <v>-1</v>
      </c>
    </row>
    <row r="50" spans="1:36" ht="15">
      <c r="A50" s="1206" t="s">
        <v>1211</v>
      </c>
      <c r="B50" s="427"/>
      <c r="C50" s="971">
        <f>+'Exhibit F'!D47</f>
        <v>89.7</v>
      </c>
      <c r="D50" s="971"/>
      <c r="E50" s="971">
        <f>+'Exhibit F'!F47</f>
        <v>112.7</v>
      </c>
      <c r="F50" s="971"/>
      <c r="G50" s="971">
        <f>+'Exhibit F'!H47</f>
        <v>102</v>
      </c>
      <c r="H50" s="971"/>
      <c r="I50" s="971">
        <f>+'Exhibit F'!J47</f>
        <v>64.400000000000006</v>
      </c>
      <c r="J50" s="971"/>
      <c r="K50" s="971">
        <f>+'Exhibit F'!L47</f>
        <v>83.199999999999989</v>
      </c>
      <c r="L50" s="427"/>
      <c r="M50" s="971">
        <f>+'Exhibit F'!N47</f>
        <v>211.70000000000005</v>
      </c>
      <c r="N50" s="427"/>
      <c r="O50" s="971">
        <f>+'Exhibit F'!P47</f>
        <v>75.599999999999994</v>
      </c>
      <c r="P50" s="427"/>
      <c r="Q50" s="971">
        <f>+'Exhibit F'!R47</f>
        <v>70.600000000000023</v>
      </c>
      <c r="R50" s="427"/>
      <c r="S50" s="971">
        <f>+'Exhibit F'!T47</f>
        <v>152.89999999999998</v>
      </c>
      <c r="T50" s="427"/>
      <c r="U50" s="971">
        <f>+'Exhibit F'!V47</f>
        <v>173.5</v>
      </c>
      <c r="V50" s="427"/>
      <c r="W50" s="971"/>
      <c r="X50" s="427"/>
      <c r="Y50" s="971"/>
      <c r="Z50" s="427"/>
      <c r="AA50" s="1762"/>
      <c r="AB50" s="971">
        <f t="shared" si="8"/>
        <v>1136.3</v>
      </c>
      <c r="AC50" s="427"/>
      <c r="AD50" s="970"/>
      <c r="AE50" s="427">
        <f>+'Exhibit F'!AF47</f>
        <v>949.3</v>
      </c>
      <c r="AF50" s="1942"/>
      <c r="AG50" s="1942"/>
      <c r="AH50" s="1111">
        <f t="shared" si="6"/>
        <v>187</v>
      </c>
      <c r="AI50" s="427"/>
      <c r="AJ50" s="1764">
        <f t="shared" ref="AJ50:AJ55" si="9">ROUND(SUM(+AH50/ABS(AE50)),3)</f>
        <v>0.19700000000000001</v>
      </c>
    </row>
    <row r="51" spans="1:36" ht="15">
      <c r="A51" s="1206" t="s">
        <v>1212</v>
      </c>
      <c r="B51" s="427"/>
      <c r="C51" s="971">
        <f>+'Exhibit F'!D48</f>
        <v>0.8</v>
      </c>
      <c r="D51" s="971"/>
      <c r="E51" s="971">
        <f>+'Exhibit F'!F48</f>
        <v>1.2</v>
      </c>
      <c r="F51" s="971"/>
      <c r="G51" s="971">
        <f>+'Exhibit F'!H48</f>
        <v>1.5</v>
      </c>
      <c r="H51" s="971"/>
      <c r="I51" s="971">
        <f>+'Exhibit F'!J48</f>
        <v>1.4</v>
      </c>
      <c r="J51" s="971"/>
      <c r="K51" s="971">
        <f>+'Exhibit F'!L48</f>
        <v>2.2999999999999998</v>
      </c>
      <c r="L51" s="427"/>
      <c r="M51" s="971">
        <f>+'Exhibit F'!N48</f>
        <v>2.2000000000000002</v>
      </c>
      <c r="N51" s="427"/>
      <c r="O51" s="971">
        <f>+'Exhibit F'!P48</f>
        <v>1.2</v>
      </c>
      <c r="P51" s="427"/>
      <c r="Q51" s="971">
        <f>+'Exhibit F'!R48</f>
        <v>1.0999999999999996</v>
      </c>
      <c r="R51" s="427"/>
      <c r="S51" s="971">
        <f>+'Exhibit F'!T48</f>
        <v>1.1000000000000014</v>
      </c>
      <c r="T51" s="427"/>
      <c r="U51" s="971">
        <f>+'Exhibit F'!V48</f>
        <v>0.7</v>
      </c>
      <c r="V51" s="427"/>
      <c r="W51" s="971"/>
      <c r="X51" s="427"/>
      <c r="Y51" s="971"/>
      <c r="Z51" s="427"/>
      <c r="AA51" s="1762"/>
      <c r="AB51" s="971">
        <f t="shared" si="8"/>
        <v>13.5</v>
      </c>
      <c r="AC51" s="427"/>
      <c r="AD51" s="970"/>
      <c r="AE51" s="427">
        <f>+'Exhibit F'!AF48</f>
        <v>13.6</v>
      </c>
      <c r="AF51" s="1942"/>
      <c r="AG51" s="1942"/>
      <c r="AH51" s="1111">
        <f t="shared" si="6"/>
        <v>-0.1</v>
      </c>
      <c r="AI51" s="427"/>
      <c r="AJ51" s="1764">
        <f t="shared" si="9"/>
        <v>-7.0000000000000001E-3</v>
      </c>
    </row>
    <row r="52" spans="1:36" ht="15">
      <c r="A52" s="1206" t="s">
        <v>1213</v>
      </c>
      <c r="B52" s="427"/>
      <c r="C52" s="971">
        <f>+'Exhibit F'!D49+'Exhibit H'!B22</f>
        <v>94.8</v>
      </c>
      <c r="D52" s="971"/>
      <c r="E52" s="971">
        <f>+'Exhibit F'!F49+'Exhibit H'!D22</f>
        <v>94.7</v>
      </c>
      <c r="F52" s="971"/>
      <c r="G52" s="971">
        <f>+'Exhibit F'!H49+'Exhibit H'!F22</f>
        <v>89.600000000000023</v>
      </c>
      <c r="H52" s="971"/>
      <c r="I52" s="971">
        <f>+'Exhibit F'!J49+'Exhibit H'!H22</f>
        <v>84.4</v>
      </c>
      <c r="J52" s="971"/>
      <c r="K52" s="971">
        <f>+'Exhibit F'!L49+'Exhibit H'!J22</f>
        <v>97.6</v>
      </c>
      <c r="L52" s="427"/>
      <c r="M52" s="971">
        <f>+'Exhibit F'!N49+'Exhibit H'!L22</f>
        <v>98.4</v>
      </c>
      <c r="N52" s="427"/>
      <c r="O52" s="971">
        <f>+'Exhibit F'!P49+'Exhibit H'!N22</f>
        <v>70</v>
      </c>
      <c r="P52" s="427"/>
      <c r="Q52" s="971">
        <f>+'Exhibit F'!R49+'Exhibit H'!P22</f>
        <v>85</v>
      </c>
      <c r="R52" s="427"/>
      <c r="S52" s="971">
        <f>+'Exhibit F'!T49+'Exhibit H'!R22</f>
        <v>67.099999999999994</v>
      </c>
      <c r="T52" s="427"/>
      <c r="U52" s="971">
        <f>+'Exhibit F'!V49+'Exhibit H'!T22</f>
        <v>83</v>
      </c>
      <c r="V52" s="427"/>
      <c r="W52" s="971"/>
      <c r="X52" s="427"/>
      <c r="Y52" s="971"/>
      <c r="Z52" s="427"/>
      <c r="AA52" s="1762"/>
      <c r="AB52" s="971">
        <f t="shared" si="8"/>
        <v>864.6</v>
      </c>
      <c r="AC52" s="427"/>
      <c r="AD52" s="970"/>
      <c r="AE52" s="427">
        <f>+'Exhibit F'!AF49+' Exhibit I State'!AG29+'Exhibit H'!AD22</f>
        <v>864.3</v>
      </c>
      <c r="AF52" s="1942"/>
      <c r="AG52" s="1942"/>
      <c r="AH52" s="1111">
        <f t="shared" si="6"/>
        <v>0.3</v>
      </c>
      <c r="AI52" s="427"/>
      <c r="AJ52" s="1764">
        <f t="shared" si="9"/>
        <v>0</v>
      </c>
    </row>
    <row r="53" spans="1:36" ht="15">
      <c r="A53" s="1206" t="s">
        <v>1214</v>
      </c>
      <c r="B53" s="427"/>
      <c r="C53" s="971">
        <f>+'Exhibit F'!D50</f>
        <v>0.4</v>
      </c>
      <c r="D53" s="971"/>
      <c r="E53" s="971">
        <f>+'Exhibit F'!F50</f>
        <v>0.1</v>
      </c>
      <c r="F53" s="971"/>
      <c r="G53" s="971">
        <f>+'Exhibit F'!H50</f>
        <v>0</v>
      </c>
      <c r="H53" s="971"/>
      <c r="I53" s="971">
        <f>+'Exhibit F'!J50</f>
        <v>0.2</v>
      </c>
      <c r="J53" s="971"/>
      <c r="K53" s="971">
        <f>+'Exhibit F'!L50</f>
        <v>0.5</v>
      </c>
      <c r="L53" s="427"/>
      <c r="M53" s="971">
        <f>+'Exhibit F'!N50</f>
        <v>0</v>
      </c>
      <c r="N53" s="427"/>
      <c r="O53" s="971">
        <f>+'Exhibit F'!P50</f>
        <v>0.3</v>
      </c>
      <c r="P53" s="427"/>
      <c r="Q53" s="971">
        <f>+'Exhibit F'!R50</f>
        <v>0.70000000000000018</v>
      </c>
      <c r="R53" s="427"/>
      <c r="S53" s="971">
        <f>+'Exhibit F'!T50</f>
        <v>0.1</v>
      </c>
      <c r="T53" s="427"/>
      <c r="U53" s="971">
        <f>+'Exhibit F'!V50</f>
        <v>0.1</v>
      </c>
      <c r="V53" s="427"/>
      <c r="W53" s="971"/>
      <c r="X53" s="427"/>
      <c r="Y53" s="971"/>
      <c r="Z53" s="427"/>
      <c r="AA53" s="1762"/>
      <c r="AB53" s="971">
        <f t="shared" si="8"/>
        <v>2.4</v>
      </c>
      <c r="AC53" s="427"/>
      <c r="AD53" s="970"/>
      <c r="AE53" s="971">
        <f>+'Exhibit F'!AF50</f>
        <v>2.5</v>
      </c>
      <c r="AF53" s="1942"/>
      <c r="AG53" s="1942"/>
      <c r="AH53" s="1111">
        <f t="shared" si="6"/>
        <v>-0.1</v>
      </c>
      <c r="AI53" s="427"/>
      <c r="AJ53" s="1764">
        <f>ROUND(IF(AE53=0,1,AH53/ABS(AE53)),3)</f>
        <v>-0.04</v>
      </c>
    </row>
    <row r="54" spans="1:36" ht="15">
      <c r="A54" s="1946" t="s">
        <v>1215</v>
      </c>
      <c r="B54" s="427"/>
      <c r="C54" s="971">
        <f>+'Exhibit F'!D51+'Exhibit G State'!D37</f>
        <v>120.2</v>
      </c>
      <c r="D54" s="971"/>
      <c r="E54" s="971">
        <f>+'Exhibit F'!F51+'Exhibit G State'!F37</f>
        <v>106.9</v>
      </c>
      <c r="F54" s="971"/>
      <c r="G54" s="971">
        <f>+'Exhibit F'!H51+'Exhibit G State'!H37</f>
        <v>106.2</v>
      </c>
      <c r="H54" s="971"/>
      <c r="I54" s="971">
        <f>+'Exhibit F'!J51+'Exhibit G State'!J37</f>
        <v>98.2</v>
      </c>
      <c r="J54" s="971"/>
      <c r="K54" s="971">
        <f>+'Exhibit F'!L51+'Exhibit G State'!L37</f>
        <v>105.7</v>
      </c>
      <c r="L54" s="427"/>
      <c r="M54" s="971">
        <f>+'Exhibit F'!N51+'Exhibit G State'!N37</f>
        <v>99.3</v>
      </c>
      <c r="N54" s="427"/>
      <c r="O54" s="971">
        <f>+'Exhibit F'!P51+'Exhibit G State'!P37</f>
        <v>118</v>
      </c>
      <c r="P54" s="427"/>
      <c r="Q54" s="971">
        <f>+'Exhibit F'!R51+'Exhibit G State'!R37</f>
        <v>90.6</v>
      </c>
      <c r="R54" s="427"/>
      <c r="S54" s="971">
        <f>+'Exhibit F'!T51+'Exhibit G State'!T37</f>
        <v>117.5</v>
      </c>
      <c r="T54" s="427"/>
      <c r="U54" s="971">
        <f>+'Exhibit F'!V51+'Exhibit G State'!V37</f>
        <v>203.6</v>
      </c>
      <c r="V54" s="427"/>
      <c r="W54" s="971"/>
      <c r="X54" s="427"/>
      <c r="Y54" s="971"/>
      <c r="Z54" s="427"/>
      <c r="AA54" s="1762"/>
      <c r="AB54" s="971">
        <f t="shared" si="8"/>
        <v>1166.2</v>
      </c>
      <c r="AC54" s="427"/>
      <c r="AD54" s="970"/>
      <c r="AE54" s="1942">
        <f>+'Exhibit F'!AF51+'Exhibit G State'!AF37</f>
        <v>1105.0999999999999</v>
      </c>
      <c r="AF54" s="1942"/>
      <c r="AG54" s="1942"/>
      <c r="AH54" s="1111">
        <f t="shared" si="6"/>
        <v>61.1</v>
      </c>
      <c r="AI54" s="427"/>
      <c r="AJ54" s="1764">
        <f t="shared" si="9"/>
        <v>5.5E-2</v>
      </c>
    </row>
    <row r="55" spans="1:36" ht="15.6">
      <c r="A55" s="583" t="s">
        <v>1208</v>
      </c>
      <c r="B55" s="427"/>
      <c r="C55" s="1219">
        <f>ROUND(SUM(C49:C54),1)</f>
        <v>305.89999999999998</v>
      </c>
      <c r="D55" s="427"/>
      <c r="E55" s="1219">
        <f>ROUND(SUM(E49:E54),1)</f>
        <v>315.60000000000002</v>
      </c>
      <c r="F55" s="427"/>
      <c r="G55" s="1219">
        <f>ROUND(SUM(G49:G54),1)</f>
        <v>299.3</v>
      </c>
      <c r="H55" s="427"/>
      <c r="I55" s="1219">
        <f>ROUND(SUM(I49:I54),1)</f>
        <v>248.6</v>
      </c>
      <c r="J55" s="427"/>
      <c r="K55" s="1219">
        <f>ROUND(SUM(K49:K54),1)</f>
        <v>289.3</v>
      </c>
      <c r="L55" s="427"/>
      <c r="M55" s="2816">
        <f>ROUND(SUM(M49:M54),1)</f>
        <v>411.6</v>
      </c>
      <c r="N55" s="427"/>
      <c r="O55" s="1219">
        <f>ROUND(SUM(O49:O54),1)</f>
        <v>265.10000000000002</v>
      </c>
      <c r="P55" s="427"/>
      <c r="Q55" s="1219">
        <f>ROUND(SUM(Q49:Q54),1)</f>
        <v>248</v>
      </c>
      <c r="R55" s="427"/>
      <c r="S55" s="1219">
        <f>ROUND(SUM(S49:S54),1)</f>
        <v>338.7</v>
      </c>
      <c r="T55" s="427"/>
      <c r="U55" s="1219">
        <f>ROUND(SUM(U49:U54),1)</f>
        <v>460.9</v>
      </c>
      <c r="V55" s="427"/>
      <c r="W55" s="1219">
        <f>ROUND(SUM(W49:W54),1)</f>
        <v>0</v>
      </c>
      <c r="X55" s="427"/>
      <c r="Y55" s="1219">
        <f>ROUND(SUM(Y49:Y54),1)</f>
        <v>0</v>
      </c>
      <c r="Z55" s="427"/>
      <c r="AA55" s="1762"/>
      <c r="AB55" s="1219">
        <f>ROUND(SUM(AB49:AB54),1)</f>
        <v>3183</v>
      </c>
      <c r="AC55" s="427"/>
      <c r="AD55" s="970"/>
      <c r="AE55" s="480">
        <f>ROUND(SUM(AE49:AE54),1)</f>
        <v>2934.9</v>
      </c>
      <c r="AF55" s="1942"/>
      <c r="AG55" s="1942"/>
      <c r="AH55" s="480">
        <f>ROUND(SUM(AH49:AH54),1)</f>
        <v>248.1</v>
      </c>
      <c r="AI55" s="1921"/>
      <c r="AJ55" s="1933">
        <f t="shared" si="9"/>
        <v>8.5000000000000006E-2</v>
      </c>
    </row>
    <row r="56" spans="1:36" ht="15.6">
      <c r="A56" s="427"/>
      <c r="B56" s="427"/>
      <c r="C56" s="983"/>
      <c r="D56" s="971"/>
      <c r="E56" s="983"/>
      <c r="F56" s="983"/>
      <c r="G56" s="983"/>
      <c r="H56" s="983"/>
      <c r="I56" s="983"/>
      <c r="J56" s="983"/>
      <c r="K56" s="983"/>
      <c r="L56" s="983"/>
      <c r="M56" s="983"/>
      <c r="N56" s="983"/>
      <c r="O56" s="983"/>
      <c r="P56" s="983"/>
      <c r="Q56" s="983"/>
      <c r="R56" s="983"/>
      <c r="S56" s="983"/>
      <c r="T56" s="983"/>
      <c r="U56" s="983"/>
      <c r="V56" s="983"/>
      <c r="W56" s="983"/>
      <c r="X56" s="983"/>
      <c r="Y56" s="983"/>
      <c r="Z56" s="971"/>
      <c r="AA56" s="1763"/>
      <c r="AB56" s="1940"/>
      <c r="AC56" s="971"/>
      <c r="AD56" s="973"/>
      <c r="AE56" s="983"/>
      <c r="AF56" s="983"/>
      <c r="AG56" s="983"/>
      <c r="AH56" s="983"/>
      <c r="AI56" s="427"/>
      <c r="AJ56" s="1905"/>
    </row>
    <row r="57" spans="1:36" ht="15.6">
      <c r="A57" s="583" t="s">
        <v>1178</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4240.6000000000004</v>
      </c>
      <c r="P57" s="260"/>
      <c r="Q57" s="610">
        <f>ROUND(SUM(Q55+Q47+Q40+Q30),1)</f>
        <v>4052.6</v>
      </c>
      <c r="R57" s="260"/>
      <c r="S57" s="610">
        <f>ROUND(SUM(S30+S40+S47+S55),1)</f>
        <v>10140.700000000001</v>
      </c>
      <c r="T57" s="260"/>
      <c r="U57" s="610">
        <f>ROUND(SUM(U30+U40+U47+U55),1)</f>
        <v>13004.9</v>
      </c>
      <c r="V57" s="260"/>
      <c r="W57" s="610">
        <f>ROUND(SUM(W30+W40+W47+W55),1)</f>
        <v>0</v>
      </c>
      <c r="X57" s="365"/>
      <c r="Y57" s="610">
        <f>ROUND(SUM(Y30+Y40+Y47+Y55),1)</f>
        <v>0</v>
      </c>
      <c r="Z57" s="365"/>
      <c r="AA57" s="237"/>
      <c r="AB57" s="990">
        <f>ROUND(SUM(C57:Y57),1)</f>
        <v>66893.5</v>
      </c>
      <c r="AC57" s="260"/>
      <c r="AD57" s="249"/>
      <c r="AE57" s="610">
        <f>ROUND(SUM(+AE30+AE40+AE47+AE55),1)</f>
        <v>61485.4</v>
      </c>
      <c r="AF57" s="248"/>
      <c r="AG57" s="1222"/>
      <c r="AH57" s="610">
        <f>ROUND(+AB57-AE57,1)</f>
        <v>5408.1</v>
      </c>
      <c r="AI57" s="1740"/>
      <c r="AJ57" s="521">
        <f>ROUND(SUM(+AH57/ABS(AE57)),3)</f>
        <v>8.7999999999999995E-2</v>
      </c>
    </row>
    <row r="58" spans="1:36" ht="15">
      <c r="A58" s="427"/>
      <c r="B58" s="427"/>
      <c r="C58" s="971"/>
      <c r="D58" s="971"/>
      <c r="E58" s="971"/>
      <c r="F58" s="971"/>
      <c r="G58" s="971"/>
      <c r="H58" s="971"/>
      <c r="I58" s="971"/>
      <c r="J58" s="971"/>
      <c r="K58" s="971"/>
      <c r="L58" s="971"/>
      <c r="M58" s="971"/>
      <c r="N58" s="971"/>
      <c r="O58" s="971"/>
      <c r="P58" s="971"/>
      <c r="Q58" s="971"/>
      <c r="R58" s="971"/>
      <c r="S58" s="971"/>
      <c r="T58" s="971"/>
      <c r="U58" s="971"/>
      <c r="V58" s="971"/>
      <c r="X58" s="971"/>
      <c r="Y58" s="971"/>
      <c r="Z58" s="971"/>
      <c r="AA58" s="1763"/>
      <c r="AB58" s="971"/>
      <c r="AC58" s="971"/>
      <c r="AD58" s="973"/>
      <c r="AE58" s="971"/>
      <c r="AF58" s="983"/>
      <c r="AG58" s="983"/>
      <c r="AH58" s="971"/>
      <c r="AI58" s="427"/>
      <c r="AJ58" s="1764"/>
    </row>
    <row r="59" spans="1:36" ht="15.6">
      <c r="A59" s="486" t="s">
        <v>1128</v>
      </c>
      <c r="B59" s="42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83"/>
      <c r="AG59" s="983"/>
      <c r="AH59" s="971"/>
      <c r="AI59" s="427"/>
      <c r="AJ59" s="1700"/>
    </row>
    <row r="60" spans="1:36" ht="15">
      <c r="A60" s="1669" t="s">
        <v>1237</v>
      </c>
      <c r="B60" s="42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83"/>
      <c r="AG60" s="983"/>
      <c r="AH60" s="971"/>
      <c r="AI60" s="427"/>
      <c r="AJ60" s="1700"/>
    </row>
    <row r="61" spans="1:36" ht="15">
      <c r="A61" s="1669" t="s">
        <v>1428</v>
      </c>
      <c r="B61" s="427"/>
      <c r="C61" s="971">
        <f>+'Exhibit F'!D58+'Exhibit G State'!D44</f>
        <v>0.7</v>
      </c>
      <c r="D61" s="971"/>
      <c r="E61" s="971">
        <f>+'Exhibit F'!F58+'Exhibit G State'!F44</f>
        <v>0.9</v>
      </c>
      <c r="F61" s="971"/>
      <c r="G61" s="971">
        <f>+'Exhibit F'!H58+'Exhibit G State'!H44</f>
        <v>1.2000000000000002</v>
      </c>
      <c r="H61" s="971"/>
      <c r="I61" s="971">
        <f>+'Exhibit F'!J58+'Exhibit G State'!J44</f>
        <v>1.1000000000000001</v>
      </c>
      <c r="J61" s="971"/>
      <c r="K61" s="971">
        <f>+'Exhibit F'!L58+'Exhibit G State'!L44</f>
        <v>1.7000000000000002</v>
      </c>
      <c r="L61" s="971"/>
      <c r="M61" s="971">
        <f>+'Exhibit F'!N58+'Exhibit G State'!N44</f>
        <v>65.3</v>
      </c>
      <c r="N61" s="971"/>
      <c r="O61" s="971">
        <f>+'Exhibit F'!P58+'Exhibit G State'!P44</f>
        <v>6.3000000000000007</v>
      </c>
      <c r="P61" s="971"/>
      <c r="Q61" s="971">
        <f>+'Exhibit F'!R58+'Exhibit G State'!R44</f>
        <v>171.5</v>
      </c>
      <c r="R61" s="971"/>
      <c r="S61" s="971">
        <f>+'Exhibit F'!T58+'Exhibit G State'!T44</f>
        <v>22.099999999999984</v>
      </c>
      <c r="T61" s="971"/>
      <c r="U61" s="971">
        <f>+'Exhibit F'!V58+'Exhibit G State'!V44</f>
        <v>25.3</v>
      </c>
      <c r="V61" s="971"/>
      <c r="W61" s="971"/>
      <c r="X61" s="971"/>
      <c r="Y61" s="971"/>
      <c r="Z61" s="971"/>
      <c r="AA61" s="972"/>
      <c r="AB61" s="971">
        <f>ROUND(SUM(C61:Y61),1)</f>
        <v>296.10000000000002</v>
      </c>
      <c r="AC61" s="971"/>
      <c r="AD61" s="973"/>
      <c r="AE61" s="971">
        <f>+'Exhibit F'!AF58+'Exhibit G State'!AF44</f>
        <v>284.2</v>
      </c>
      <c r="AF61" s="983"/>
      <c r="AG61" s="983"/>
      <c r="AH61" s="971">
        <f t="shared" ref="AH61:AH100" si="10">ROUND(SUM(AB61-AE61),1)</f>
        <v>11.9</v>
      </c>
      <c r="AI61" s="427"/>
      <c r="AJ61" s="1764">
        <f>ROUND(SUM(AH61/ABS(AE61)),3)</f>
        <v>4.2000000000000003E-2</v>
      </c>
    </row>
    <row r="62" spans="1:36" ht="15">
      <c r="A62" s="1669" t="s">
        <v>1429</v>
      </c>
      <c r="B62" s="427"/>
      <c r="C62" s="971">
        <f>+'Exhibit F'!D59</f>
        <v>0.3</v>
      </c>
      <c r="D62" s="971"/>
      <c r="E62" s="971">
        <f>+'Exhibit F'!F59</f>
        <v>0.5</v>
      </c>
      <c r="F62" s="971"/>
      <c r="G62" s="971">
        <f>+'Exhibit F'!H59</f>
        <v>9.6999999999999993</v>
      </c>
      <c r="H62" s="971"/>
      <c r="I62" s="971">
        <f>+'Exhibit F'!J59</f>
        <v>0.6</v>
      </c>
      <c r="J62" s="971"/>
      <c r="K62" s="971">
        <f>+'Exhibit F'!L59</f>
        <v>0.2</v>
      </c>
      <c r="L62" s="971"/>
      <c r="M62" s="971">
        <f>+'Exhibit F'!N59</f>
        <v>36.200000000000003</v>
      </c>
      <c r="N62" s="971"/>
      <c r="O62" s="971">
        <f>+'Exhibit F'!P59</f>
        <v>1.2</v>
      </c>
      <c r="P62" s="971"/>
      <c r="Q62" s="971">
        <f>+'Exhibit F'!R59</f>
        <v>0.2</v>
      </c>
      <c r="R62" s="971"/>
      <c r="S62" s="971">
        <f>+'Exhibit F'!T59</f>
        <v>20.100000000000001</v>
      </c>
      <c r="T62" s="971"/>
      <c r="U62" s="971">
        <f>+'Exhibit F'!V59</f>
        <v>0.7</v>
      </c>
      <c r="V62" s="971"/>
      <c r="W62" s="971"/>
      <c r="X62" s="971"/>
      <c r="Y62" s="971"/>
      <c r="Z62" s="971"/>
      <c r="AA62" s="972"/>
      <c r="AB62" s="971">
        <f>ROUND(SUM(C62:Y62),1)</f>
        <v>69.7</v>
      </c>
      <c r="AC62" s="971"/>
      <c r="AD62" s="973"/>
      <c r="AE62" s="971">
        <f>+'Exhibit F'!AF59</f>
        <v>66</v>
      </c>
      <c r="AF62" s="983"/>
      <c r="AG62" s="983"/>
      <c r="AH62" s="971">
        <f t="shared" si="10"/>
        <v>3.7</v>
      </c>
      <c r="AI62" s="427"/>
      <c r="AJ62" s="1764">
        <f>ROUND(SUM(AH62/ABS(AE62)),3)</f>
        <v>5.6000000000000001E-2</v>
      </c>
    </row>
    <row r="63" spans="1:36" ht="15">
      <c r="A63" s="1669" t="s">
        <v>1238</v>
      </c>
      <c r="B63" s="427"/>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83"/>
      <c r="AG63" s="983"/>
      <c r="AH63" s="971" t="s">
        <v>15</v>
      </c>
      <c r="AI63" s="427" t="s">
        <v>15</v>
      </c>
      <c r="AJ63" s="1700" t="s">
        <v>15</v>
      </c>
    </row>
    <row r="64" spans="1:36" ht="15">
      <c r="A64" s="1669" t="s">
        <v>1424</v>
      </c>
      <c r="B64" s="427"/>
      <c r="C64" s="971">
        <f>+'Exhibit F'!D61+'Exhibit G State'!D46</f>
        <v>14.4</v>
      </c>
      <c r="D64" s="971"/>
      <c r="E64" s="971">
        <f>+'Exhibit F'!F61+'Exhibit G State'!F46</f>
        <v>28.7</v>
      </c>
      <c r="F64" s="971"/>
      <c r="G64" s="971">
        <f>+'Exhibit F'!H61+'Exhibit G State'!H46</f>
        <v>84.4</v>
      </c>
      <c r="H64" s="971"/>
      <c r="I64" s="971">
        <f>+'Exhibit F'!J61+'Exhibit G State'!J46</f>
        <v>11.1</v>
      </c>
      <c r="J64" s="971"/>
      <c r="K64" s="971">
        <f>+'Exhibit F'!L61+'Exhibit G State'!L46</f>
        <v>52.4</v>
      </c>
      <c r="L64" s="971"/>
      <c r="M64" s="971">
        <f>+'Exhibit F'!N61+'Exhibit G State'!N46</f>
        <v>108.5</v>
      </c>
      <c r="N64" s="971"/>
      <c r="O64" s="971">
        <f>+'Exhibit F'!P61+'Exhibit G State'!P46</f>
        <v>6.5</v>
      </c>
      <c r="P64" s="971"/>
      <c r="Q64" s="971">
        <f>+'Exhibit F'!R61+'Exhibit G State'!R46</f>
        <v>6.9</v>
      </c>
      <c r="R64" s="971"/>
      <c r="S64" s="971">
        <f>+'Exhibit F'!T61+'Exhibit G State'!T46</f>
        <v>184.9</v>
      </c>
      <c r="T64" s="971"/>
      <c r="U64" s="971">
        <f>+'Exhibit F'!V61+'Exhibit G State'!V46</f>
        <v>46.5</v>
      </c>
      <c r="V64" s="971"/>
      <c r="W64" s="971"/>
      <c r="X64" s="971"/>
      <c r="Y64" s="971"/>
      <c r="Z64" s="971"/>
      <c r="AA64" s="972"/>
      <c r="AB64" s="971">
        <f>ROUND(SUM(C64:Y64),1)</f>
        <v>544.29999999999995</v>
      </c>
      <c r="AC64" s="971"/>
      <c r="AD64" s="973"/>
      <c r="AE64" s="971">
        <f>+'Exhibit F'!AF61+'Exhibit G State'!AF46</f>
        <v>724.6</v>
      </c>
      <c r="AF64" s="983"/>
      <c r="AG64" s="983"/>
      <c r="AH64" s="971">
        <f t="shared" si="10"/>
        <v>-180.3</v>
      </c>
      <c r="AI64" s="427"/>
      <c r="AJ64" s="1764">
        <f>ROUND(SUM(AH64/ABS(AE64)),3)</f>
        <v>-0.249</v>
      </c>
    </row>
    <row r="65" spans="1:36" ht="15">
      <c r="A65" s="1669" t="s">
        <v>1425</v>
      </c>
      <c r="B65" s="427"/>
      <c r="C65" s="971">
        <f>+'Exhibit F'!D62+'Exhibit G State'!D47</f>
        <v>462.2</v>
      </c>
      <c r="D65" s="971"/>
      <c r="E65" s="971">
        <f>+'Exhibit F'!F62+'Exhibit G State'!F47</f>
        <v>460.4</v>
      </c>
      <c r="F65" s="971"/>
      <c r="G65" s="971">
        <f>+'Exhibit F'!H62+'Exhibit G State'!H47</f>
        <v>457.40000000000003</v>
      </c>
      <c r="H65" s="971"/>
      <c r="I65" s="971">
        <f>+'Exhibit F'!J62+'Exhibit G State'!J47</f>
        <v>541.80000000000007</v>
      </c>
      <c r="J65" s="971"/>
      <c r="K65" s="971">
        <f>+'Exhibit F'!L62+'Exhibit G State'!L47</f>
        <v>503.90000000000003</v>
      </c>
      <c r="L65" s="971"/>
      <c r="M65" s="971">
        <f>+'Exhibit F'!N62+'Exhibit G State'!N47</f>
        <v>475.5</v>
      </c>
      <c r="N65" s="971"/>
      <c r="O65" s="971">
        <f>+'Exhibit F'!P62+'Exhibit G State'!P47</f>
        <v>509.5</v>
      </c>
      <c r="P65" s="971"/>
      <c r="Q65" s="971">
        <f>+'Exhibit F'!R62+'Exhibit G State'!R47</f>
        <v>471.2</v>
      </c>
      <c r="R65" s="971"/>
      <c r="S65" s="971">
        <f>+'Exhibit F'!T62+'Exhibit G State'!T47</f>
        <v>533.70000000000005</v>
      </c>
      <c r="T65" s="971"/>
      <c r="U65" s="971">
        <f>+'Exhibit F'!V62+'Exhibit G State'!V47</f>
        <v>491.3</v>
      </c>
      <c r="V65" s="971"/>
      <c r="W65" s="971"/>
      <c r="X65" s="971"/>
      <c r="Y65" s="971"/>
      <c r="Z65" s="971"/>
      <c r="AA65" s="972"/>
      <c r="AB65" s="971">
        <f>ROUND(SUM(C65:Y65),1)</f>
        <v>4906.8999999999996</v>
      </c>
      <c r="AC65" s="971"/>
      <c r="AD65" s="973"/>
      <c r="AE65" s="971">
        <f>+'Exhibit F'!AF62+'Exhibit G State'!AF47+'Exhibit H'!AD29</f>
        <v>4636.2</v>
      </c>
      <c r="AF65" s="983"/>
      <c r="AG65" s="983"/>
      <c r="AH65" s="971">
        <f t="shared" si="10"/>
        <v>270.7</v>
      </c>
      <c r="AI65" s="427"/>
      <c r="AJ65" s="1764">
        <f>ROUND(SUM(AH65/ABS(AE65)),3)</f>
        <v>5.8000000000000003E-2</v>
      </c>
    </row>
    <row r="66" spans="1:36" ht="15">
      <c r="A66" s="1669" t="s">
        <v>1426</v>
      </c>
      <c r="B66" s="427"/>
      <c r="C66" s="971">
        <f>+'Exhibit F'!D63+'Exhibit G State'!D48</f>
        <v>1.4</v>
      </c>
      <c r="D66" s="971"/>
      <c r="E66" s="971">
        <f>+'Exhibit F'!F63+'Exhibit G State'!F48</f>
        <v>0</v>
      </c>
      <c r="F66" s="971"/>
      <c r="G66" s="971">
        <f>+'Exhibit F'!H63+'Exhibit G State'!H48</f>
        <v>0.7</v>
      </c>
      <c r="H66" s="971"/>
      <c r="I66" s="971">
        <f>+'Exhibit F'!J63+'Exhibit G State'!J48</f>
        <v>0.1</v>
      </c>
      <c r="J66" s="971"/>
      <c r="K66" s="971">
        <f>+'Exhibit F'!L63+'Exhibit G State'!L48</f>
        <v>0.4</v>
      </c>
      <c r="L66" s="971"/>
      <c r="M66" s="971">
        <f>+'Exhibit F'!N63+'Exhibit G State'!N48</f>
        <v>45.9</v>
      </c>
      <c r="N66" s="971"/>
      <c r="O66" s="971">
        <f>+'Exhibit F'!P63+'Exhibit G State'!P48</f>
        <v>-9.6</v>
      </c>
      <c r="P66" s="971"/>
      <c r="Q66" s="971">
        <f>+'Exhibit F'!R63+'Exhibit G State'!R48</f>
        <v>0.3</v>
      </c>
      <c r="R66" s="971"/>
      <c r="S66" s="971">
        <f>+'Exhibit F'!T63+'Exhibit G State'!T48</f>
        <v>0.6</v>
      </c>
      <c r="T66" s="971"/>
      <c r="U66" s="971">
        <f>+'Exhibit F'!V63+'Exhibit G State'!V48</f>
        <v>0</v>
      </c>
      <c r="V66" s="971"/>
      <c r="W66" s="971"/>
      <c r="X66" s="971"/>
      <c r="Y66" s="971"/>
      <c r="Z66" s="971"/>
      <c r="AA66" s="972"/>
      <c r="AB66" s="971">
        <f>ROUND(SUM(C66:Y66),1)</f>
        <v>39.799999999999997</v>
      </c>
      <c r="AC66" s="971"/>
      <c r="AD66" s="973"/>
      <c r="AE66" s="971">
        <f>+'Exhibit F'!AF63+'Exhibit G State'!AF48</f>
        <v>92.7</v>
      </c>
      <c r="AF66" s="983"/>
      <c r="AG66" s="983"/>
      <c r="AH66" s="971">
        <f t="shared" si="10"/>
        <v>-52.9</v>
      </c>
      <c r="AI66" s="427"/>
      <c r="AJ66" s="1700">
        <f>ROUND(IF(AE66=0,0,AH66/ABS(AE66)),3)</f>
        <v>-0.57099999999999995</v>
      </c>
    </row>
    <row r="67" spans="1:36" ht="15">
      <c r="A67" s="1669" t="s">
        <v>1427</v>
      </c>
      <c r="B67" s="427"/>
      <c r="C67" s="971">
        <f>+'Exhibit F'!D64+'Exhibit G State'!D49</f>
        <v>0.9</v>
      </c>
      <c r="D67" s="971"/>
      <c r="E67" s="971">
        <f>+'Exhibit F'!F64+'Exhibit G State'!F49</f>
        <v>-0.1</v>
      </c>
      <c r="F67" s="971"/>
      <c r="G67" s="971">
        <f>+'Exhibit F'!H64+'Exhibit G State'!H49</f>
        <v>1.3</v>
      </c>
      <c r="H67" s="971"/>
      <c r="I67" s="971">
        <f>+'Exhibit F'!J64+'Exhibit G State'!J49</f>
        <v>5.7</v>
      </c>
      <c r="J67" s="971"/>
      <c r="K67" s="971">
        <f>+'Exhibit F'!L64+'Exhibit G State'!L49</f>
        <v>0</v>
      </c>
      <c r="L67" s="971"/>
      <c r="M67" s="971">
        <f>+'Exhibit F'!N64+'Exhibit G State'!N49</f>
        <v>0.30000000000000004</v>
      </c>
      <c r="N67" s="971"/>
      <c r="O67" s="971">
        <f>+'Exhibit F'!P64+'Exhibit G State'!P49</f>
        <v>-5.5</v>
      </c>
      <c r="P67" s="971"/>
      <c r="Q67" s="971">
        <f>+'Exhibit F'!R64+'Exhibit G State'!R49</f>
        <v>0.1</v>
      </c>
      <c r="R67" s="971"/>
      <c r="S67" s="971">
        <f>+'Exhibit F'!T64+'Exhibit G State'!T49</f>
        <v>-0.7</v>
      </c>
      <c r="T67" s="971"/>
      <c r="U67" s="971">
        <f>+'Exhibit F'!V64+'Exhibit G State'!V49</f>
        <v>-7.1</v>
      </c>
      <c r="V67" s="971"/>
      <c r="W67" s="971"/>
      <c r="X67" s="971"/>
      <c r="Y67" s="971"/>
      <c r="Z67" s="971"/>
      <c r="AA67" s="972"/>
      <c r="AB67" s="971">
        <f>ROUND(SUM(C67:Y67),1)</f>
        <v>-5.0999999999999996</v>
      </c>
      <c r="AC67" s="971"/>
      <c r="AD67" s="973"/>
      <c r="AE67" s="971">
        <f>+'Exhibit F'!AF64+'Exhibit G State'!AF49</f>
        <v>174.4</v>
      </c>
      <c r="AF67" s="983"/>
      <c r="AG67" s="983"/>
      <c r="AH67" s="971">
        <f t="shared" si="10"/>
        <v>-179.5</v>
      </c>
      <c r="AI67" s="427"/>
      <c r="AJ67" s="1764">
        <f>ROUND(SUM(AH67/ABS(AE67)),3)</f>
        <v>-1.0289999999999999</v>
      </c>
    </row>
    <row r="68" spans="1:36" ht="15">
      <c r="A68" s="1669" t="s">
        <v>1242</v>
      </c>
      <c r="B68" s="427"/>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83"/>
      <c r="AG68" s="983"/>
      <c r="AH68" s="971"/>
      <c r="AI68" s="427"/>
      <c r="AJ68" s="1700"/>
    </row>
    <row r="69" spans="1:36" ht="15">
      <c r="A69" s="1669" t="s">
        <v>1417</v>
      </c>
      <c r="B69" s="427"/>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f>+'Exhibit F'!V66+'Exhibit H'!T31</f>
        <v>5.6</v>
      </c>
      <c r="V69" s="971"/>
      <c r="W69" s="971"/>
      <c r="X69" s="971"/>
      <c r="Y69" s="971"/>
      <c r="Z69" s="971"/>
      <c r="AA69" s="972"/>
      <c r="AB69" s="971">
        <f t="shared" ref="AB69:AB76" si="11">ROUND(SUM(C69:Y69),1)</f>
        <v>56.6</v>
      </c>
      <c r="AC69" s="971"/>
      <c r="AD69" s="973"/>
      <c r="AE69" s="971">
        <f>+'Exhibit F'!AF66+'Exhibit H'!AD31</f>
        <v>50.2</v>
      </c>
      <c r="AF69" s="983"/>
      <c r="AG69" s="983"/>
      <c r="AH69" s="971">
        <f t="shared" si="10"/>
        <v>6.4</v>
      </c>
      <c r="AI69" s="427"/>
      <c r="AJ69" s="1764">
        <f>ROUND(SUM(AH69/ABS(AE69)),3)</f>
        <v>0.127</v>
      </c>
    </row>
    <row r="70" spans="1:36" ht="15">
      <c r="A70" s="1669" t="s">
        <v>1418</v>
      </c>
      <c r="B70" s="2802"/>
      <c r="C70" s="971">
        <f>'Exhibit G State'!D51</f>
        <v>0</v>
      </c>
      <c r="D70" s="971" t="s">
        <v>15</v>
      </c>
      <c r="E70" s="971">
        <f>'Exhibit G State'!F51+'Exhibit F'!F67</f>
        <v>0.8</v>
      </c>
      <c r="F70" s="971"/>
      <c r="G70" s="971">
        <f>'Exhibit G State'!H51+'Exhibit F'!H67</f>
        <v>1.1000000000000001</v>
      </c>
      <c r="H70" s="971"/>
      <c r="I70" s="971">
        <f>'Exhibit G State'!J51+'Exhibit F'!J67</f>
        <v>0</v>
      </c>
      <c r="J70" s="971"/>
      <c r="K70" s="971">
        <f>'Exhibit G State'!L51+'Exhibit F'!L67</f>
        <v>0.1</v>
      </c>
      <c r="L70" s="971"/>
      <c r="M70" s="971">
        <f>'Exhibit G State'!N51+'Exhibit F'!N67</f>
        <v>0</v>
      </c>
      <c r="N70" s="971"/>
      <c r="O70" s="971">
        <f>'Exhibit G State'!P51+'Exhibit F'!P67</f>
        <v>0</v>
      </c>
      <c r="P70" s="971"/>
      <c r="Q70" s="971">
        <f>'Exhibit G State'!R51+'Exhibit F'!R67</f>
        <v>0</v>
      </c>
      <c r="R70" s="971"/>
      <c r="S70" s="971">
        <f>'Exhibit G State'!T51+'Exhibit F'!T67</f>
        <v>0</v>
      </c>
      <c r="T70" s="971"/>
      <c r="U70" s="971">
        <f>'Exhibit G State'!V51+'Exhibit F'!V67</f>
        <v>0</v>
      </c>
      <c r="V70" s="971"/>
      <c r="W70" s="971"/>
      <c r="X70" s="971"/>
      <c r="Y70" s="971"/>
      <c r="Z70" s="971"/>
      <c r="AA70" s="1763"/>
      <c r="AB70" s="971">
        <f t="shared" si="11"/>
        <v>2</v>
      </c>
      <c r="AC70" s="971"/>
      <c r="AD70" s="973"/>
      <c r="AE70" s="971">
        <f>'Exhibit G State'!AF51</f>
        <v>2.2000000000000002</v>
      </c>
      <c r="AF70" s="983"/>
      <c r="AG70" s="983"/>
      <c r="AH70" s="971">
        <f t="shared" si="10"/>
        <v>-0.2</v>
      </c>
      <c r="AI70" s="2802"/>
      <c r="AJ70" s="2582">
        <f>ROUND(IF(AE70=0,0,AH70/ABS(AE70)),3)</f>
        <v>-9.0999999999999998E-2</v>
      </c>
    </row>
    <row r="71" spans="1:36" ht="15">
      <c r="A71" s="1669" t="s">
        <v>1419</v>
      </c>
      <c r="B71" s="427"/>
      <c r="C71" s="971">
        <f>+'Exhibit F'!D68+'Exhibit G State'!D52+'Exhibit H'!B32</f>
        <v>47.8</v>
      </c>
      <c r="D71" s="971"/>
      <c r="E71" s="971">
        <f>+'Exhibit F'!F68+'Exhibit G State'!F52+'Exhibit H'!D32</f>
        <v>48.4</v>
      </c>
      <c r="F71" s="971"/>
      <c r="G71" s="971">
        <f>+'Exhibit F'!H68+'Exhibit G State'!H52+'Exhibit H'!F32</f>
        <v>105.69999999999999</v>
      </c>
      <c r="H71" s="971"/>
      <c r="I71" s="971">
        <f>+'Exhibit F'!J68+'Exhibit G State'!J52+'Exhibit H'!H32</f>
        <v>49.900000000000006</v>
      </c>
      <c r="J71" s="971"/>
      <c r="K71" s="971">
        <f>+'Exhibit F'!L68+'Exhibit G State'!L52+'Exhibit H'!J32</f>
        <v>48.800000000000004</v>
      </c>
      <c r="L71" s="971"/>
      <c r="M71" s="971">
        <f>+'Exhibit F'!N68+'Exhibit G State'!N52+'Exhibit H'!L32</f>
        <v>103.89999999999999</v>
      </c>
      <c r="N71" s="971"/>
      <c r="O71" s="971">
        <f>+'Exhibit F'!P68+'Exhibit G State'!P52+'Exhibit H'!N32</f>
        <v>71.400000000000006</v>
      </c>
      <c r="P71" s="971"/>
      <c r="Q71" s="971">
        <f>+'Exhibit F'!R68+'Exhibit G State'!R52+'Exhibit H'!P32</f>
        <v>61.5</v>
      </c>
      <c r="R71" s="971"/>
      <c r="S71" s="971">
        <f>+'Exhibit F'!T68+'Exhibit G State'!T52+'Exhibit H'!R32</f>
        <v>102.1</v>
      </c>
      <c r="T71" s="971"/>
      <c r="U71" s="971">
        <f>+'Exhibit F'!V68+'Exhibit G State'!V52+'Exhibit H'!T32</f>
        <v>69.2</v>
      </c>
      <c r="V71" s="971"/>
      <c r="W71" s="971"/>
      <c r="X71" s="971"/>
      <c r="Y71" s="971"/>
      <c r="Z71" s="971"/>
      <c r="AA71" s="972"/>
      <c r="AB71" s="971">
        <f t="shared" si="11"/>
        <v>708.7</v>
      </c>
      <c r="AC71" s="971"/>
      <c r="AD71" s="973"/>
      <c r="AE71" s="971">
        <f>+'Exhibit F'!AF68+'Exhibit G State'!AF52+'Exhibit H'!AD32</f>
        <v>734.1</v>
      </c>
      <c r="AF71" s="983"/>
      <c r="AG71" s="983"/>
      <c r="AH71" s="971">
        <f t="shared" si="10"/>
        <v>-25.4</v>
      </c>
      <c r="AI71" s="427"/>
      <c r="AJ71" s="1764">
        <f>ROUND(SUM(AH71/AE71),3)</f>
        <v>-3.5000000000000003E-2</v>
      </c>
    </row>
    <row r="72" spans="1:36" ht="15">
      <c r="A72" s="1669" t="s">
        <v>1420</v>
      </c>
      <c r="B72" s="427"/>
      <c r="C72" s="971">
        <f>+'Exhibit F'!D69+'Exhibit G State'!D53+'Exhibit H'!B33</f>
        <v>22.299999999999997</v>
      </c>
      <c r="D72" s="971"/>
      <c r="E72" s="971">
        <f>+'Exhibit F'!F69+'Exhibit G State'!F53+'Exhibit H'!D33</f>
        <v>17.5</v>
      </c>
      <c r="F72" s="971"/>
      <c r="G72" s="971">
        <f>+'Exhibit F'!H69+'Exhibit G State'!H53+'Exhibit H'!F33</f>
        <v>16.7</v>
      </c>
      <c r="H72" s="971"/>
      <c r="I72" s="971">
        <f>+'Exhibit F'!J69+'Exhibit G State'!J53+'Exhibit H'!H33</f>
        <v>43</v>
      </c>
      <c r="J72" s="971"/>
      <c r="K72" s="971">
        <f>+'Exhibit F'!L69+'Exhibit G State'!L53+'Exhibit H'!J33</f>
        <v>12.599999999999994</v>
      </c>
      <c r="L72" s="971"/>
      <c r="M72" s="971">
        <f>+'Exhibit F'!N69+'Exhibit G State'!N53+'Exhibit H'!L33</f>
        <v>26.7</v>
      </c>
      <c r="N72" s="971"/>
      <c r="O72" s="971">
        <f>+'Exhibit F'!P69+'Exhibit G State'!P53+'Exhibit H'!N33</f>
        <v>33.499999999999993</v>
      </c>
      <c r="P72" s="971"/>
      <c r="Q72" s="971">
        <f>+'Exhibit F'!R69+'Exhibit G State'!R53+'Exhibit H'!P33</f>
        <v>22</v>
      </c>
      <c r="R72" s="971"/>
      <c r="S72" s="971">
        <f>+'Exhibit F'!T69+'Exhibit G State'!T53+'Exhibit H'!R33</f>
        <v>20.7</v>
      </c>
      <c r="T72" s="971"/>
      <c r="U72" s="971">
        <f>+'Exhibit F'!V69+'Exhibit G State'!V53+'Exhibit H'!T33</f>
        <v>17.399999999999999</v>
      </c>
      <c r="V72" s="971"/>
      <c r="W72" s="971"/>
      <c r="X72" s="971"/>
      <c r="Y72" s="971"/>
      <c r="Z72" s="971"/>
      <c r="AA72" s="972"/>
      <c r="AB72" s="971">
        <f t="shared" si="11"/>
        <v>232.4</v>
      </c>
      <c r="AC72" s="971"/>
      <c r="AD72" s="973"/>
      <c r="AE72" s="971">
        <f>+'Exhibit F'!AF69+'Exhibit G State'!AF53+'Exhibit H'!AD33</f>
        <v>228</v>
      </c>
      <c r="AF72" s="983"/>
      <c r="AG72" s="983"/>
      <c r="AH72" s="971">
        <f t="shared" si="10"/>
        <v>4.4000000000000004</v>
      </c>
      <c r="AI72" s="427"/>
      <c r="AJ72" s="1764">
        <f>ROUND(SUM(AH72/ABS(AE72)),3)</f>
        <v>1.9E-2</v>
      </c>
    </row>
    <row r="73" spans="1:36" ht="15">
      <c r="A73" s="1669" t="s">
        <v>1421</v>
      </c>
      <c r="B73" s="427"/>
      <c r="C73" s="971">
        <f>+'Exhibit F'!D70+'Exhibit G State'!D54+'Exhibit H'!B34</f>
        <v>0.2</v>
      </c>
      <c r="D73" s="971"/>
      <c r="E73" s="971">
        <f>+'Exhibit F'!F70+'Exhibit G State'!F54+'Exhibit H'!D34</f>
        <v>1.6</v>
      </c>
      <c r="F73" s="971"/>
      <c r="G73" s="971">
        <f>+'Exhibit F'!H70+'Exhibit G State'!H54+'Exhibit H'!F34</f>
        <v>0.5</v>
      </c>
      <c r="H73" s="971"/>
      <c r="I73" s="971">
        <f>+'Exhibit F'!J70+'Exhibit G State'!J54+'Exhibit H'!H34</f>
        <v>0.2</v>
      </c>
      <c r="J73" s="971"/>
      <c r="K73" s="971">
        <f>+'Exhibit F'!L70+'Exhibit G State'!L54+'Exhibit H'!J34</f>
        <v>0.7</v>
      </c>
      <c r="L73" s="971"/>
      <c r="M73" s="971">
        <f>+'Exhibit F'!N70+'Exhibit G State'!N54+'Exhibit H'!L34</f>
        <v>1.8</v>
      </c>
      <c r="N73" s="971"/>
      <c r="O73" s="971">
        <f>+'Exhibit F'!P70+'Exhibit G State'!P54+'Exhibit H'!N34</f>
        <v>1</v>
      </c>
      <c r="P73" s="971"/>
      <c r="Q73" s="971">
        <f>+'Exhibit F'!R70+'Exhibit G State'!R54+'Exhibit H'!P34</f>
        <v>0.4</v>
      </c>
      <c r="R73" s="971"/>
      <c r="S73" s="971">
        <f>+'Exhibit F'!T70+'Exhibit G State'!T54+'Exhibit H'!R34</f>
        <v>1.3</v>
      </c>
      <c r="T73" s="971"/>
      <c r="U73" s="971">
        <f>+'Exhibit F'!V70+'Exhibit G State'!V54+'Exhibit H'!T34</f>
        <v>0.4</v>
      </c>
      <c r="V73" s="971"/>
      <c r="W73" s="971"/>
      <c r="X73" s="971"/>
      <c r="Y73" s="971"/>
      <c r="Z73" s="971"/>
      <c r="AA73" s="972"/>
      <c r="AB73" s="971">
        <f t="shared" si="11"/>
        <v>8.1</v>
      </c>
      <c r="AC73" s="971"/>
      <c r="AD73" s="973"/>
      <c r="AE73" s="971">
        <f>+'Exhibit F'!AF70+'Exhibit G State'!AF54+'Exhibit H'!AD34</f>
        <v>7.4</v>
      </c>
      <c r="AF73" s="983"/>
      <c r="AG73" s="983"/>
      <c r="AH73" s="971">
        <f t="shared" si="10"/>
        <v>0.7</v>
      </c>
      <c r="AI73" s="427"/>
      <c r="AJ73" s="3339">
        <f>ROUND(IF(AE73=0,1,AH73/ABS(AE73)),3)</f>
        <v>9.5000000000000001E-2</v>
      </c>
    </row>
    <row r="74" spans="1:36" ht="15">
      <c r="A74" s="1669" t="s">
        <v>1422</v>
      </c>
      <c r="B74" s="427"/>
      <c r="C74" s="971">
        <f>+'Exhibit F'!D71+'Exhibit G State'!D55+'Exhibit H'!B35</f>
        <v>78.599999999999994</v>
      </c>
      <c r="D74" s="971"/>
      <c r="E74" s="971">
        <f>+'Exhibit F'!F71+'Exhibit G State'!F55+'Exhibit H'!D35</f>
        <v>71.5</v>
      </c>
      <c r="F74" s="971"/>
      <c r="G74" s="971">
        <f>+'Exhibit F'!H71+'Exhibit G State'!H55+'Exhibit H'!F35</f>
        <v>80.199999999999989</v>
      </c>
      <c r="H74" s="971"/>
      <c r="I74" s="971">
        <f>+'Exhibit F'!J71+'Exhibit G State'!J55+'Exhibit H'!H35</f>
        <v>37.4</v>
      </c>
      <c r="J74" s="971"/>
      <c r="K74" s="971">
        <f>+'Exhibit F'!L71+'Exhibit G State'!L55+'Exhibit H'!J35</f>
        <v>64.899999999999991</v>
      </c>
      <c r="L74" s="971"/>
      <c r="M74" s="971">
        <f>+'Exhibit F'!N71+'Exhibit G State'!N55+'Exhibit H'!L35</f>
        <v>55</v>
      </c>
      <c r="N74" s="971"/>
      <c r="O74" s="971">
        <f>+'Exhibit F'!P71+'Exhibit G State'!P55+'Exhibit H'!N35</f>
        <v>61.300000000000004</v>
      </c>
      <c r="P74" s="971"/>
      <c r="Q74" s="971">
        <f>+'Exhibit F'!R71+'Exhibit G State'!R55+'Exhibit H'!P35</f>
        <v>61.2</v>
      </c>
      <c r="R74" s="971"/>
      <c r="S74" s="971">
        <f>+'Exhibit F'!T71+'Exhibit G State'!T55+'Exhibit H'!R35</f>
        <v>42.600000000000009</v>
      </c>
      <c r="T74" s="971"/>
      <c r="U74" s="971">
        <f>+'Exhibit F'!V71+'Exhibit G State'!V55+'Exhibit H'!T35</f>
        <v>47.2</v>
      </c>
      <c r="V74" s="971"/>
      <c r="W74" s="971"/>
      <c r="X74" s="971"/>
      <c r="Y74" s="971"/>
      <c r="Z74" s="971"/>
      <c r="AA74" s="972"/>
      <c r="AB74" s="971">
        <f t="shared" si="11"/>
        <v>599.9</v>
      </c>
      <c r="AC74" s="971"/>
      <c r="AD74" s="973"/>
      <c r="AE74" s="971">
        <f>+'Exhibit F'!AF71+'Exhibit G State'!AF55+'Exhibit H'!AD35</f>
        <v>536</v>
      </c>
      <c r="AF74" s="983"/>
      <c r="AG74" s="983"/>
      <c r="AH74" s="971">
        <f t="shared" si="10"/>
        <v>63.9</v>
      </c>
      <c r="AI74" s="427"/>
      <c r="AJ74" s="1700">
        <f>ROUND(IF(AE74=0,0,AH74/ABS(AE74)),3)</f>
        <v>0.11899999999999999</v>
      </c>
    </row>
    <row r="75" spans="1:36" ht="15">
      <c r="A75" s="1669" t="s">
        <v>1423</v>
      </c>
      <c r="B75" s="427"/>
      <c r="C75" s="971">
        <f>+'Exhibit F'!D72+'Exhibit G State'!D56+'Exhibit H'!B36</f>
        <v>43.6</v>
      </c>
      <c r="D75" s="971"/>
      <c r="E75" s="971">
        <f>+'Exhibit F'!F72+'Exhibit G State'!F56+'Exhibit H'!D36</f>
        <v>50.3</v>
      </c>
      <c r="F75" s="971"/>
      <c r="G75" s="971">
        <f>+'Exhibit F'!H72+'Exhibit G State'!H56+'Exhibit H'!F36</f>
        <v>39.700000000000003</v>
      </c>
      <c r="H75" s="971"/>
      <c r="I75" s="971">
        <f>+'Exhibit F'!J72+'Exhibit G State'!J56+'Exhibit H'!H36</f>
        <v>53.1</v>
      </c>
      <c r="J75" s="971"/>
      <c r="K75" s="971">
        <f>+'Exhibit F'!L72+'Exhibit G State'!L56+'Exhibit H'!J36</f>
        <v>76</v>
      </c>
      <c r="L75" s="971"/>
      <c r="M75" s="971">
        <f>+'Exhibit F'!N72+'Exhibit G State'!N56+'Exhibit H'!L36</f>
        <v>92</v>
      </c>
      <c r="N75" s="971"/>
      <c r="O75" s="971">
        <f>+'Exhibit F'!P72+'Exhibit G State'!P56+'Exhibit H'!N36</f>
        <v>70.900000000000006</v>
      </c>
      <c r="P75" s="971"/>
      <c r="Q75" s="971">
        <f>+'Exhibit F'!R72+'Exhibit G State'!R56+'Exhibit H'!P36</f>
        <v>67.3</v>
      </c>
      <c r="R75" s="971"/>
      <c r="S75" s="971">
        <f>+'Exhibit F'!T72+'Exhibit G State'!T56+'Exhibit H'!R36</f>
        <v>42.300000000000004</v>
      </c>
      <c r="T75" s="971"/>
      <c r="U75" s="971">
        <f>+'Exhibit F'!V72+'Exhibit G State'!V56+'Exhibit H'!T36</f>
        <v>80.8</v>
      </c>
      <c r="V75" s="971"/>
      <c r="W75" s="971"/>
      <c r="X75" s="971"/>
      <c r="Y75" s="971"/>
      <c r="Z75" s="971"/>
      <c r="AA75" s="972"/>
      <c r="AB75" s="971">
        <f t="shared" si="11"/>
        <v>616</v>
      </c>
      <c r="AC75" s="971"/>
      <c r="AD75" s="973"/>
      <c r="AE75" s="971">
        <f>+'Exhibit F'!AF72+'Exhibit G State'!AF56+'Exhibit H'!AD36</f>
        <v>595.80000000000007</v>
      </c>
      <c r="AF75" s="983"/>
      <c r="AG75" s="983"/>
      <c r="AH75" s="971">
        <f t="shared" si="10"/>
        <v>20.2</v>
      </c>
      <c r="AI75" s="427"/>
      <c r="AJ75" s="1764">
        <f>ROUND(SUM(AH75/ABS(AE75)),3)</f>
        <v>3.4000000000000002E-2</v>
      </c>
    </row>
    <row r="76" spans="1:36" ht="15">
      <c r="A76" s="1669" t="s">
        <v>1129</v>
      </c>
      <c r="B76" s="427"/>
      <c r="C76" s="971">
        <f>+'Exhibit F'!D73+'Exhibit G State'!D57</f>
        <v>13.1</v>
      </c>
      <c r="D76" s="971"/>
      <c r="E76" s="971">
        <f>+'Exhibit F'!F73+'Exhibit G State'!F57</f>
        <v>406.1</v>
      </c>
      <c r="F76" s="971"/>
      <c r="G76" s="971">
        <f>+'Exhibit F'!H73+'Exhibit G State'!H57</f>
        <v>43.8</v>
      </c>
      <c r="H76" s="971"/>
      <c r="I76" s="971">
        <f>+'Exhibit F'!J73+'Exhibit G State'!J57</f>
        <v>23</v>
      </c>
      <c r="J76" s="971"/>
      <c r="K76" s="971">
        <f>+'Exhibit F'!L73+'Exhibit G State'!L57</f>
        <v>68.900000000000048</v>
      </c>
      <c r="L76" s="971"/>
      <c r="M76" s="971">
        <f>+'Exhibit F'!N73+'Exhibit G State'!N57</f>
        <v>283.19999999999993</v>
      </c>
      <c r="N76" s="971"/>
      <c r="O76" s="971">
        <f>+'Exhibit F'!P73+'Exhibit G State'!P57</f>
        <v>27.2</v>
      </c>
      <c r="P76" s="971"/>
      <c r="Q76" s="971">
        <f>+'Exhibit F'!R73+'Exhibit G State'!R57</f>
        <v>160.10000000000005</v>
      </c>
      <c r="R76" s="971"/>
      <c r="S76" s="971">
        <f>+'Exhibit F'!T73+'Exhibit G State'!T57</f>
        <v>53.499999999999957</v>
      </c>
      <c r="T76" s="971"/>
      <c r="U76" s="971">
        <f>+'Exhibit F'!V73+'Exhibit G State'!V57</f>
        <v>88.399999999999991</v>
      </c>
      <c r="V76" s="971"/>
      <c r="W76" s="971"/>
      <c r="X76" s="971"/>
      <c r="Y76" s="971"/>
      <c r="Z76" s="971"/>
      <c r="AA76" s="972"/>
      <c r="AB76" s="971">
        <f t="shared" si="11"/>
        <v>1167.3</v>
      </c>
      <c r="AC76" s="971"/>
      <c r="AD76" s="973"/>
      <c r="AE76" s="971">
        <f>+'Exhibit F'!AF73+'Exhibit G State'!AF57</f>
        <v>1026.2</v>
      </c>
      <c r="AF76" s="983"/>
      <c r="AG76" s="983"/>
      <c r="AH76" s="971">
        <f t="shared" si="10"/>
        <v>141.1</v>
      </c>
      <c r="AI76" s="427"/>
      <c r="AJ76" s="1764">
        <f>ROUND(SUM(AH76/ABS(AE76)),3)</f>
        <v>0.13700000000000001</v>
      </c>
    </row>
    <row r="77" spans="1:36" ht="15">
      <c r="A77" s="1669" t="s">
        <v>1239</v>
      </c>
      <c r="B77" s="427"/>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83"/>
      <c r="AG77" s="983"/>
      <c r="AH77" s="971"/>
      <c r="AI77" s="427"/>
      <c r="AJ77" s="1764" t="s">
        <v>15</v>
      </c>
    </row>
    <row r="78" spans="1:36" ht="15">
      <c r="A78" s="1669" t="s">
        <v>1138</v>
      </c>
      <c r="B78" s="427"/>
      <c r="C78" s="971">
        <f>+'Exhibit G State'!D59</f>
        <v>22.7</v>
      </c>
      <c r="D78" s="971"/>
      <c r="E78" s="971">
        <f>+'Exhibit G State'!F59</f>
        <v>10.4</v>
      </c>
      <c r="F78" s="971"/>
      <c r="G78" s="971">
        <f>+'Exhibit G State'!H59</f>
        <v>12.5</v>
      </c>
      <c r="H78" s="971"/>
      <c r="I78" s="971">
        <f>+'Exhibit G State'!J59</f>
        <v>24.4</v>
      </c>
      <c r="J78" s="971"/>
      <c r="K78" s="971">
        <f>+'Exhibit G State'!L59</f>
        <v>10.9</v>
      </c>
      <c r="L78" s="971"/>
      <c r="M78" s="971">
        <f>+'Exhibit G State'!N59</f>
        <v>14</v>
      </c>
      <c r="N78" s="971"/>
      <c r="O78" s="971">
        <f>+'Exhibit G State'!P59</f>
        <v>25.6</v>
      </c>
      <c r="P78" s="971"/>
      <c r="Q78" s="971">
        <f>+'Exhibit G State'!R59</f>
        <v>10.1</v>
      </c>
      <c r="R78" s="971"/>
      <c r="S78" s="971">
        <f>+'Exhibit G State'!T59</f>
        <v>12.9</v>
      </c>
      <c r="T78" s="971"/>
      <c r="U78" s="971">
        <f>+'Exhibit G State'!V59</f>
        <v>25</v>
      </c>
      <c r="V78" s="971"/>
      <c r="W78" s="971"/>
      <c r="X78" s="971"/>
      <c r="Y78" s="971"/>
      <c r="Z78" s="971"/>
      <c r="AA78" s="972"/>
      <c r="AB78" s="971">
        <f>ROUND(SUM(C78:Y78),1)</f>
        <v>168.5</v>
      </c>
      <c r="AC78" s="971"/>
      <c r="AD78" s="973"/>
      <c r="AE78" s="971">
        <f>+'Exhibit G State'!AF59</f>
        <v>174.3</v>
      </c>
      <c r="AF78" s="983"/>
      <c r="AG78" s="983"/>
      <c r="AH78" s="971">
        <f t="shared" si="10"/>
        <v>-5.8</v>
      </c>
      <c r="AI78" s="427"/>
      <c r="AJ78" s="2541">
        <f>ROUND(SUM(AH78/ABS(AE78)),3)</f>
        <v>-3.3000000000000002E-2</v>
      </c>
    </row>
    <row r="79" spans="1:36" ht="15">
      <c r="A79" s="1669" t="s">
        <v>1139</v>
      </c>
      <c r="B79" s="427"/>
      <c r="C79" s="971">
        <f>+'Exhibit G State'!D60</f>
        <v>190.4</v>
      </c>
      <c r="D79" s="971"/>
      <c r="E79" s="971">
        <f>+'Exhibit G State'!F60</f>
        <v>234.2</v>
      </c>
      <c r="F79" s="971"/>
      <c r="G79" s="971">
        <f>+'Exhibit G State'!H60</f>
        <v>193.7</v>
      </c>
      <c r="H79" s="971"/>
      <c r="I79" s="971">
        <f>+'Exhibit G State'!J60</f>
        <v>182.6</v>
      </c>
      <c r="J79" s="971"/>
      <c r="K79" s="971">
        <f>+'Exhibit G State'!L60</f>
        <v>268.10000000000002</v>
      </c>
      <c r="L79" s="971"/>
      <c r="M79" s="971">
        <f>+'Exhibit G State'!N60</f>
        <v>184.5</v>
      </c>
      <c r="N79" s="971"/>
      <c r="O79" s="971">
        <f>+'Exhibit G State'!P60</f>
        <v>181.6</v>
      </c>
      <c r="P79" s="971"/>
      <c r="Q79" s="971">
        <f>+'Exhibit G State'!R60</f>
        <v>224.9</v>
      </c>
      <c r="R79" s="971"/>
      <c r="S79" s="971">
        <f>+'Exhibit G State'!T60</f>
        <v>196.7</v>
      </c>
      <c r="T79" s="971"/>
      <c r="U79" s="971">
        <f>+'Exhibit G State'!V60</f>
        <v>248.4</v>
      </c>
      <c r="V79" s="971"/>
      <c r="W79" s="971"/>
      <c r="X79" s="971"/>
      <c r="Y79" s="971"/>
      <c r="Z79" s="971"/>
      <c r="AA79" s="972"/>
      <c r="AB79" s="971">
        <f>ROUND(SUM(C79:Y79),1)</f>
        <v>2105.1</v>
      </c>
      <c r="AC79" s="971"/>
      <c r="AD79" s="973"/>
      <c r="AE79" s="971">
        <f>+'Exhibit G State'!AF60</f>
        <v>1997.3</v>
      </c>
      <c r="AF79" s="983"/>
      <c r="AG79" s="983"/>
      <c r="AH79" s="971">
        <f t="shared" si="10"/>
        <v>107.8</v>
      </c>
      <c r="AI79" s="427"/>
      <c r="AJ79" s="2541">
        <f>ROUND(SUM(AH79/ABS(AE79)),3)</f>
        <v>5.3999999999999999E-2</v>
      </c>
    </row>
    <row r="80" spans="1:36" ht="15">
      <c r="A80" s="1669" t="s">
        <v>1140</v>
      </c>
      <c r="B80" s="427"/>
      <c r="C80" s="971">
        <f>+'Exhibit G State'!D61</f>
        <v>72.5</v>
      </c>
      <c r="D80" s="971"/>
      <c r="E80" s="971">
        <f>+'Exhibit G State'!F61</f>
        <v>73.599999999999994</v>
      </c>
      <c r="F80" s="971"/>
      <c r="G80" s="971">
        <f>+'Exhibit G State'!H61</f>
        <v>94.2</v>
      </c>
      <c r="H80" s="971"/>
      <c r="I80" s="971">
        <f>+'Exhibit G State'!J61</f>
        <v>76.5</v>
      </c>
      <c r="J80" s="971"/>
      <c r="K80" s="971">
        <f>+'Exhibit G State'!L61</f>
        <v>93.8</v>
      </c>
      <c r="L80" s="971"/>
      <c r="M80" s="971">
        <f>+'Exhibit G State'!N61</f>
        <v>75.3</v>
      </c>
      <c r="N80" s="971"/>
      <c r="O80" s="971">
        <f>+'Exhibit G State'!P61</f>
        <v>73.900000000000006</v>
      </c>
      <c r="P80" s="971"/>
      <c r="Q80" s="971">
        <f>+'Exhibit G State'!R61</f>
        <v>89.4</v>
      </c>
      <c r="R80" s="971"/>
      <c r="S80" s="971">
        <f>+'Exhibit G State'!T61</f>
        <v>66.5</v>
      </c>
      <c r="T80" s="971"/>
      <c r="U80" s="971">
        <f>+'Exhibit G State'!V61</f>
        <v>88</v>
      </c>
      <c r="V80" s="971"/>
      <c r="W80" s="971"/>
      <c r="X80" s="971"/>
      <c r="Y80" s="971"/>
      <c r="Z80" s="971"/>
      <c r="AA80" s="972"/>
      <c r="AB80" s="971">
        <f>ROUND(SUM(C80:Y80),1)</f>
        <v>803.7</v>
      </c>
      <c r="AC80" s="971"/>
      <c r="AD80" s="973"/>
      <c r="AE80" s="971">
        <f>+'Exhibit G State'!AF61</f>
        <v>788.1</v>
      </c>
      <c r="AF80" s="983"/>
      <c r="AG80" s="983"/>
      <c r="AH80" s="971">
        <f t="shared" si="10"/>
        <v>15.6</v>
      </c>
      <c r="AI80" s="427"/>
      <c r="AJ80" s="2541">
        <f>ROUND(SUM(AH80/ABS(AE80)),3)</f>
        <v>0.02</v>
      </c>
    </row>
    <row r="81" spans="1:36" ht="15">
      <c r="A81" s="1669" t="s">
        <v>1130</v>
      </c>
      <c r="B81" s="427"/>
      <c r="C81" s="971">
        <f>+'Exhibit F'!D74+'Exhibit H'!B37+'Exhibit G State'!D62</f>
        <v>9.3000000000000007</v>
      </c>
      <c r="D81" s="971"/>
      <c r="E81" s="971">
        <f>+'Exhibit F'!F74+'Exhibit H'!D37+'Exhibit G State'!F62</f>
        <v>6.7</v>
      </c>
      <c r="F81" s="971"/>
      <c r="G81" s="971">
        <f>+'Exhibit F'!H74+'Exhibit H'!F37+'Exhibit G State'!H62</f>
        <v>8.6999999999999993</v>
      </c>
      <c r="H81" s="971"/>
      <c r="I81" s="971">
        <f>+'Exhibit F'!J74+'Exhibit H'!H37+'Exhibit G State'!J62</f>
        <v>7.6000000000000005</v>
      </c>
      <c r="J81" s="971"/>
      <c r="K81" s="971">
        <f>+'Exhibit F'!L74+'Exhibit H'!J37+'Exhibit G State'!L62</f>
        <v>10</v>
      </c>
      <c r="L81" s="971"/>
      <c r="M81" s="971">
        <f>+'Exhibit F'!N74+'Exhibit H'!L37+'Exhibit G State'!N62</f>
        <v>10</v>
      </c>
      <c r="N81" s="971"/>
      <c r="O81" s="971">
        <f>+'Exhibit F'!P74+'Exhibit H'!N37+'Exhibit G State'!P62</f>
        <v>11.5</v>
      </c>
      <c r="P81" s="971"/>
      <c r="Q81" s="971">
        <f>+'Exhibit F'!R74+'Exhibit H'!P37+'Exhibit G State'!R62</f>
        <v>11.600000000000001</v>
      </c>
      <c r="R81" s="971"/>
      <c r="S81" s="971">
        <f>+'Exhibit F'!T74+'Exhibit H'!R37+'Exhibit G State'!T62</f>
        <v>11.1</v>
      </c>
      <c r="T81" s="971"/>
      <c r="U81" s="971">
        <f>+'Exhibit F'!V74+'Exhibit H'!T37+'Exhibit G State'!V62</f>
        <v>12.1</v>
      </c>
      <c r="V81" s="971"/>
      <c r="W81" s="971"/>
      <c r="X81" s="971"/>
      <c r="Y81" s="971"/>
      <c r="Z81" s="971"/>
      <c r="AA81" s="972"/>
      <c r="AB81" s="971">
        <f>ROUND(SUM(C81:Y81),1)</f>
        <v>98.6</v>
      </c>
      <c r="AC81" s="971"/>
      <c r="AD81" s="973"/>
      <c r="AE81" s="971">
        <f>+'Exhibit F'!AF74+'Exhibit H'!AD37+'Exhibit G State'!AF62</f>
        <v>58.3</v>
      </c>
      <c r="AF81" s="983"/>
      <c r="AG81" s="983"/>
      <c r="AH81" s="971">
        <f t="shared" si="10"/>
        <v>40.299999999999997</v>
      </c>
      <c r="AI81" s="427"/>
      <c r="AJ81" s="2541">
        <f>ROUND(SUM(AH81/ABS(AE81)),3)</f>
        <v>0.69099999999999995</v>
      </c>
    </row>
    <row r="82" spans="1:36" ht="15">
      <c r="A82" s="1669" t="s">
        <v>1240</v>
      </c>
      <c r="B82" s="427"/>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83"/>
      <c r="AG82" s="983"/>
      <c r="AH82" s="971"/>
      <c r="AI82" s="427"/>
      <c r="AJ82" s="1700"/>
    </row>
    <row r="83" spans="1:36" ht="15">
      <c r="A83" s="1669" t="s">
        <v>1415</v>
      </c>
      <c r="B83" s="427"/>
      <c r="C83" s="971">
        <f>+'Exhibit G State'!D64</f>
        <v>0</v>
      </c>
      <c r="D83" s="971"/>
      <c r="E83" s="971">
        <f>+'Exhibit G State'!F64</f>
        <v>0</v>
      </c>
      <c r="F83" s="971"/>
      <c r="G83" s="971">
        <f>+'Exhibit G State'!H64</f>
        <v>0</v>
      </c>
      <c r="H83" s="971"/>
      <c r="I83" s="971">
        <f>+'Exhibit G State'!J64</f>
        <v>0</v>
      </c>
      <c r="J83" s="971"/>
      <c r="K83" s="971">
        <f>+'Exhibit G State'!L64</f>
        <v>0</v>
      </c>
      <c r="L83" s="971"/>
      <c r="M83" s="971">
        <f>+'Exhibit G State'!N64</f>
        <v>0</v>
      </c>
      <c r="N83" s="971"/>
      <c r="O83" s="971">
        <f>+'Exhibit G State'!P64</f>
        <v>0</v>
      </c>
      <c r="P83" s="971"/>
      <c r="Q83" s="971">
        <f>+'Exhibit G State'!R64</f>
        <v>0</v>
      </c>
      <c r="R83" s="971"/>
      <c r="S83" s="971">
        <f>+'Exhibit G State'!T64</f>
        <v>0</v>
      </c>
      <c r="T83" s="971"/>
      <c r="U83" s="971">
        <f>+'Exhibit G State'!V64</f>
        <v>0</v>
      </c>
      <c r="V83" s="971"/>
      <c r="W83" s="971"/>
      <c r="X83" s="971"/>
      <c r="Y83" s="971"/>
      <c r="Z83" s="971"/>
      <c r="AA83" s="972"/>
      <c r="AB83" s="971">
        <f t="shared" ref="AB83:AB88" si="12">ROUND(SUM(C83:Y83),1)</f>
        <v>0</v>
      </c>
      <c r="AC83" s="971"/>
      <c r="AD83" s="973"/>
      <c r="AE83" s="971">
        <f>+'Exhibit G State'!AF64</f>
        <v>0</v>
      </c>
      <c r="AF83" s="983"/>
      <c r="AG83" s="983"/>
      <c r="AH83" s="971">
        <f t="shared" si="10"/>
        <v>0</v>
      </c>
      <c r="AI83" s="427"/>
      <c r="AJ83" s="1700">
        <f>ROUND(IF(AE83=0,0,AH83/ABS(AE83)),3)</f>
        <v>0</v>
      </c>
    </row>
    <row r="84" spans="1:36" ht="15">
      <c r="A84" s="1669" t="s">
        <v>1397</v>
      </c>
      <c r="B84" s="427"/>
      <c r="C84" s="971">
        <f>+'Exhibit F'!D76+'Exhibit G State'!D65</f>
        <v>0</v>
      </c>
      <c r="D84" s="971"/>
      <c r="E84" s="971">
        <f>+'Exhibit F'!F76+'Exhibit G State'!F65</f>
        <v>0</v>
      </c>
      <c r="F84" s="971"/>
      <c r="G84" s="971">
        <f>+'Exhibit F'!H76+'Exhibit G State'!H65</f>
        <v>0</v>
      </c>
      <c r="H84" s="971"/>
      <c r="I84" s="971">
        <f>+'Exhibit F'!J76+'Exhibit G State'!J65</f>
        <v>0</v>
      </c>
      <c r="J84" s="971"/>
      <c r="K84" s="971">
        <f>+'Exhibit F'!L76+'Exhibit G State'!L65</f>
        <v>22.599999999999998</v>
      </c>
      <c r="L84" s="971"/>
      <c r="M84" s="971">
        <f>+'Exhibit F'!N76+'Exhibit G State'!N65</f>
        <v>8.6000000000000014</v>
      </c>
      <c r="N84" s="971"/>
      <c r="O84" s="971">
        <f>+'Exhibit F'!P76+'Exhibit G State'!P65</f>
        <v>0</v>
      </c>
      <c r="P84" s="971"/>
      <c r="Q84" s="971">
        <f>+'Exhibit F'!R76+'Exhibit G State'!R65</f>
        <v>6.8000000000000007</v>
      </c>
      <c r="R84" s="971"/>
      <c r="S84" s="971">
        <f>+'Exhibit F'!T76+'Exhibit G State'!T65</f>
        <v>0</v>
      </c>
      <c r="T84" s="971"/>
      <c r="U84" s="971">
        <f>+'Exhibit F'!V76+'Exhibit G State'!V65</f>
        <v>0.1</v>
      </c>
      <c r="V84" s="971"/>
      <c r="W84" s="971"/>
      <c r="X84" s="971"/>
      <c r="Y84" s="971"/>
      <c r="Z84" s="971"/>
      <c r="AA84" s="972"/>
      <c r="AB84" s="971">
        <f t="shared" si="12"/>
        <v>38.1</v>
      </c>
      <c r="AC84" s="971"/>
      <c r="AD84" s="973"/>
      <c r="AE84" s="971">
        <f>+'Exhibit F'!AF76+'Exhibit G State'!AF65</f>
        <v>33.200000000000003</v>
      </c>
      <c r="AF84" s="983"/>
      <c r="AG84" s="983"/>
      <c r="AH84" s="971">
        <f t="shared" si="10"/>
        <v>4.9000000000000004</v>
      </c>
      <c r="AI84" s="427"/>
      <c r="AJ84" s="2574">
        <f>ROUND(IF(AE84=0,0,AH84/ABS(AE84)),3)</f>
        <v>0.14799999999999999</v>
      </c>
    </row>
    <row r="85" spans="1:36" ht="15">
      <c r="A85" s="1669" t="s">
        <v>1398</v>
      </c>
      <c r="B85" s="427"/>
      <c r="C85" s="971">
        <f>+'Exhibit F'!D77+'Exhibit G State'!D66</f>
        <v>3</v>
      </c>
      <c r="D85" s="971"/>
      <c r="E85" s="971">
        <f>+'Exhibit F'!F77+'Exhibit G State'!F66</f>
        <v>13.899999999999999</v>
      </c>
      <c r="F85" s="971"/>
      <c r="G85" s="971">
        <f>+'Exhibit F'!H77+'Exhibit G State'!H66</f>
        <v>1.2</v>
      </c>
      <c r="H85" s="971"/>
      <c r="I85" s="971">
        <f>+'Exhibit F'!J77+'Exhibit G State'!J66</f>
        <v>29.1</v>
      </c>
      <c r="J85" s="971"/>
      <c r="K85" s="971">
        <f>+'Exhibit F'!L77+'Exhibit G State'!L66</f>
        <v>1.3</v>
      </c>
      <c r="L85" s="971"/>
      <c r="M85" s="971">
        <f>+'Exhibit F'!N77+'Exhibit G State'!N66</f>
        <v>0.3</v>
      </c>
      <c r="N85" s="971"/>
      <c r="O85" s="971">
        <f>+'Exhibit F'!P77+'Exhibit G State'!P66</f>
        <v>14.7</v>
      </c>
      <c r="P85" s="971"/>
      <c r="Q85" s="971">
        <f>+'Exhibit F'!R77+'Exhibit G State'!R66</f>
        <v>4</v>
      </c>
      <c r="R85" s="971"/>
      <c r="S85" s="971">
        <f>+'Exhibit F'!T77+'Exhibit G State'!T66</f>
        <v>18.3</v>
      </c>
      <c r="T85" s="971"/>
      <c r="U85" s="971">
        <f>+'Exhibit F'!V77+'Exhibit G State'!V66</f>
        <v>5.2</v>
      </c>
      <c r="V85" s="971"/>
      <c r="W85" s="971"/>
      <c r="X85" s="971"/>
      <c r="Y85" s="971"/>
      <c r="Z85" s="971"/>
      <c r="AA85" s="972"/>
      <c r="AB85" s="971">
        <f t="shared" si="12"/>
        <v>91</v>
      </c>
      <c r="AC85" s="971"/>
      <c r="AD85" s="973"/>
      <c r="AE85" s="971">
        <f>+'Exhibit F'!AF77+'Exhibit G State'!AF66</f>
        <v>80</v>
      </c>
      <c r="AF85" s="983"/>
      <c r="AG85" s="983"/>
      <c r="AH85" s="971">
        <f t="shared" si="10"/>
        <v>11</v>
      </c>
      <c r="AI85" s="427"/>
      <c r="AJ85" s="2541">
        <f>ROUND(SUM(AH85/ABS(AE85)),3)</f>
        <v>0.13800000000000001</v>
      </c>
    </row>
    <row r="86" spans="1:36" ht="15">
      <c r="A86" s="1669" t="s">
        <v>1399</v>
      </c>
      <c r="B86" s="427"/>
      <c r="C86" s="971">
        <f>+'Exhibit F'!D78+'Exhibit G State'!D67</f>
        <v>7.7</v>
      </c>
      <c r="D86" s="971"/>
      <c r="E86" s="971">
        <f>+'Exhibit F'!F78+'Exhibit G State'!F67</f>
        <v>1.2000000000000002</v>
      </c>
      <c r="F86" s="971"/>
      <c r="G86" s="971">
        <f>+'Exhibit F'!H78+'Exhibit G State'!H67</f>
        <v>0</v>
      </c>
      <c r="H86" s="971"/>
      <c r="I86" s="971">
        <f>+'Exhibit F'!J78+'Exhibit G State'!J67</f>
        <v>6</v>
      </c>
      <c r="J86" s="971"/>
      <c r="K86" s="971">
        <f>+'Exhibit F'!L78+'Exhibit G State'!L67</f>
        <v>0.3</v>
      </c>
      <c r="L86" s="971"/>
      <c r="M86" s="971">
        <f>+'Exhibit F'!N78+'Exhibit G State'!N67</f>
        <v>24.5</v>
      </c>
      <c r="N86" s="971"/>
      <c r="O86" s="971">
        <f>+'Exhibit F'!P78+'Exhibit G State'!P67</f>
        <v>5.5</v>
      </c>
      <c r="P86" s="971"/>
      <c r="Q86" s="971">
        <f>+'Exhibit F'!R78+'Exhibit G State'!R67</f>
        <v>0.1</v>
      </c>
      <c r="R86" s="971"/>
      <c r="S86" s="971">
        <f>+'Exhibit F'!T78+'Exhibit G State'!T67</f>
        <v>26.3</v>
      </c>
      <c r="T86" s="971"/>
      <c r="U86" s="971">
        <f>+'Exhibit F'!V78+'Exhibit G State'!V67</f>
        <v>10</v>
      </c>
      <c r="V86" s="971"/>
      <c r="W86" s="971"/>
      <c r="X86" s="971"/>
      <c r="Y86" s="971"/>
      <c r="Z86" s="971"/>
      <c r="AA86" s="972"/>
      <c r="AB86" s="971">
        <f t="shared" si="12"/>
        <v>81.599999999999994</v>
      </c>
      <c r="AC86" s="971"/>
      <c r="AD86" s="973"/>
      <c r="AE86" s="971">
        <f>+'Exhibit F'!AF78+'Exhibit G State'!AF67</f>
        <v>89.5</v>
      </c>
      <c r="AF86" s="983"/>
      <c r="AG86" s="983"/>
      <c r="AH86" s="971">
        <f t="shared" si="10"/>
        <v>-7.9</v>
      </c>
      <c r="AI86" s="427"/>
      <c r="AJ86" s="2541">
        <f>ROUND(SUM(AH86/ABS(AE86)),3)</f>
        <v>-8.7999999999999995E-2</v>
      </c>
    </row>
    <row r="87" spans="1:36" ht="15">
      <c r="A87" s="1669" t="s">
        <v>1141</v>
      </c>
      <c r="B87" s="427"/>
      <c r="C87" s="971">
        <f>+'Exhibit F'!D79+'Exhibit H'!B38+'Exhibit G State'!D68</f>
        <v>22</v>
      </c>
      <c r="D87" s="971"/>
      <c r="E87" s="971">
        <f>+'Exhibit F'!F79+'Exhibit H'!D38+'Exhibit G State'!F68</f>
        <v>20.2</v>
      </c>
      <c r="F87" s="971"/>
      <c r="G87" s="971">
        <f>+'Exhibit F'!H79+'Exhibit H'!F38+'Exhibit G State'!H68</f>
        <v>24.6</v>
      </c>
      <c r="H87" s="971"/>
      <c r="I87" s="971">
        <f>+'Exhibit F'!J79+'Exhibit H'!H38+'Exhibit G State'!J68</f>
        <v>22.299999999999997</v>
      </c>
      <c r="J87" s="971"/>
      <c r="K87" s="971">
        <f>+'Exhibit F'!L79+'Exhibit H'!J38+'Exhibit G State'!L68</f>
        <v>24.200000000000003</v>
      </c>
      <c r="L87" s="971"/>
      <c r="M87" s="971">
        <f>+'Exhibit F'!N79+'Exhibit H'!L38+'Exhibit G State'!N68</f>
        <v>57.999999999999986</v>
      </c>
      <c r="N87" s="971"/>
      <c r="O87" s="971">
        <f>+'Exhibit F'!P79+'Exhibit H'!N38+'Exhibit G State'!P68</f>
        <v>30.900000000000002</v>
      </c>
      <c r="P87" s="971"/>
      <c r="Q87" s="971">
        <f>+'Exhibit F'!R79+'Exhibit H'!P38+'Exhibit G State'!R68</f>
        <v>23.000000000000004</v>
      </c>
      <c r="R87" s="971"/>
      <c r="S87" s="971">
        <f>+'Exhibit F'!T79+'Exhibit H'!R38+'Exhibit G State'!T68</f>
        <v>25.499999999999989</v>
      </c>
      <c r="T87" s="971"/>
      <c r="U87" s="971">
        <f>+'Exhibit F'!V79+'Exhibit H'!T38+'Exhibit G State'!V68</f>
        <v>23.099999999999998</v>
      </c>
      <c r="V87" s="971"/>
      <c r="W87" s="971"/>
      <c r="X87" s="971"/>
      <c r="Y87" s="971"/>
      <c r="Z87" s="971"/>
      <c r="AA87" s="972"/>
      <c r="AB87" s="971">
        <f t="shared" si="12"/>
        <v>273.8</v>
      </c>
      <c r="AC87" s="971"/>
      <c r="AD87" s="973"/>
      <c r="AE87" s="971">
        <f>+'Exhibit F'!AF79+'Exhibit H'!AD38+'Exhibit G State'!AF68</f>
        <v>292.39999999999998</v>
      </c>
      <c r="AF87" s="983"/>
      <c r="AG87" s="983"/>
      <c r="AH87" s="971">
        <f t="shared" si="10"/>
        <v>-18.600000000000001</v>
      </c>
      <c r="AI87" s="427"/>
      <c r="AJ87" s="2541">
        <f>ROUND(SUM(AH87/ABS(AE87)),3)</f>
        <v>-6.4000000000000001E-2</v>
      </c>
    </row>
    <row r="88" spans="1:36" ht="15">
      <c r="A88" s="1669" t="s">
        <v>1142</v>
      </c>
      <c r="B88" s="427"/>
      <c r="C88" s="971">
        <f>+'Exhibit F'!D80+'Exhibit H'!B39+'Exhibit G State'!D69</f>
        <v>45.4</v>
      </c>
      <c r="D88" s="971"/>
      <c r="E88" s="971">
        <f>+'Exhibit F'!F80+'Exhibit H'!D39+'Exhibit G State'!F69</f>
        <v>29.400000000000002</v>
      </c>
      <c r="F88" s="971"/>
      <c r="G88" s="971">
        <f>+'Exhibit F'!H80+'Exhibit H'!F39+'Exhibit G State'!H69</f>
        <v>15.4</v>
      </c>
      <c r="H88" s="971"/>
      <c r="I88" s="971">
        <f>+'Exhibit F'!J80+'Exhibit H'!H39+'Exhibit G State'!J69</f>
        <v>27.2</v>
      </c>
      <c r="J88" s="971"/>
      <c r="K88" s="971">
        <f>+'Exhibit F'!L80+'Exhibit H'!J39+'Exhibit G State'!L69</f>
        <v>4.6999999999999993</v>
      </c>
      <c r="L88" s="971"/>
      <c r="M88" s="971">
        <f>+'Exhibit F'!N80+'Exhibit H'!L39+'Exhibit G State'!N69</f>
        <v>5.9</v>
      </c>
      <c r="N88" s="971"/>
      <c r="O88" s="971">
        <f>+'Exhibit F'!P80+'Exhibit H'!N39+'Exhibit G State'!P69</f>
        <v>1.6</v>
      </c>
      <c r="P88" s="971"/>
      <c r="Q88" s="971">
        <f>+'Exhibit F'!R80+'Exhibit H'!P39+'Exhibit G State'!R69</f>
        <v>62.9</v>
      </c>
      <c r="R88" s="971"/>
      <c r="S88" s="971">
        <f>+'Exhibit F'!T80+'Exhibit H'!R39+'Exhibit G State'!T69</f>
        <v>39.199999999999996</v>
      </c>
      <c r="T88" s="971"/>
      <c r="U88" s="971">
        <f>+'Exhibit F'!V80+'Exhibit H'!T39+'Exhibit G State'!V69</f>
        <v>32.800000000000004</v>
      </c>
      <c r="V88" s="971"/>
      <c r="W88" s="971"/>
      <c r="X88" s="971"/>
      <c r="Y88" s="971"/>
      <c r="Z88" s="971"/>
      <c r="AA88" s="972"/>
      <c r="AB88" s="971">
        <f t="shared" si="12"/>
        <v>264.5</v>
      </c>
      <c r="AC88" s="971"/>
      <c r="AD88" s="973"/>
      <c r="AE88" s="971">
        <f>+'Exhibit F'!AF80+'Exhibit H'!AD39+'Exhibit G State'!AF69</f>
        <v>322.60000000000002</v>
      </c>
      <c r="AF88" s="983"/>
      <c r="AG88" s="983"/>
      <c r="AH88" s="971">
        <f t="shared" si="10"/>
        <v>-58.1</v>
      </c>
      <c r="AI88" s="427"/>
      <c r="AJ88" s="2541">
        <f>ROUND(SUM(AH88/ABS(AE88)),3)</f>
        <v>-0.18</v>
      </c>
    </row>
    <row r="89" spans="1:36" ht="15">
      <c r="A89" s="1669" t="s">
        <v>1241</v>
      </c>
      <c r="B89" s="427"/>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83"/>
      <c r="AG89" s="983"/>
      <c r="AH89" s="971"/>
      <c r="AI89" s="427"/>
      <c r="AJ89" s="1700"/>
    </row>
    <row r="90" spans="1:36" ht="15">
      <c r="A90" s="1669" t="s">
        <v>1400</v>
      </c>
      <c r="B90" s="427"/>
      <c r="C90" s="971">
        <f>+'Exhibit F'!D82+'Exhibit G State'!D71</f>
        <v>12.4</v>
      </c>
      <c r="D90" s="971"/>
      <c r="E90" s="971">
        <f>+'Exhibit F'!F82+'Exhibit G State'!F71</f>
        <v>9.2999999999999989</v>
      </c>
      <c r="F90" s="971"/>
      <c r="G90" s="971">
        <f>+'Exhibit F'!H82+'Exhibit G State'!H71</f>
        <v>33.1</v>
      </c>
      <c r="H90" s="971"/>
      <c r="I90" s="971">
        <f>+'Exhibit F'!J82+'Exhibit G State'!J71</f>
        <v>23.7</v>
      </c>
      <c r="J90" s="971"/>
      <c r="K90" s="971">
        <f>+'Exhibit F'!L82+'Exhibit G State'!L71</f>
        <v>9.7999999999999989</v>
      </c>
      <c r="L90" s="971"/>
      <c r="M90" s="971">
        <f>+'Exhibit F'!N82+'Exhibit G State'!N71</f>
        <v>26.1</v>
      </c>
      <c r="N90" s="971"/>
      <c r="O90" s="971">
        <f>+'Exhibit F'!P82+'Exhibit G State'!P71</f>
        <v>23</v>
      </c>
      <c r="P90" s="971"/>
      <c r="Q90" s="971">
        <f>+'Exhibit F'!R82+'Exhibit G State'!R71</f>
        <v>11.1</v>
      </c>
      <c r="R90" s="971"/>
      <c r="S90" s="971">
        <f>+'Exhibit F'!T82+'Exhibit G State'!T71</f>
        <v>28.199999999999996</v>
      </c>
      <c r="T90" s="971"/>
      <c r="U90" s="971">
        <f>+'Exhibit F'!V82+'Exhibit G State'!V71</f>
        <v>6.4</v>
      </c>
      <c r="V90" s="971"/>
      <c r="W90" s="971"/>
      <c r="X90" s="971"/>
      <c r="Y90" s="971"/>
      <c r="Z90" s="971"/>
      <c r="AA90" s="972"/>
      <c r="AB90" s="971">
        <f t="shared" ref="AB90:AB100" si="13">ROUND(SUM(C90:Y90),1)</f>
        <v>183.1</v>
      </c>
      <c r="AC90" s="971"/>
      <c r="AD90" s="973"/>
      <c r="AE90" s="971">
        <f>+'Exhibit F'!AF82+'Exhibit G State'!AF71</f>
        <v>187.2</v>
      </c>
      <c r="AF90" s="983"/>
      <c r="AG90" s="983"/>
      <c r="AH90" s="971">
        <f t="shared" si="10"/>
        <v>-4.0999999999999996</v>
      </c>
      <c r="AI90" s="427"/>
      <c r="AJ90" s="2541">
        <f>ROUND(SUM(AH90/ABS(AE90)),3)</f>
        <v>-2.1999999999999999E-2</v>
      </c>
    </row>
    <row r="91" spans="1:36" ht="15">
      <c r="A91" s="1669" t="s">
        <v>1401</v>
      </c>
      <c r="B91" s="427"/>
      <c r="C91" s="971">
        <f>+'Exhibit G State'!D72</f>
        <v>0</v>
      </c>
      <c r="D91" s="971"/>
      <c r="E91" s="971">
        <f>+'Exhibit G State'!F72+'Exhibit F'!F83</f>
        <v>1.1000000000000001</v>
      </c>
      <c r="F91" s="971"/>
      <c r="G91" s="971">
        <f>+'Exhibit G State'!H72+'Exhibit F'!H83</f>
        <v>0.1</v>
      </c>
      <c r="H91" s="971"/>
      <c r="I91" s="971">
        <f>+'Exhibit G State'!J72+'Exhibit F'!J83</f>
        <v>0.4</v>
      </c>
      <c r="J91" s="971"/>
      <c r="K91" s="971">
        <f>+'Exhibit G State'!L72+'Exhibit F'!L83</f>
        <v>0.3</v>
      </c>
      <c r="L91" s="971"/>
      <c r="M91" s="971">
        <f>+'Exhibit G State'!N72+'Exhibit F'!N83</f>
        <v>0.3</v>
      </c>
      <c r="N91" s="971"/>
      <c r="O91" s="971">
        <f>+'Exhibit G State'!P72+'Exhibit F'!P83</f>
        <v>0.4</v>
      </c>
      <c r="P91" s="971"/>
      <c r="Q91" s="971">
        <f>+'Exhibit G State'!R72+'Exhibit F'!R83</f>
        <v>0.8</v>
      </c>
      <c r="R91" s="971"/>
      <c r="S91" s="971">
        <f>+'Exhibit G State'!T72+'Exhibit F'!T83</f>
        <v>0.6</v>
      </c>
      <c r="T91" s="971"/>
      <c r="U91" s="971">
        <f>+'Exhibit G State'!V72+'Exhibit F'!V83</f>
        <v>0.7</v>
      </c>
      <c r="V91" s="971"/>
      <c r="W91" s="971"/>
      <c r="X91" s="971"/>
      <c r="Y91" s="971"/>
      <c r="Z91" s="971"/>
      <c r="AA91" s="972"/>
      <c r="AB91" s="971">
        <f t="shared" si="13"/>
        <v>4.7</v>
      </c>
      <c r="AC91" s="971"/>
      <c r="AD91" s="973"/>
      <c r="AE91" s="971">
        <f>+'Exhibit G State'!AF72+'Exhibit F'!AF83</f>
        <v>4.7</v>
      </c>
      <c r="AF91" s="983"/>
      <c r="AG91" s="983"/>
      <c r="AH91" s="971">
        <f t="shared" si="10"/>
        <v>0</v>
      </c>
      <c r="AI91" s="427"/>
      <c r="AJ91" s="1764">
        <f t="shared" ref="AJ91:AJ99" si="14">ROUND(SUM(AH91/ABS(AE91)),3)</f>
        <v>0</v>
      </c>
    </row>
    <row r="92" spans="1:36" ht="15">
      <c r="A92" s="1669" t="s">
        <v>1402</v>
      </c>
      <c r="B92" s="427"/>
      <c r="C92" s="971">
        <f>+'Exhibit F'!D84+'Exhibit G State'!D73</f>
        <v>1.2000000000000002</v>
      </c>
      <c r="D92" s="971"/>
      <c r="E92" s="971">
        <f>+'Exhibit F'!F84+'Exhibit G State'!F73</f>
        <v>1.3</v>
      </c>
      <c r="F92" s="971"/>
      <c r="G92" s="971">
        <f>+'Exhibit F'!H84+'Exhibit G State'!H73</f>
        <v>1.1000000000000001</v>
      </c>
      <c r="H92" s="971"/>
      <c r="I92" s="971">
        <f>+'Exhibit F'!J84+'Exhibit G State'!J73</f>
        <v>0.5</v>
      </c>
      <c r="J92" s="971"/>
      <c r="K92" s="971">
        <f>+'Exhibit F'!L84+'Exhibit G State'!L73</f>
        <v>1</v>
      </c>
      <c r="L92" s="971"/>
      <c r="M92" s="971">
        <f>+'Exhibit F'!N84+'Exhibit G State'!N73</f>
        <v>1.7</v>
      </c>
      <c r="N92" s="971"/>
      <c r="O92" s="971">
        <f>+'Exhibit F'!P84+'Exhibit G State'!P73</f>
        <v>0.9</v>
      </c>
      <c r="P92" s="971"/>
      <c r="Q92" s="971">
        <f>+'Exhibit F'!R84+'Exhibit G State'!R73</f>
        <v>0.5</v>
      </c>
      <c r="R92" s="971"/>
      <c r="S92" s="971">
        <f>+'Exhibit F'!T84+'Exhibit G State'!T73</f>
        <v>0.2</v>
      </c>
      <c r="T92" s="971"/>
      <c r="U92" s="971">
        <f>+'Exhibit F'!V84+'Exhibit G State'!V73</f>
        <v>0.9</v>
      </c>
      <c r="V92" s="971"/>
      <c r="W92" s="971"/>
      <c r="X92" s="971"/>
      <c r="Y92" s="971"/>
      <c r="Z92" s="971"/>
      <c r="AA92" s="972"/>
      <c r="AB92" s="971">
        <f t="shared" si="13"/>
        <v>9.3000000000000007</v>
      </c>
      <c r="AC92" s="971"/>
      <c r="AD92" s="973"/>
      <c r="AE92" s="971">
        <f>+'Exhibit F'!AF84+'Exhibit G State'!AF73</f>
        <v>9.8000000000000007</v>
      </c>
      <c r="AF92" s="983"/>
      <c r="AG92" s="983"/>
      <c r="AH92" s="971">
        <f t="shared" si="10"/>
        <v>-0.5</v>
      </c>
      <c r="AI92" s="427"/>
      <c r="AJ92" s="1764">
        <f t="shared" si="14"/>
        <v>-5.0999999999999997E-2</v>
      </c>
    </row>
    <row r="93" spans="1:36" ht="15">
      <c r="A93" s="1669" t="s">
        <v>1403</v>
      </c>
      <c r="B93" s="427"/>
      <c r="C93" s="971">
        <f>+'Exhibit F'!D85+'Exhibit G State'!D74</f>
        <v>0.9</v>
      </c>
      <c r="D93" s="971"/>
      <c r="E93" s="971">
        <f>+'Exhibit F'!F85+'Exhibit G State'!F74</f>
        <v>13.4</v>
      </c>
      <c r="F93" s="971"/>
      <c r="G93" s="971">
        <f>+'Exhibit F'!H85+'Exhibit G State'!H74</f>
        <v>11.5</v>
      </c>
      <c r="H93" s="971"/>
      <c r="I93" s="971">
        <f>+'Exhibit F'!J85+'Exhibit G State'!J74</f>
        <v>7.2</v>
      </c>
      <c r="J93" s="971"/>
      <c r="K93" s="971">
        <f>+'Exhibit F'!L85+'Exhibit G State'!L74</f>
        <v>20.800000000000004</v>
      </c>
      <c r="L93" s="971"/>
      <c r="M93" s="971">
        <f>+'Exhibit F'!N85+'Exhibit G State'!N74</f>
        <v>4.5999999999999961</v>
      </c>
      <c r="N93" s="971"/>
      <c r="O93" s="971">
        <f>+'Exhibit F'!P85+'Exhibit G State'!P74</f>
        <v>8.1000000000000014</v>
      </c>
      <c r="P93" s="971"/>
      <c r="Q93" s="971">
        <f>+'Exhibit F'!R85+'Exhibit G State'!R74</f>
        <v>20.299999999999997</v>
      </c>
      <c r="R93" s="971"/>
      <c r="S93" s="971">
        <f>+'Exhibit F'!T85+'Exhibit G State'!T74</f>
        <v>2.2999999999999972</v>
      </c>
      <c r="T93" s="971"/>
      <c r="U93" s="971">
        <f>+'Exhibit F'!V85+'Exhibit G State'!V74</f>
        <v>13.3</v>
      </c>
      <c r="V93" s="971"/>
      <c r="W93" s="971"/>
      <c r="X93" s="971"/>
      <c r="Y93" s="971"/>
      <c r="Z93" s="971"/>
      <c r="AA93" s="972"/>
      <c r="AB93" s="971">
        <f t="shared" si="13"/>
        <v>102.4</v>
      </c>
      <c r="AC93" s="971"/>
      <c r="AD93" s="973"/>
      <c r="AE93" s="971">
        <f>+'Exhibit F'!AF85+'Exhibit G State'!AF74</f>
        <v>92.699999999999989</v>
      </c>
      <c r="AF93" s="983"/>
      <c r="AG93" s="983"/>
      <c r="AH93" s="971">
        <f t="shared" si="10"/>
        <v>9.6999999999999993</v>
      </c>
      <c r="AI93" s="427"/>
      <c r="AJ93" s="1764">
        <f t="shared" si="14"/>
        <v>0.105</v>
      </c>
    </row>
    <row r="94" spans="1:36" ht="15">
      <c r="A94" s="1669" t="s">
        <v>1416</v>
      </c>
      <c r="B94" s="427"/>
      <c r="C94" s="971">
        <f>+'Exhibit H'!B41+'Exhibit G State'!D75</f>
        <v>195.7</v>
      </c>
      <c r="D94" s="971"/>
      <c r="E94" s="971">
        <f>+'Exhibit H'!D41+'Exhibit G State'!F75</f>
        <v>138.5</v>
      </c>
      <c r="F94" s="971"/>
      <c r="G94" s="971">
        <f>+'Exhibit H'!F41+'Exhibit G State'!H75</f>
        <v>300.3</v>
      </c>
      <c r="H94" s="971"/>
      <c r="I94" s="971">
        <f>+'Exhibit H'!H41+'Exhibit G State'!J75</f>
        <v>173.6</v>
      </c>
      <c r="J94" s="971"/>
      <c r="K94" s="971">
        <f>+'Exhibit H'!J41+'Exhibit G State'!L75</f>
        <v>21.4</v>
      </c>
      <c r="L94" s="971"/>
      <c r="M94" s="971">
        <f>+'Exhibit H'!L41+'Exhibit G State'!N75</f>
        <v>376.1</v>
      </c>
      <c r="N94" s="971"/>
      <c r="O94" s="971">
        <f>+'Exhibit H'!N41+'Exhibit G State'!P75</f>
        <v>158.70000000000007</v>
      </c>
      <c r="P94" s="971"/>
      <c r="Q94" s="971">
        <f>+'Exhibit H'!P41+'Exhibit G State'!R75</f>
        <v>241.20000000000002</v>
      </c>
      <c r="R94" s="971"/>
      <c r="S94" s="971">
        <f>+'Exhibit H'!R41+'Exhibit G State'!T75</f>
        <v>187.6</v>
      </c>
      <c r="T94" s="971"/>
      <c r="U94" s="971">
        <f>+'Exhibit H'!T41+'Exhibit G State'!V75</f>
        <v>135.69999999999996</v>
      </c>
      <c r="V94" s="971"/>
      <c r="W94" s="971"/>
      <c r="X94" s="971"/>
      <c r="Y94" s="971"/>
      <c r="Z94" s="971"/>
      <c r="AA94" s="972"/>
      <c r="AB94" s="971">
        <f t="shared" si="13"/>
        <v>1928.8</v>
      </c>
      <c r="AC94" s="971"/>
      <c r="AD94" s="973"/>
      <c r="AE94" s="971">
        <f>+'Exhibit H'!AD41+'Exhibit G State'!AF75</f>
        <v>1852.9</v>
      </c>
      <c r="AF94" s="983"/>
      <c r="AG94" s="983"/>
      <c r="AH94" s="971">
        <f t="shared" si="10"/>
        <v>75.900000000000006</v>
      </c>
      <c r="AI94" s="427"/>
      <c r="AJ94" s="2541">
        <f t="shared" si="14"/>
        <v>4.1000000000000002E-2</v>
      </c>
    </row>
    <row r="95" spans="1:36" ht="15">
      <c r="A95" s="1669" t="s">
        <v>1404</v>
      </c>
      <c r="B95" s="427"/>
      <c r="C95" s="971">
        <f>+'Exhibit G State'!D76+'Exhibit F'!D86</f>
        <v>3.4</v>
      </c>
      <c r="D95" s="971"/>
      <c r="E95" s="971">
        <f>+'Exhibit G State'!F76+'Exhibit F'!F86</f>
        <v>1.7</v>
      </c>
      <c r="F95" s="971"/>
      <c r="G95" s="971">
        <f>+'Exhibit G State'!H76+'Exhibit F'!H86</f>
        <v>7.4999999999999991</v>
      </c>
      <c r="H95" s="971"/>
      <c r="I95" s="971">
        <f>+'Exhibit G State'!J76+'Exhibit F'!J86</f>
        <v>7.3</v>
      </c>
      <c r="J95" s="971"/>
      <c r="K95" s="971">
        <f>+'Exhibit G State'!L76+'Exhibit F'!L86</f>
        <v>4.2</v>
      </c>
      <c r="L95" s="971"/>
      <c r="M95" s="971">
        <f>+'Exhibit G State'!N76+'Exhibit F'!N86</f>
        <v>3</v>
      </c>
      <c r="N95" s="971"/>
      <c r="O95" s="971">
        <f>+'Exhibit G State'!P76+'Exhibit F'!P86</f>
        <v>10</v>
      </c>
      <c r="P95" s="971"/>
      <c r="Q95" s="971">
        <f>+'Exhibit G State'!R76+'Exhibit F'!R86</f>
        <v>5</v>
      </c>
      <c r="R95" s="971"/>
      <c r="S95" s="971">
        <f>+'Exhibit G State'!T76+'Exhibit F'!T86</f>
        <v>2.6</v>
      </c>
      <c r="T95" s="971"/>
      <c r="U95" s="971">
        <f>+'Exhibit G State'!V76+'Exhibit F'!V86</f>
        <v>4.8999999999999995</v>
      </c>
      <c r="V95" s="971"/>
      <c r="W95" s="971"/>
      <c r="X95" s="971"/>
      <c r="Y95" s="971"/>
      <c r="Z95" s="971"/>
      <c r="AA95" s="972"/>
      <c r="AB95" s="971">
        <f t="shared" si="13"/>
        <v>49.6</v>
      </c>
      <c r="AC95" s="971"/>
      <c r="AD95" s="973"/>
      <c r="AE95" s="971">
        <f>+'Exhibit G State'!AF76+'Exhibit F'!AF86</f>
        <v>42.9</v>
      </c>
      <c r="AF95" s="983"/>
      <c r="AG95" s="983"/>
      <c r="AH95" s="971">
        <f t="shared" si="10"/>
        <v>6.7</v>
      </c>
      <c r="AI95" s="427"/>
      <c r="AJ95" s="1764">
        <f t="shared" si="14"/>
        <v>0.156</v>
      </c>
    </row>
    <row r="96" spans="1:36" ht="15">
      <c r="A96" s="1669" t="s">
        <v>1405</v>
      </c>
      <c r="B96" s="427"/>
      <c r="C96" s="971">
        <f>+'Exhibit F'!D87+'Exhibit G State'!D77</f>
        <v>5.3999999999999995</v>
      </c>
      <c r="D96" s="971"/>
      <c r="E96" s="971">
        <f>+'Exhibit F'!F87+'Exhibit G State'!F77</f>
        <v>8.7000000000000011</v>
      </c>
      <c r="F96" s="971"/>
      <c r="G96" s="971">
        <f>+'Exhibit F'!H87+'Exhibit G State'!H77</f>
        <v>1</v>
      </c>
      <c r="H96" s="971"/>
      <c r="I96" s="971">
        <f>+'Exhibit F'!J87+'Exhibit G State'!J77</f>
        <v>11.4</v>
      </c>
      <c r="J96" s="971"/>
      <c r="K96" s="971">
        <f>+'Exhibit F'!L87+'Exhibit G State'!L77</f>
        <v>0.3</v>
      </c>
      <c r="L96" s="971"/>
      <c r="M96" s="971">
        <f>+'Exhibit F'!N87+'Exhibit G State'!N77</f>
        <v>2.2999999999999998</v>
      </c>
      <c r="N96" s="971"/>
      <c r="O96" s="971">
        <f>+'Exhibit F'!P87+'Exhibit G State'!P77</f>
        <v>6.3</v>
      </c>
      <c r="P96" s="971"/>
      <c r="Q96" s="971">
        <f>+'Exhibit F'!R87+'Exhibit G State'!R77</f>
        <v>7.5</v>
      </c>
      <c r="R96" s="971"/>
      <c r="S96" s="971">
        <f>+'Exhibit F'!T87+'Exhibit G State'!T77</f>
        <v>1.3</v>
      </c>
      <c r="T96" s="971"/>
      <c r="U96" s="971">
        <f>+'Exhibit F'!V87+'Exhibit G State'!V77</f>
        <v>2.6</v>
      </c>
      <c r="V96" s="971"/>
      <c r="W96" s="971"/>
      <c r="X96" s="971"/>
      <c r="Y96" s="971"/>
      <c r="Z96" s="971"/>
      <c r="AA96" s="972"/>
      <c r="AB96" s="971">
        <f t="shared" si="13"/>
        <v>46.8</v>
      </c>
      <c r="AC96" s="971"/>
      <c r="AD96" s="973"/>
      <c r="AE96" s="971">
        <f>+'Exhibit F'!AF87+'Exhibit G State'!AF77</f>
        <v>278.89999999999998</v>
      </c>
      <c r="AF96" s="983"/>
      <c r="AG96" s="983"/>
      <c r="AH96" s="971">
        <f t="shared" si="10"/>
        <v>-232.1</v>
      </c>
      <c r="AI96" s="427"/>
      <c r="AJ96" s="1764">
        <f t="shared" si="14"/>
        <v>-0.83199999999999996</v>
      </c>
    </row>
    <row r="97" spans="1:45" ht="15">
      <c r="A97" s="1669" t="s">
        <v>1406</v>
      </c>
      <c r="B97" s="427"/>
      <c r="C97" s="971">
        <f>+'Exhibit F'!D88+'Exhibit G State'!D78</f>
        <v>8.1</v>
      </c>
      <c r="D97" s="971"/>
      <c r="E97" s="971">
        <f>+'Exhibit F'!F88+'Exhibit G State'!F78</f>
        <v>9.3000000000000007</v>
      </c>
      <c r="F97" s="971"/>
      <c r="G97" s="971">
        <f>+'Exhibit F'!H88+'Exhibit G State'!H78</f>
        <v>13.3</v>
      </c>
      <c r="H97" s="971"/>
      <c r="I97" s="971">
        <f>+'Exhibit F'!J88+'Exhibit G State'!J78</f>
        <v>8.1999999999999993</v>
      </c>
      <c r="J97" s="971"/>
      <c r="K97" s="971">
        <f>+'Exhibit F'!L88+'Exhibit G State'!L78</f>
        <v>10.5</v>
      </c>
      <c r="L97" s="971"/>
      <c r="M97" s="971">
        <f>+'Exhibit F'!N88+'Exhibit G State'!N78</f>
        <v>31.8</v>
      </c>
      <c r="N97" s="971"/>
      <c r="O97" s="971">
        <f>+'Exhibit F'!P88+'Exhibit G State'!P78</f>
        <v>7.3</v>
      </c>
      <c r="P97" s="971"/>
      <c r="Q97" s="971">
        <f>+'Exhibit F'!R88+'Exhibit G State'!R78</f>
        <v>6.2</v>
      </c>
      <c r="R97" s="971"/>
      <c r="S97" s="971">
        <f>+'Exhibit F'!T88+'Exhibit G State'!T78</f>
        <v>8.1</v>
      </c>
      <c r="T97" s="971"/>
      <c r="U97" s="971">
        <f>+'Exhibit F'!V88+'Exhibit G State'!V78</f>
        <v>7.8</v>
      </c>
      <c r="V97" s="971"/>
      <c r="W97" s="971"/>
      <c r="X97" s="971"/>
      <c r="Y97" s="971"/>
      <c r="Z97" s="971"/>
      <c r="AA97" s="972"/>
      <c r="AB97" s="971">
        <f t="shared" si="13"/>
        <v>110.6</v>
      </c>
      <c r="AC97" s="971"/>
      <c r="AD97" s="973"/>
      <c r="AE97" s="971">
        <f>+'Exhibit F'!AF88+'Exhibit G State'!AF78</f>
        <v>97.3</v>
      </c>
      <c r="AF97" s="983"/>
      <c r="AG97" s="983"/>
      <c r="AH97" s="971">
        <f t="shared" si="10"/>
        <v>13.3</v>
      </c>
      <c r="AI97" s="427"/>
      <c r="AJ97" s="1764">
        <f t="shared" si="14"/>
        <v>0.13700000000000001</v>
      </c>
    </row>
    <row r="98" spans="1:45" ht="15">
      <c r="A98" s="1669" t="s">
        <v>1407</v>
      </c>
      <c r="B98" s="427"/>
      <c r="C98" s="971">
        <f>+'Exhibit F'!D89+'Exhibit G State'!D79</f>
        <v>51.3</v>
      </c>
      <c r="D98" s="971"/>
      <c r="E98" s="971">
        <f>+'Exhibit F'!F89+'Exhibit G State'!F79</f>
        <v>35.300000000000004</v>
      </c>
      <c r="F98" s="971"/>
      <c r="G98" s="971">
        <f>+'Exhibit F'!H89+'Exhibit G State'!H79</f>
        <v>36.300000000000004</v>
      </c>
      <c r="H98" s="971"/>
      <c r="I98" s="971">
        <f>+'Exhibit F'!J89+'Exhibit G State'!J79</f>
        <v>26.599999999999998</v>
      </c>
      <c r="J98" s="971"/>
      <c r="K98" s="971">
        <f>+'Exhibit F'!L89+'Exhibit G State'!L79</f>
        <v>46.7</v>
      </c>
      <c r="L98" s="971"/>
      <c r="M98" s="971">
        <f>+'Exhibit F'!N89+'Exhibit G State'!N79</f>
        <v>40.300000000000004</v>
      </c>
      <c r="N98" s="971"/>
      <c r="O98" s="971">
        <f>+'Exhibit F'!P89+'Exhibit G State'!P79</f>
        <v>49.1</v>
      </c>
      <c r="P98" s="971"/>
      <c r="Q98" s="971">
        <f>+'Exhibit F'!R89+'Exhibit G State'!R79</f>
        <v>48.7</v>
      </c>
      <c r="R98" s="971"/>
      <c r="S98" s="971">
        <f>+'Exhibit F'!T89+'Exhibit G State'!T79</f>
        <v>29.8</v>
      </c>
      <c r="T98" s="971"/>
      <c r="U98" s="971">
        <f>+'Exhibit F'!V89+'Exhibit G State'!V79</f>
        <v>32.5</v>
      </c>
      <c r="V98" s="971"/>
      <c r="W98" s="971"/>
      <c r="X98" s="971"/>
      <c r="Y98" s="971"/>
      <c r="Z98" s="971"/>
      <c r="AA98" s="972"/>
      <c r="AB98" s="971">
        <f t="shared" si="13"/>
        <v>396.6</v>
      </c>
      <c r="AC98" s="971"/>
      <c r="AD98" s="973"/>
      <c r="AE98" s="971">
        <f>+'Exhibit F'!AF89+'Exhibit G State'!AF79</f>
        <v>410.70000000000005</v>
      </c>
      <c r="AF98" s="983"/>
      <c r="AG98" s="983"/>
      <c r="AH98" s="971">
        <f t="shared" si="10"/>
        <v>-14.1</v>
      </c>
      <c r="AI98" s="427"/>
      <c r="AJ98" s="2541">
        <f t="shared" si="14"/>
        <v>-3.4000000000000002E-2</v>
      </c>
    </row>
    <row r="99" spans="1:45" ht="15">
      <c r="A99" s="1669" t="s">
        <v>1143</v>
      </c>
      <c r="B99" s="427"/>
      <c r="C99" s="971">
        <f>+'Exhibit F'!D90+'Exhibit G State'!D80+'Exhibit H'!B42</f>
        <v>0.4</v>
      </c>
      <c r="D99" s="971"/>
      <c r="E99" s="971">
        <f>+'Exhibit F'!F90+'Exhibit G State'!F80+'Exhibit H'!D42</f>
        <v>1.3</v>
      </c>
      <c r="F99" s="971"/>
      <c r="G99" s="971">
        <f>+'Exhibit F'!H90+'Exhibit G State'!H80+'Exhibit H'!F42</f>
        <v>0.9</v>
      </c>
      <c r="H99" s="971"/>
      <c r="I99" s="971">
        <f>+'Exhibit F'!J90+'Exhibit G State'!J80+'Exhibit H'!H42</f>
        <v>1.3</v>
      </c>
      <c r="J99" s="971"/>
      <c r="K99" s="971">
        <f>+'Exhibit F'!L90+'Exhibit G State'!L80+'Exhibit H'!J42</f>
        <v>1.1000000000000001</v>
      </c>
      <c r="L99" s="971"/>
      <c r="M99" s="971">
        <f>+'Exhibit F'!N90+'Exhibit G State'!N80+'Exhibit H'!L42</f>
        <v>1.2</v>
      </c>
      <c r="N99" s="971"/>
      <c r="O99" s="971">
        <f>+'Exhibit F'!P90+'Exhibit G State'!P80+'Exhibit H'!N42</f>
        <v>1.2</v>
      </c>
      <c r="P99" s="971"/>
      <c r="Q99" s="971">
        <f>+'Exhibit F'!R90+'Exhibit G State'!R80+'Exhibit H'!P42</f>
        <v>1.2</v>
      </c>
      <c r="R99" s="971"/>
      <c r="S99" s="971">
        <f>+'Exhibit F'!T90+'Exhibit G State'!T80+'Exhibit H'!R42</f>
        <v>3.2</v>
      </c>
      <c r="T99" s="971"/>
      <c r="U99" s="971">
        <f>+'Exhibit F'!V90+'Exhibit G State'!V80+'Exhibit H'!T42</f>
        <v>4.0999999999999996</v>
      </c>
      <c r="V99" s="971"/>
      <c r="W99" s="971"/>
      <c r="X99" s="971"/>
      <c r="Y99" s="971"/>
      <c r="Z99" s="971"/>
      <c r="AA99" s="972"/>
      <c r="AB99" s="971">
        <f t="shared" si="13"/>
        <v>15.9</v>
      </c>
      <c r="AC99" s="971"/>
      <c r="AD99" s="973"/>
      <c r="AE99" s="971">
        <f>+'Exhibit F'!AF90+'Exhibit G State'!AF80+'Exhibit H'!AD42</f>
        <v>21.700000000000003</v>
      </c>
      <c r="AF99" s="983"/>
      <c r="AG99" s="983"/>
      <c r="AH99" s="971">
        <f t="shared" si="10"/>
        <v>-5.8</v>
      </c>
      <c r="AI99" s="427"/>
      <c r="AJ99" s="1764">
        <f t="shared" si="14"/>
        <v>-0.26700000000000002</v>
      </c>
    </row>
    <row r="100" spans="1:45" ht="15">
      <c r="A100" s="1669" t="s">
        <v>1144</v>
      </c>
      <c r="B100" s="427"/>
      <c r="C100" s="971">
        <f>+'Exhibit G State'!D81</f>
        <v>43.8</v>
      </c>
      <c r="D100" s="971"/>
      <c r="E100" s="971">
        <f>+'Exhibit G State'!F81</f>
        <v>42.4</v>
      </c>
      <c r="F100" s="971"/>
      <c r="G100" s="971">
        <f>+'Exhibit G State'!H81</f>
        <v>77.3</v>
      </c>
      <c r="H100" s="971"/>
      <c r="I100" s="971">
        <f>+'Exhibit G State'!J81</f>
        <v>37.799999999999997</v>
      </c>
      <c r="J100" s="971"/>
      <c r="K100" s="971">
        <f>+'Exhibit G State'!L81</f>
        <v>193.3</v>
      </c>
      <c r="L100" s="971"/>
      <c r="M100" s="971">
        <f>+'Exhibit G State'!N81</f>
        <v>415.2</v>
      </c>
      <c r="N100" s="971"/>
      <c r="O100" s="971">
        <f>+'Exhibit G State'!P81</f>
        <v>167.1</v>
      </c>
      <c r="P100" s="971"/>
      <c r="Q100" s="971">
        <f>+'Exhibit G State'!R81</f>
        <v>67.3</v>
      </c>
      <c r="R100" s="971"/>
      <c r="S100" s="971">
        <f>+'Exhibit G State'!T81</f>
        <v>54.1</v>
      </c>
      <c r="T100" s="971"/>
      <c r="U100" s="971">
        <f>+'Exhibit G State'!V81</f>
        <v>285.8</v>
      </c>
      <c r="V100" s="971"/>
      <c r="W100" s="971"/>
      <c r="X100" s="971"/>
      <c r="Y100" s="971"/>
      <c r="Z100" s="971"/>
      <c r="AA100" s="972"/>
      <c r="AB100" s="971">
        <f t="shared" si="13"/>
        <v>1384.1</v>
      </c>
      <c r="AC100" s="971"/>
      <c r="AD100" s="973"/>
      <c r="AE100" s="971">
        <f>+'Exhibit G State'!AF81</f>
        <v>1368.3</v>
      </c>
      <c r="AF100" s="983"/>
      <c r="AG100" s="983"/>
      <c r="AH100" s="971">
        <f t="shared" si="10"/>
        <v>15.8</v>
      </c>
      <c r="AI100" s="427"/>
      <c r="AJ100" s="1764">
        <f>ROUND(SUM(AH100/ABS(AE100)),3)</f>
        <v>1.2E-2</v>
      </c>
    </row>
    <row r="101" spans="1:45" ht="15.6">
      <c r="A101" s="583" t="s">
        <v>1179</v>
      </c>
      <c r="B101" s="410"/>
      <c r="C101" s="480">
        <f>ROUND(SUM(C61:C100),1)</f>
        <v>1387.2</v>
      </c>
      <c r="D101" s="1932"/>
      <c r="E101" s="480">
        <f>ROUND(SUM(E61:E100),1)</f>
        <v>1744.9</v>
      </c>
      <c r="F101" s="1932"/>
      <c r="G101" s="480">
        <f>ROUND(SUM(G61:G100),1)</f>
        <v>1681</v>
      </c>
      <c r="H101" s="1719"/>
      <c r="I101" s="480">
        <f>ROUND(SUM(I61:I100),1)</f>
        <v>1446.1</v>
      </c>
      <c r="J101" s="1719"/>
      <c r="K101" s="480">
        <f>ROUND(SUM(K61:K100),1)</f>
        <v>1582</v>
      </c>
      <c r="L101" s="1719"/>
      <c r="M101" s="480">
        <f>ROUND(SUM(M61:M100),1)</f>
        <v>2583.6999999999998</v>
      </c>
      <c r="N101" s="1719"/>
      <c r="O101" s="480">
        <f>ROUND(SUM(O61:O100),1)</f>
        <v>1557.6</v>
      </c>
      <c r="P101" s="1719"/>
      <c r="Q101" s="480">
        <f>ROUND(SUM(Q61:Q100),1)</f>
        <v>1869.7</v>
      </c>
      <c r="R101" s="1719"/>
      <c r="S101" s="480">
        <f>ROUND(SUM(S61:S100),1)</f>
        <v>1742.2</v>
      </c>
      <c r="T101" s="1719"/>
      <c r="U101" s="480">
        <f>ROUND(SUM(U61:U100),1)</f>
        <v>1805.1</v>
      </c>
      <c r="V101" s="1719"/>
      <c r="W101" s="480">
        <f>ROUND(SUM(W61:W100),1)</f>
        <v>0</v>
      </c>
      <c r="X101" s="407"/>
      <c r="Y101" s="480">
        <f>ROUND(SUM(Y61:Y100),1)</f>
        <v>0</v>
      </c>
      <c r="Z101" s="407"/>
      <c r="AA101" s="481"/>
      <c r="AB101" s="480">
        <f>ROUND(SUM(AB61:AB100),1)</f>
        <v>17399.5</v>
      </c>
      <c r="AC101" s="1719"/>
      <c r="AD101" s="258"/>
      <c r="AE101" s="480">
        <f>ROUND(SUM(AE61:AE100),1)</f>
        <v>17360.8</v>
      </c>
      <c r="AF101" s="272"/>
      <c r="AG101" s="1941"/>
      <c r="AH101" s="480">
        <f>ROUND(SUM(AH61:AH100),1)</f>
        <v>38.700000000000003</v>
      </c>
      <c r="AI101" s="272"/>
      <c r="AJ101" s="1933">
        <f>ROUND(SUM(+AH101/ABS(AE101)),3)</f>
        <v>2E-3</v>
      </c>
    </row>
    <row r="102" spans="1:45" ht="15">
      <c r="A102" s="427"/>
      <c r="B102" s="427"/>
      <c r="C102" s="971"/>
      <c r="D102" s="971"/>
      <c r="E102" s="971"/>
      <c r="F102" s="971"/>
      <c r="G102" s="971"/>
      <c r="H102" s="971"/>
      <c r="I102" s="971"/>
      <c r="J102" s="971"/>
      <c r="K102" s="971"/>
      <c r="L102" s="971"/>
      <c r="M102" s="971"/>
      <c r="N102" s="971"/>
      <c r="O102" s="971"/>
      <c r="P102" s="971"/>
      <c r="Q102" s="971"/>
      <c r="R102" s="971"/>
      <c r="S102" s="971"/>
      <c r="T102" s="971"/>
      <c r="U102" s="971"/>
      <c r="V102" s="971"/>
      <c r="X102" s="971"/>
      <c r="Y102" s="971"/>
      <c r="Z102" s="971"/>
      <c r="AA102" s="1763"/>
      <c r="AB102" s="971"/>
      <c r="AC102" s="983"/>
      <c r="AD102" s="972"/>
      <c r="AE102" s="971"/>
      <c r="AF102" s="983"/>
      <c r="AG102" s="983"/>
      <c r="AH102" s="971"/>
      <c r="AI102" s="427"/>
      <c r="AJ102" s="1764"/>
    </row>
    <row r="103" spans="1:45" ht="15">
      <c r="A103" s="427" t="s">
        <v>21</v>
      </c>
      <c r="B103" s="427"/>
      <c r="C103" s="976">
        <f>+'Exhibit F'!D93+'Exhibit G State'!D84+'Exhibit H'!B45</f>
        <v>0</v>
      </c>
      <c r="D103" s="971"/>
      <c r="E103" s="976">
        <f>+'Exhibit F'!F93+'Exhibit G State'!F84+'Exhibit H'!D45</f>
        <v>0</v>
      </c>
      <c r="F103" s="971"/>
      <c r="G103" s="976">
        <f>+'Exhibit F'!H93+'Exhibit G State'!H84+'Exhibit H'!F45</f>
        <v>0</v>
      </c>
      <c r="H103" s="971"/>
      <c r="I103" s="976">
        <f>+'Exhibit F'!J93+'Exhibit G State'!J84+'Exhibit H'!H45</f>
        <v>2</v>
      </c>
      <c r="J103" s="971"/>
      <c r="K103" s="976">
        <f>+'Exhibit F'!L93+'Exhibit G State'!L84+'Exhibit H'!J45</f>
        <v>35.1</v>
      </c>
      <c r="L103" s="971"/>
      <c r="M103" s="976">
        <f>+'Exhibit F'!N93+'Exhibit G State'!N84+'Exhibit H'!L45</f>
        <v>0</v>
      </c>
      <c r="N103" s="971"/>
      <c r="O103" s="976">
        <f>+'Exhibit F'!P93+'Exhibit G State'!P84+'Exhibit H'!N45</f>
        <v>0.1</v>
      </c>
      <c r="P103" s="971"/>
      <c r="Q103" s="976">
        <f>+'Exhibit F'!R93+'Exhibit G State'!R84+'Exhibit H'!P45</f>
        <v>0.1</v>
      </c>
      <c r="R103" s="971"/>
      <c r="S103" s="976">
        <f>+'Exhibit F'!T93+'Exhibit G State'!T84+'Exhibit H'!R45</f>
        <v>0</v>
      </c>
      <c r="T103" s="971"/>
      <c r="U103" s="976">
        <f>+'Exhibit F'!V93+'Exhibit G State'!V84+'Exhibit H'!T45</f>
        <v>1.7000000000000002</v>
      </c>
      <c r="V103" s="971"/>
      <c r="W103" s="976"/>
      <c r="X103" s="971"/>
      <c r="Y103" s="976"/>
      <c r="Z103" s="971"/>
      <c r="AA103" s="972"/>
      <c r="AB103" s="976">
        <f>ROUND(SUM(C103:Y103),1)</f>
        <v>39</v>
      </c>
      <c r="AC103" s="971"/>
      <c r="AD103" s="973"/>
      <c r="AE103" s="976">
        <f>'Exhibit F'!AF93+'Exhibit H'!AD45+'Exhibit G State'!AF84</f>
        <v>37.299999999999997</v>
      </c>
      <c r="AF103" s="983"/>
      <c r="AG103" s="983"/>
      <c r="AH103" s="976">
        <f>ROUND(SUM(AB103-AE103),1)</f>
        <v>1.7</v>
      </c>
      <c r="AI103" s="427"/>
      <c r="AJ103" s="3008">
        <f>ROUND(IF(AE103=0,1,AH103/ABS(AE103)),3)</f>
        <v>4.5999999999999999E-2</v>
      </c>
    </row>
    <row r="104" spans="1:45" ht="15">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83"/>
      <c r="AH104" s="971"/>
      <c r="AI104" s="427"/>
      <c r="AJ104" s="977"/>
    </row>
    <row r="105" spans="1:45" ht="15.6">
      <c r="A105" s="221" t="s">
        <v>154</v>
      </c>
      <c r="B105" s="222"/>
      <c r="C105" s="1584">
        <f>ROUND(SUM(C103+C101+C57),1)</f>
        <v>8428.7999999999993</v>
      </c>
      <c r="D105" s="1719"/>
      <c r="E105" s="1584">
        <f>ROUND(SUM(E103+E101+E57),1)</f>
        <v>5543.9</v>
      </c>
      <c r="F105" s="1719"/>
      <c r="G105" s="1584">
        <f>ROUND(SUM(G103+G101+G57),1)</f>
        <v>9198.2000000000007</v>
      </c>
      <c r="H105" s="1719"/>
      <c r="I105" s="1584">
        <f>ROUND(SUM(I103+I101+I57),1)</f>
        <v>5756.1</v>
      </c>
      <c r="J105" s="1719"/>
      <c r="K105" s="1584">
        <f>ROUND(SUM(K103+K101+K57),1)</f>
        <v>6686.4</v>
      </c>
      <c r="L105" s="1719"/>
      <c r="M105" s="1584">
        <f>ROUND(SUM(M103+M101+M57),1)</f>
        <v>10303.299999999999</v>
      </c>
      <c r="N105" s="1719"/>
      <c r="O105" s="1584">
        <f>ROUND(SUM(O103+O101+O57),1)</f>
        <v>5798.3</v>
      </c>
      <c r="P105" s="1719"/>
      <c r="Q105" s="1584">
        <f>ROUND(SUM(Q103+Q101+Q57),1)</f>
        <v>5922.4</v>
      </c>
      <c r="R105" s="1719"/>
      <c r="S105" s="1584">
        <f>ROUND(SUM(S103+S101+S57),1)</f>
        <v>11882.9</v>
      </c>
      <c r="T105" s="1719"/>
      <c r="U105" s="1584">
        <f>ROUND(SUM(U103+U101+U57),1)</f>
        <v>14811.7</v>
      </c>
      <c r="V105" s="1719"/>
      <c r="W105" s="1584">
        <f>ROUND(SUM(W103+W101+W57),1)</f>
        <v>0</v>
      </c>
      <c r="X105" s="407"/>
      <c r="Y105" s="1584">
        <f>ROUND(SUM(Y103+Y101+Y57),1)</f>
        <v>0</v>
      </c>
      <c r="Z105" s="474"/>
      <c r="AA105" s="475"/>
      <c r="AB105" s="1584">
        <f>ROUND(SUM(AB103+AB101+AB57),1)</f>
        <v>84332</v>
      </c>
      <c r="AC105" s="1719"/>
      <c r="AD105" s="258"/>
      <c r="AE105" s="1584">
        <f>ROUND(SUM(AE103+AE101+AE57),1)</f>
        <v>78883.5</v>
      </c>
      <c r="AF105" s="272"/>
      <c r="AG105" s="1941"/>
      <c r="AH105" s="1584">
        <f>ROUND(SUM(AH103+AH101+AH57),1)</f>
        <v>5448.5</v>
      </c>
      <c r="AI105" s="272"/>
      <c r="AJ105" s="521">
        <f>ROUND(SUM(+AH105/ABS(AE105)),3)</f>
        <v>6.9000000000000006E-2</v>
      </c>
      <c r="AK105" s="787"/>
      <c r="AL105" s="787"/>
      <c r="AM105" s="787"/>
      <c r="AN105" s="787"/>
      <c r="AO105" s="787"/>
      <c r="AP105" s="787"/>
      <c r="AQ105" s="787"/>
      <c r="AR105" s="787"/>
      <c r="AS105" s="787"/>
    </row>
    <row r="106" spans="1:45" ht="15.6">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83"/>
      <c r="AG106" s="983"/>
      <c r="AH106" s="1111"/>
      <c r="AI106" s="427"/>
      <c r="AJ106" s="1560"/>
    </row>
    <row r="107" spans="1:45" ht="15.6">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83"/>
      <c r="AG107" s="983"/>
      <c r="AH107" s="1111"/>
      <c r="AI107" s="427"/>
      <c r="AJ107" s="1560"/>
    </row>
    <row r="108" spans="1:45" ht="15">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1111"/>
      <c r="AF108" s="983"/>
      <c r="AG108" s="983"/>
      <c r="AH108" s="971"/>
      <c r="AI108" s="427"/>
      <c r="AJ108" s="1764"/>
    </row>
    <row r="109" spans="1:45" ht="15">
      <c r="A109" s="1768" t="s">
        <v>25</v>
      </c>
      <c r="B109" s="427"/>
      <c r="C109" s="971">
        <f>+'Exhibit F'!D99+'Exhibit G State'!D90</f>
        <v>984.1</v>
      </c>
      <c r="D109" s="971"/>
      <c r="E109" s="971">
        <f>+'Exhibit F'!F99+'Exhibit G State'!F90</f>
        <v>3902.6</v>
      </c>
      <c r="F109" s="971"/>
      <c r="G109" s="971">
        <f>+'Exhibit F'!H99+'Exhibit G State'!H90</f>
        <v>3263.3999999999996</v>
      </c>
      <c r="H109" s="971"/>
      <c r="I109" s="971">
        <f>+'Exhibit F'!J99+'Exhibit G State'!J90</f>
        <v>411.20000000000005</v>
      </c>
      <c r="J109" s="971"/>
      <c r="K109" s="971">
        <f>+'Exhibit F'!L99+'Exhibit G State'!L90</f>
        <v>758.4000000000002</v>
      </c>
      <c r="L109" s="971"/>
      <c r="M109" s="971">
        <f>+'Exhibit F'!N99+'Exhibit G State'!N90</f>
        <v>4173.5999999999985</v>
      </c>
      <c r="N109" s="971"/>
      <c r="O109" s="971">
        <f>+'Exhibit F'!P99+'Exhibit G State'!P90</f>
        <v>1077.7000000000014</v>
      </c>
      <c r="P109" s="971"/>
      <c r="Q109" s="971">
        <f>+'Exhibit F'!R99+'Exhibit G State'!R90</f>
        <v>2171.8999999999996</v>
      </c>
      <c r="R109" s="971"/>
      <c r="S109" s="971">
        <f>+'Exhibit F'!T99+'Exhibit G State'!T90</f>
        <v>2340.7999999999997</v>
      </c>
      <c r="T109" s="971"/>
      <c r="U109" s="971">
        <f>+'Exhibit F'!V99+'Exhibit G State'!V90</f>
        <v>3165.7000000000003</v>
      </c>
      <c r="V109" s="971"/>
      <c r="W109" s="1925"/>
      <c r="X109" s="971"/>
      <c r="Y109" s="1925"/>
      <c r="Z109" s="971"/>
      <c r="AA109" s="972"/>
      <c r="AB109" s="1111">
        <f>ROUND(SUM(C109:Y109),1)</f>
        <v>22249.4</v>
      </c>
      <c r="AC109" s="971"/>
      <c r="AD109" s="973"/>
      <c r="AE109" s="1111">
        <f>+'Exhibit F'!AF99+'Exhibit G State'!AF90</f>
        <v>21838.400000000001</v>
      </c>
      <c r="AF109" s="983"/>
      <c r="AG109" s="983"/>
      <c r="AH109" s="971">
        <f>ROUND(SUM(AB109-AE109),1)</f>
        <v>411</v>
      </c>
      <c r="AI109" s="427"/>
      <c r="AJ109" s="1764">
        <f>ROUND(SUM(AH109/ABS(AE109)),3)</f>
        <v>1.9E-2</v>
      </c>
    </row>
    <row r="110" spans="1:45" ht="15">
      <c r="A110" s="1768" t="s">
        <v>26</v>
      </c>
      <c r="B110" s="427"/>
      <c r="C110" s="971">
        <f>+'Exhibit F'!D100+'Exhibit G State'!D91</f>
        <v>0.3</v>
      </c>
      <c r="D110" s="971"/>
      <c r="E110" s="971">
        <f>+'Exhibit F'!F100+'Exhibit G State'!F91</f>
        <v>1.1000000000000001</v>
      </c>
      <c r="F110" s="971"/>
      <c r="G110" s="971">
        <f>+'Exhibit F'!H100+'Exhibit G State'!H91</f>
        <v>0.7</v>
      </c>
      <c r="H110" s="971"/>
      <c r="I110" s="971">
        <f>+'Exhibit F'!J100+'Exhibit G State'!J91</f>
        <v>0.60000000000000009</v>
      </c>
      <c r="J110" s="971"/>
      <c r="K110" s="971">
        <f>+'Exhibit F'!L100+'Exhibit G State'!L91</f>
        <v>0.5</v>
      </c>
      <c r="L110" s="971"/>
      <c r="M110" s="971">
        <f>+'Exhibit F'!N100+'Exhibit G State'!N91</f>
        <v>0.30000000000000004</v>
      </c>
      <c r="N110" s="971"/>
      <c r="O110" s="971">
        <f>+'Exhibit F'!P100+'Exhibit G State'!P91</f>
        <v>0.2</v>
      </c>
      <c r="P110" s="971"/>
      <c r="Q110" s="971">
        <f>+'Exhibit F'!R100+'Exhibit G State'!R91</f>
        <v>0.2</v>
      </c>
      <c r="R110" s="971"/>
      <c r="S110" s="971">
        <f>+'Exhibit F'!T100+'Exhibit G State'!T91</f>
        <v>2.6</v>
      </c>
      <c r="T110" s="971"/>
      <c r="U110" s="971">
        <f>+'Exhibit F'!V100+'Exhibit G State'!V91</f>
        <v>0.79999999999999993</v>
      </c>
      <c r="V110" s="971"/>
      <c r="W110" s="1925"/>
      <c r="X110" s="971"/>
      <c r="Y110" s="1925"/>
      <c r="Z110" s="971"/>
      <c r="AA110" s="972"/>
      <c r="AB110" s="1111">
        <f t="shared" ref="AB110:AB117" si="15">ROUND(SUM(C110:Y110),1)</f>
        <v>7.3</v>
      </c>
      <c r="AC110" s="971"/>
      <c r="AD110" s="973"/>
      <c r="AE110" s="1111">
        <f>+'Exhibit F'!AF100+'Exhibit G State'!AF91</f>
        <v>7.5</v>
      </c>
      <c r="AF110" s="983"/>
      <c r="AG110" s="983"/>
      <c r="AH110" s="971">
        <f t="shared" ref="AH110:AH117" si="16">ROUND(SUM(AB110-AE110),1)</f>
        <v>-0.2</v>
      </c>
      <c r="AI110" s="427"/>
      <c r="AJ110" s="2505">
        <f>ROUND(IF(AE110=0,1,AH110/ABS(AE110)),3)</f>
        <v>-2.7E-2</v>
      </c>
    </row>
    <row r="111" spans="1:45" ht="15">
      <c r="A111" s="1768" t="s">
        <v>27</v>
      </c>
      <c r="B111" s="427"/>
      <c r="C111" s="971">
        <f>+'Exhibit F'!D101+'Exhibit G State'!D92</f>
        <v>17</v>
      </c>
      <c r="D111" s="971"/>
      <c r="E111" s="971">
        <f>+'Exhibit F'!F101+'Exhibit G State'!F92</f>
        <v>29.1</v>
      </c>
      <c r="F111" s="971"/>
      <c r="G111" s="971">
        <f>+'Exhibit F'!H101+'Exhibit G State'!H92</f>
        <v>568.80000000000007</v>
      </c>
      <c r="H111" s="971"/>
      <c r="I111" s="971">
        <f>+'Exhibit F'!J101+'Exhibit G State'!J92</f>
        <v>25.1</v>
      </c>
      <c r="J111" s="971"/>
      <c r="K111" s="971">
        <f>+'Exhibit F'!L101+'Exhibit G State'!L92</f>
        <v>56.100000000000044</v>
      </c>
      <c r="L111" s="971"/>
      <c r="M111" s="971">
        <f>+'Exhibit F'!N101+'Exhibit G State'!N92</f>
        <v>112.00000000000004</v>
      </c>
      <c r="N111" s="971"/>
      <c r="O111" s="971">
        <f>+'Exhibit F'!P101+'Exhibit G State'!P92</f>
        <v>18.7</v>
      </c>
      <c r="P111" s="971"/>
      <c r="Q111" s="971">
        <f>+'Exhibit F'!R101+'Exhibit G State'!R92</f>
        <v>13.8</v>
      </c>
      <c r="R111" s="971"/>
      <c r="S111" s="971">
        <f>+'Exhibit F'!T101+'Exhibit G State'!T92</f>
        <v>187</v>
      </c>
      <c r="T111" s="971"/>
      <c r="U111" s="971">
        <f>+'Exhibit F'!V101+'Exhibit G State'!V92</f>
        <v>13.2</v>
      </c>
      <c r="V111" s="971"/>
      <c r="W111" s="1925"/>
      <c r="X111" s="971"/>
      <c r="Y111" s="1925"/>
      <c r="Z111" s="971"/>
      <c r="AA111" s="972"/>
      <c r="AB111" s="1111">
        <f t="shared" si="15"/>
        <v>1040.8</v>
      </c>
      <c r="AC111" s="971"/>
      <c r="AD111" s="973"/>
      <c r="AE111" s="1111">
        <f>+'Exhibit F'!AF101+'Exhibit G State'!AF92</f>
        <v>1075.1000000000001</v>
      </c>
      <c r="AF111" s="983"/>
      <c r="AG111" s="983"/>
      <c r="AH111" s="971">
        <f t="shared" si="16"/>
        <v>-34.299999999999997</v>
      </c>
      <c r="AI111" s="427"/>
      <c r="AJ111" s="1764">
        <f>ROUND(SUM(AH111/ABS(AE111)),3)</f>
        <v>-3.2000000000000001E-2</v>
      </c>
    </row>
    <row r="112" spans="1:45" ht="15">
      <c r="A112" s="1768" t="s">
        <v>28</v>
      </c>
      <c r="B112" s="427"/>
      <c r="C112" s="971"/>
      <c r="D112" s="971"/>
      <c r="E112" s="971"/>
      <c r="F112" s="971"/>
      <c r="G112" s="971"/>
      <c r="H112" s="971"/>
      <c r="I112" s="971"/>
      <c r="J112" s="971"/>
      <c r="K112" s="971"/>
      <c r="L112" s="971"/>
      <c r="M112" s="971"/>
      <c r="N112" s="971"/>
      <c r="O112" s="971"/>
      <c r="P112" s="971"/>
      <c r="Q112" s="971"/>
      <c r="R112" s="971"/>
      <c r="S112" s="971"/>
      <c r="T112" s="971"/>
      <c r="U112" s="971"/>
      <c r="V112" s="971"/>
      <c r="W112" s="1925"/>
      <c r="X112" s="971"/>
      <c r="Y112" s="1925"/>
      <c r="Z112" s="971"/>
      <c r="AA112" s="972"/>
      <c r="AB112" s="1111"/>
      <c r="AC112" s="971"/>
      <c r="AD112" s="973"/>
      <c r="AE112" s="1191"/>
      <c r="AF112" s="983"/>
      <c r="AG112" s="983"/>
      <c r="AH112" s="971" t="s">
        <v>15</v>
      </c>
      <c r="AI112" s="427"/>
      <c r="AJ112" s="1764"/>
    </row>
    <row r="113" spans="1:44" ht="15">
      <c r="A113" s="1769" t="s">
        <v>29</v>
      </c>
      <c r="B113" s="427"/>
      <c r="C113" s="971">
        <f>+'Exhibit F'!D103+'Exhibit G State'!D94</f>
        <v>1755.6000000000001</v>
      </c>
      <c r="D113" s="971"/>
      <c r="E113" s="971">
        <f>+'Exhibit F'!F103+'Exhibit G State'!F94</f>
        <v>1911.7</v>
      </c>
      <c r="F113" s="971"/>
      <c r="G113" s="971">
        <f>+'Exhibit F'!H103+'Exhibit G State'!H94</f>
        <v>1723.3000000000002</v>
      </c>
      <c r="H113" s="971"/>
      <c r="I113" s="971">
        <f>+'Exhibit F'!J103+'Exhibit G State'!J94</f>
        <v>1485.5</v>
      </c>
      <c r="J113" s="971"/>
      <c r="K113" s="971">
        <f>+'Exhibit F'!L103+'Exhibit G State'!L94</f>
        <v>1895.6000000000001</v>
      </c>
      <c r="L113" s="971"/>
      <c r="M113" s="971">
        <f>+'Exhibit F'!N103+'Exhibit G State'!N94</f>
        <v>1878.7000000000003</v>
      </c>
      <c r="N113" s="971"/>
      <c r="O113" s="971">
        <f>+'Exhibit F'!P103+'Exhibit G State'!P94</f>
        <v>1613.7999999999997</v>
      </c>
      <c r="P113" s="971"/>
      <c r="Q113" s="971">
        <f>+'Exhibit F'!R103+'Exhibit G State'!R94</f>
        <v>2013.8000000000004</v>
      </c>
      <c r="R113" s="971"/>
      <c r="S113" s="971">
        <f>+'Exhibit F'!T103+'Exhibit G State'!T94</f>
        <v>1475.899999999999</v>
      </c>
      <c r="T113" s="971"/>
      <c r="U113" s="971">
        <f>+'Exhibit F'!V103+'Exhibit G State'!V94</f>
        <v>1801.8000000000002</v>
      </c>
      <c r="V113" s="971"/>
      <c r="W113" s="1925"/>
      <c r="X113" s="971"/>
      <c r="Y113" s="1925"/>
      <c r="Z113" s="971"/>
      <c r="AA113" s="972"/>
      <c r="AB113" s="1111">
        <f t="shared" si="15"/>
        <v>17555.7</v>
      </c>
      <c r="AC113" s="971"/>
      <c r="AD113" s="973"/>
      <c r="AE113" s="1111">
        <f>+'Exhibit F'!AF103+'Exhibit G State'!AF94</f>
        <v>16472.7</v>
      </c>
      <c r="AF113" s="983"/>
      <c r="AG113" s="983"/>
      <c r="AH113" s="971">
        <f t="shared" si="16"/>
        <v>1083</v>
      </c>
      <c r="AI113" s="427"/>
      <c r="AJ113" s="1764">
        <f t="shared" ref="AJ113:AJ119" si="17">ROUND(SUM(AH113/ABS(AE113)),3)</f>
        <v>6.6000000000000003E-2</v>
      </c>
      <c r="AK113" s="415"/>
    </row>
    <row r="114" spans="1:44" ht="15">
      <c r="A114" s="1768" t="s">
        <v>30</v>
      </c>
      <c r="B114" s="427"/>
      <c r="C114" s="971">
        <f>+'Exhibit F'!D104+'Exhibit G State'!D95</f>
        <v>153.30000000000001</v>
      </c>
      <c r="D114" s="971"/>
      <c r="E114" s="971">
        <f>+'Exhibit F'!F104+'Exhibit G State'!F95</f>
        <v>348.9</v>
      </c>
      <c r="F114" s="971"/>
      <c r="G114" s="971">
        <f>+'Exhibit F'!H104+'Exhibit G State'!H95</f>
        <v>499.6</v>
      </c>
      <c r="H114" s="971"/>
      <c r="I114" s="971">
        <f>+'Exhibit F'!J104+'Exhibit G State'!J95</f>
        <v>367.8</v>
      </c>
      <c r="J114" s="971"/>
      <c r="K114" s="971">
        <f>+'Exhibit F'!L104+'Exhibit G State'!L95</f>
        <v>146.39999999999998</v>
      </c>
      <c r="L114" s="971"/>
      <c r="M114" s="971">
        <f>+'Exhibit F'!N104+'Exhibit G State'!N95</f>
        <v>284.5</v>
      </c>
      <c r="N114" s="971"/>
      <c r="O114" s="971">
        <f>+'Exhibit F'!P104+'Exhibit G State'!P95</f>
        <v>142.49999999999997</v>
      </c>
      <c r="P114" s="971"/>
      <c r="Q114" s="971">
        <f>+'Exhibit F'!R104+'Exhibit G State'!R95</f>
        <v>174.2</v>
      </c>
      <c r="R114" s="971"/>
      <c r="S114" s="971">
        <f>+'Exhibit F'!T104+'Exhibit G State'!T95</f>
        <v>364.70000000000005</v>
      </c>
      <c r="T114" s="971"/>
      <c r="U114" s="971">
        <f>+'Exhibit F'!V104+'Exhibit G State'!V95</f>
        <v>192</v>
      </c>
      <c r="V114" s="971"/>
      <c r="W114" s="1925"/>
      <c r="X114" s="971"/>
      <c r="Y114" s="1925"/>
      <c r="Z114" s="971"/>
      <c r="AA114" s="972"/>
      <c r="AB114" s="1111">
        <f t="shared" si="15"/>
        <v>2673.9</v>
      </c>
      <c r="AC114" s="1765"/>
      <c r="AD114" s="971"/>
      <c r="AE114" s="1111">
        <f>+'Exhibit F'!AF104+'Exhibit G State'!AF95</f>
        <v>3056.1</v>
      </c>
      <c r="AF114" s="983"/>
      <c r="AG114" s="983"/>
      <c r="AH114" s="971">
        <f t="shared" si="16"/>
        <v>-382.2</v>
      </c>
      <c r="AI114" s="427"/>
      <c r="AJ114" s="1764">
        <f t="shared" si="17"/>
        <v>-0.125</v>
      </c>
    </row>
    <row r="115" spans="1:44" ht="15">
      <c r="A115" s="1768" t="s">
        <v>31</v>
      </c>
      <c r="B115" s="427"/>
      <c r="C115" s="971">
        <f>+'Exhibit F'!D105+'Exhibit G State'!D96</f>
        <v>17.2</v>
      </c>
      <c r="D115" s="971"/>
      <c r="E115" s="971">
        <f>+'Exhibit F'!F105+'Exhibit G State'!F96</f>
        <v>16.3</v>
      </c>
      <c r="F115" s="971"/>
      <c r="G115" s="971">
        <f>+'Exhibit F'!H105+'Exhibit G State'!H96</f>
        <v>21</v>
      </c>
      <c r="H115" s="971"/>
      <c r="I115" s="971">
        <f>+'Exhibit F'!J105+'Exhibit G State'!J96</f>
        <v>27.4</v>
      </c>
      <c r="J115" s="971"/>
      <c r="K115" s="971">
        <f>+'Exhibit F'!L105+'Exhibit G State'!L96</f>
        <v>20.6</v>
      </c>
      <c r="L115" s="971"/>
      <c r="M115" s="971">
        <f>+'Exhibit F'!N105+'Exhibit G State'!N96</f>
        <v>31.5</v>
      </c>
      <c r="N115" s="971"/>
      <c r="O115" s="971">
        <f>+'Exhibit F'!P105+'Exhibit G State'!P96</f>
        <v>25.899999999999991</v>
      </c>
      <c r="P115" s="971"/>
      <c r="Q115" s="971">
        <f>+'Exhibit F'!R105+'Exhibit G State'!R96</f>
        <v>29.600000000000012</v>
      </c>
      <c r="R115" s="971"/>
      <c r="S115" s="971">
        <f>+'Exhibit F'!T105+'Exhibit G State'!T96</f>
        <v>37.299999999999997</v>
      </c>
      <c r="T115" s="971"/>
      <c r="U115" s="971">
        <f>+'Exhibit F'!V105+'Exhibit G State'!V96</f>
        <v>28.9</v>
      </c>
      <c r="V115" s="971"/>
      <c r="W115" s="1925"/>
      <c r="X115" s="971"/>
      <c r="Y115" s="1925"/>
      <c r="Z115" s="971"/>
      <c r="AA115" s="972"/>
      <c r="AB115" s="1111">
        <f t="shared" si="15"/>
        <v>255.7</v>
      </c>
      <c r="AC115" s="1770"/>
      <c r="AD115" s="973"/>
      <c r="AE115" s="1111">
        <f>+'Exhibit F'!AF105+'Exhibit G State'!AF96</f>
        <v>235.9</v>
      </c>
      <c r="AF115" s="983"/>
      <c r="AG115" s="983"/>
      <c r="AH115" s="971">
        <f t="shared" si="16"/>
        <v>19.8</v>
      </c>
      <c r="AI115" s="427"/>
      <c r="AJ115" s="1764">
        <f t="shared" si="17"/>
        <v>8.4000000000000005E-2</v>
      </c>
    </row>
    <row r="116" spans="1:44" ht="15">
      <c r="A116" s="1768" t="s">
        <v>32</v>
      </c>
      <c r="B116" s="427"/>
      <c r="C116" s="971">
        <f>+'Exhibit F'!D106+'Exhibit G State'!D97</f>
        <v>131.9</v>
      </c>
      <c r="D116" s="971"/>
      <c r="E116" s="971">
        <f>+'Exhibit F'!F106+'Exhibit G State'!F97</f>
        <v>215.29999999999998</v>
      </c>
      <c r="F116" s="971"/>
      <c r="G116" s="971">
        <f>+'Exhibit F'!H106+'Exhibit G State'!H97</f>
        <v>331.9</v>
      </c>
      <c r="H116" s="971"/>
      <c r="I116" s="971">
        <f>+'Exhibit F'!J106+'Exhibit G State'!J97</f>
        <v>165.1</v>
      </c>
      <c r="J116" s="971"/>
      <c r="K116" s="971">
        <f>+'Exhibit F'!L106+'Exhibit G State'!L97</f>
        <v>119.60000000000002</v>
      </c>
      <c r="L116" s="971"/>
      <c r="M116" s="971">
        <f>+'Exhibit F'!N106+'Exhibit G State'!N97</f>
        <v>194.39999999999989</v>
      </c>
      <c r="N116" s="971"/>
      <c r="O116" s="971">
        <f>+'Exhibit F'!P106+'Exhibit G State'!P97</f>
        <v>135.69999999999999</v>
      </c>
      <c r="P116" s="971"/>
      <c r="Q116" s="971">
        <f>+'Exhibit F'!R106+'Exhibit G State'!R97</f>
        <v>142.20000000000019</v>
      </c>
      <c r="R116" s="971"/>
      <c r="S116" s="971">
        <f>+'Exhibit F'!T106+'Exhibit G State'!T97</f>
        <v>224.6</v>
      </c>
      <c r="T116" s="971"/>
      <c r="U116" s="971">
        <f>+'Exhibit F'!V106+'Exhibit G State'!V97</f>
        <v>112.7</v>
      </c>
      <c r="V116" s="971"/>
      <c r="W116" s="1925"/>
      <c r="X116" s="971"/>
      <c r="Y116" s="1925"/>
      <c r="Z116" s="971"/>
      <c r="AA116" s="972"/>
      <c r="AB116" s="1111">
        <f t="shared" si="15"/>
        <v>1773.4</v>
      </c>
      <c r="AC116" s="1770"/>
      <c r="AD116" s="973"/>
      <c r="AE116" s="1111">
        <f>+'Exhibit F'!AF106+'Exhibit G State'!AF97</f>
        <v>2296.8000000000002</v>
      </c>
      <c r="AF116" s="983"/>
      <c r="AG116" s="983"/>
      <c r="AH116" s="971">
        <f t="shared" si="16"/>
        <v>-523.4</v>
      </c>
      <c r="AI116" s="427"/>
      <c r="AJ116" s="1764">
        <f t="shared" si="17"/>
        <v>-0.22800000000000001</v>
      </c>
    </row>
    <row r="117" spans="1:44" ht="15">
      <c r="A117" s="1768" t="s">
        <v>33</v>
      </c>
      <c r="B117" s="427"/>
      <c r="C117" s="971">
        <f>+'Exhibit F'!D107+'Exhibit G State'!D98</f>
        <v>10.200000000000001</v>
      </c>
      <c r="D117" s="971"/>
      <c r="E117" s="971">
        <f>+'Exhibit F'!F107+'Exhibit G State'!F98</f>
        <v>6.8</v>
      </c>
      <c r="F117" s="971"/>
      <c r="G117" s="971">
        <f>+'Exhibit F'!H107+'Exhibit G State'!H98</f>
        <v>25.9</v>
      </c>
      <c r="H117" s="971"/>
      <c r="I117" s="971">
        <f>+'Exhibit F'!J107+'Exhibit G State'!J98</f>
        <v>9.5</v>
      </c>
      <c r="J117" s="971"/>
      <c r="K117" s="971">
        <f>+'Exhibit F'!L107+'Exhibit G State'!L98</f>
        <v>32.6</v>
      </c>
      <c r="L117" s="971"/>
      <c r="M117" s="971">
        <f>+'Exhibit F'!N107+'Exhibit G State'!N98</f>
        <v>10.599999999999991</v>
      </c>
      <c r="N117" s="971"/>
      <c r="O117" s="971">
        <f>+'Exhibit F'!P107+'Exhibit G State'!P98</f>
        <v>38.800000000000004</v>
      </c>
      <c r="P117" s="971"/>
      <c r="Q117" s="971">
        <f>+'Exhibit F'!R107+'Exhibit G State'!R98</f>
        <v>38.6</v>
      </c>
      <c r="R117" s="971"/>
      <c r="S117" s="971">
        <f>+'Exhibit F'!T107+'Exhibit G State'!T98</f>
        <v>10.899999999999995</v>
      </c>
      <c r="T117" s="971"/>
      <c r="U117" s="971">
        <f>+'Exhibit F'!V107+'Exhibit G State'!V98</f>
        <v>11.4</v>
      </c>
      <c r="V117" s="971"/>
      <c r="W117" s="1925"/>
      <c r="X117" s="971"/>
      <c r="Y117" s="1925"/>
      <c r="Z117" s="971"/>
      <c r="AA117" s="972"/>
      <c r="AB117" s="1111">
        <f t="shared" si="15"/>
        <v>195.3</v>
      </c>
      <c r="AC117" s="1770"/>
      <c r="AD117" s="973"/>
      <c r="AE117" s="1111">
        <f>+'Exhibit F'!AF107+'Exhibit G State'!AF98</f>
        <v>209</v>
      </c>
      <c r="AF117" s="983"/>
      <c r="AG117" s="983"/>
      <c r="AH117" s="971">
        <f t="shared" si="16"/>
        <v>-13.7</v>
      </c>
      <c r="AI117" s="427"/>
      <c r="AJ117" s="1764">
        <f t="shared" si="17"/>
        <v>-6.6000000000000003E-2</v>
      </c>
    </row>
    <row r="118" spans="1:44" ht="15">
      <c r="A118" s="1768" t="s">
        <v>34</v>
      </c>
      <c r="B118" s="427"/>
      <c r="C118" s="971">
        <f>+'Exhibit F'!D108+'Exhibit G State'!D99</f>
        <v>244.6</v>
      </c>
      <c r="D118" s="971"/>
      <c r="E118" s="971">
        <f>+'Exhibit F'!F108+'Exhibit G State'!F99</f>
        <v>503.8</v>
      </c>
      <c r="F118" s="971"/>
      <c r="G118" s="971">
        <f>+'Exhibit F'!H108+'Exhibit G State'!H99</f>
        <v>434.29999999999995</v>
      </c>
      <c r="H118" s="971"/>
      <c r="I118" s="971">
        <f>+'Exhibit F'!J108+'Exhibit G State'!J99</f>
        <v>371.6</v>
      </c>
      <c r="J118" s="971"/>
      <c r="K118" s="971">
        <f>+'Exhibit F'!L108+'Exhibit G State'!L99</f>
        <v>496.6</v>
      </c>
      <c r="L118" s="971"/>
      <c r="M118" s="971">
        <f>+'Exhibit F'!N108+'Exhibit G State'!N99</f>
        <v>413.5</v>
      </c>
      <c r="N118" s="971"/>
      <c r="O118" s="971">
        <f>+'Exhibit F'!P108+'Exhibit G State'!P99</f>
        <v>362</v>
      </c>
      <c r="P118" s="971"/>
      <c r="Q118" s="971">
        <f>+'Exhibit F'!R108+'Exhibit G State'!R99</f>
        <v>584.5</v>
      </c>
      <c r="R118" s="971"/>
      <c r="S118" s="971">
        <f>+'Exhibit F'!T108+'Exhibit G State'!T99</f>
        <v>862</v>
      </c>
      <c r="T118" s="971"/>
      <c r="U118" s="971">
        <f>+'Exhibit F'!V108+'Exhibit G State'!V99</f>
        <v>204.2</v>
      </c>
      <c r="V118" s="971"/>
      <c r="W118" s="1925"/>
      <c r="X118" s="971"/>
      <c r="Y118" s="1925"/>
      <c r="Z118" s="971"/>
      <c r="AA118" s="972"/>
      <c r="AB118" s="971">
        <f>ROUND(SUM(C118:Y118),1)</f>
        <v>4477.1000000000004</v>
      </c>
      <c r="AC118" s="1770"/>
      <c r="AD118" s="973"/>
      <c r="AE118" s="1111">
        <f>+'Exhibit F'!AF108+'Exhibit G State'!AF99</f>
        <v>4509.5</v>
      </c>
      <c r="AF118" s="983"/>
      <c r="AG118" s="983"/>
      <c r="AH118" s="971">
        <f>ROUND(SUM(AB118-AE118),1)</f>
        <v>-32.4</v>
      </c>
      <c r="AI118" s="427"/>
      <c r="AJ118" s="1204">
        <f t="shared" si="17"/>
        <v>-7.0000000000000001E-3</v>
      </c>
    </row>
    <row r="119" spans="1:44" ht="15.6">
      <c r="A119" s="427" t="s">
        <v>35</v>
      </c>
      <c r="B119" s="427"/>
      <c r="C119" s="988">
        <f>ROUND(SUM(C109:C118),1)</f>
        <v>3314.2</v>
      </c>
      <c r="D119" s="979"/>
      <c r="E119" s="988">
        <f>ROUND(SUM(E109:E118),1)</f>
        <v>6935.6</v>
      </c>
      <c r="F119" s="979"/>
      <c r="G119" s="988">
        <f>ROUND(SUM(G109:G118),1)</f>
        <v>6868.9</v>
      </c>
      <c r="H119" s="979"/>
      <c r="I119" s="988">
        <f>ROUND(SUM(I109:I118),1)</f>
        <v>2863.8</v>
      </c>
      <c r="J119" s="979"/>
      <c r="K119" s="988">
        <f>ROUND(SUM(K109:K118),1)</f>
        <v>3526.4</v>
      </c>
      <c r="L119" s="979"/>
      <c r="M119" s="988">
        <f>ROUND(SUM(M109:M118),1)</f>
        <v>7099.1</v>
      </c>
      <c r="N119" s="979"/>
      <c r="O119" s="988">
        <f>ROUND(SUM(O109:O118),1)</f>
        <v>3415.3</v>
      </c>
      <c r="P119" s="979"/>
      <c r="Q119" s="988">
        <f>ROUND(SUM(Q109:Q118),1)</f>
        <v>5168.8</v>
      </c>
      <c r="R119" s="979"/>
      <c r="S119" s="988">
        <f>ROUND(SUM(S109:S118),1)</f>
        <v>5505.8</v>
      </c>
      <c r="T119" s="979"/>
      <c r="U119" s="988">
        <f>ROUND(SUM(U109:U118),1)</f>
        <v>5530.7</v>
      </c>
      <c r="V119" s="979"/>
      <c r="W119" s="988">
        <f>ROUND(SUM(W109:W118),1)</f>
        <v>0</v>
      </c>
      <c r="X119" s="979"/>
      <c r="Y119" s="988">
        <f>ROUND(SUM(Y109:Y118),1)</f>
        <v>0</v>
      </c>
      <c r="Z119" s="979"/>
      <c r="AA119" s="980"/>
      <c r="AB119" s="988">
        <f>ROUND(SUM(AB109:AB118),1)</f>
        <v>50228.6</v>
      </c>
      <c r="AC119" s="1772"/>
      <c r="AD119" s="981"/>
      <c r="AE119" s="480">
        <f>ROUND(SUM(AE109:AE118),1)</f>
        <v>49701</v>
      </c>
      <c r="AF119" s="1940"/>
      <c r="AG119" s="1940"/>
      <c r="AH119" s="480">
        <f>ROUND(SUM(AH109:AH118),1)</f>
        <v>527.6</v>
      </c>
      <c r="AI119" s="961"/>
      <c r="AJ119" s="524">
        <f t="shared" si="17"/>
        <v>1.0999999999999999E-2</v>
      </c>
      <c r="AK119" s="787"/>
      <c r="AL119" s="787"/>
    </row>
    <row r="120" spans="1:44" ht="15">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1740"/>
      <c r="AF120" s="983"/>
      <c r="AG120" s="983"/>
      <c r="AH120" s="1111"/>
      <c r="AI120" s="427"/>
      <c r="AJ120" s="1560"/>
    </row>
    <row r="121" spans="1:44" ht="15">
      <c r="A121" s="427" t="s">
        <v>141</v>
      </c>
      <c r="B121" s="427"/>
      <c r="C121" s="971">
        <f>+'Exhibit F'!D111+'Exhibit G State'!D102</f>
        <v>1049.8</v>
      </c>
      <c r="D121" s="971"/>
      <c r="E121" s="971">
        <f>+'Exhibit F'!F111+'Exhibit G State'!F102</f>
        <v>1371.1</v>
      </c>
      <c r="F121" s="971"/>
      <c r="G121" s="971">
        <f>+'Exhibit F'!H111+'Exhibit G State'!H102</f>
        <v>1013.1</v>
      </c>
      <c r="H121" s="971"/>
      <c r="I121" s="971">
        <f>+'Exhibit F'!J111+'Exhibit G State'!J102</f>
        <v>997.7</v>
      </c>
      <c r="J121" s="971"/>
      <c r="K121" s="971">
        <f>+'Exhibit F'!L111+'Exhibit G State'!L102</f>
        <v>1180.9000000000001</v>
      </c>
      <c r="L121" s="971"/>
      <c r="M121" s="971">
        <f>+'Exhibit F'!N111+'Exhibit G State'!N102</f>
        <v>998.69999999999993</v>
      </c>
      <c r="N121" s="971"/>
      <c r="O121" s="971">
        <f>+'Exhibit F'!P111+'Exhibit G State'!P102</f>
        <v>1064.3</v>
      </c>
      <c r="P121" s="971"/>
      <c r="Q121" s="971">
        <f>+'Exhibit F'!R111+'Exhibit G State'!R102</f>
        <v>1343.1</v>
      </c>
      <c r="R121" s="971"/>
      <c r="S121" s="971">
        <f>+'Exhibit F'!T111+'Exhibit G State'!T102</f>
        <v>1033.8</v>
      </c>
      <c r="T121" s="971"/>
      <c r="U121" s="971">
        <f>+'Exhibit F'!V111+'Exhibit G State'!V102</f>
        <v>983.3</v>
      </c>
      <c r="V121" s="971"/>
      <c r="W121" s="983"/>
      <c r="X121" s="971"/>
      <c r="Y121" s="983"/>
      <c r="Z121" s="971"/>
      <c r="AA121" s="972"/>
      <c r="AB121" s="971">
        <f>ROUND(SUM(C121:Y121),1)</f>
        <v>11035.8</v>
      </c>
      <c r="AC121" s="971"/>
      <c r="AD121" s="973"/>
      <c r="AE121" s="1111">
        <f>+'Exhibit F'!AF111+'Exhibit G State'!AF102</f>
        <v>10955.099999999999</v>
      </c>
      <c r="AF121" s="983"/>
      <c r="AG121" s="983"/>
      <c r="AH121" s="971">
        <f>ROUND(SUM(AB121-AE121),1)</f>
        <v>80.7</v>
      </c>
      <c r="AI121" s="427"/>
      <c r="AJ121" s="1764">
        <f>ROUND(SUM(AH121/ABS(AE121)),3)</f>
        <v>7.0000000000000001E-3</v>
      </c>
    </row>
    <row r="122" spans="1:44" ht="15">
      <c r="A122" s="427" t="s">
        <v>142</v>
      </c>
      <c r="B122" s="427"/>
      <c r="C122" s="971">
        <f>+'Exhibit F'!D112+'Exhibit G State'!D103+'Exhibit H'!B51</f>
        <v>321.59999999999997</v>
      </c>
      <c r="D122" s="971"/>
      <c r="E122" s="971">
        <f>+'Exhibit F'!F112+'Exhibit G State'!F103+'Exhibit H'!D51</f>
        <v>500</v>
      </c>
      <c r="F122" s="971"/>
      <c r="G122" s="971">
        <f>+'Exhibit F'!H112+'Exhibit G State'!H103+'Exhibit H'!F51</f>
        <v>527</v>
      </c>
      <c r="H122" s="971"/>
      <c r="I122" s="971">
        <f>+'Exhibit F'!J112+'Exhibit G State'!J103+'Exhibit H'!H51</f>
        <v>364.4</v>
      </c>
      <c r="J122" s="971"/>
      <c r="K122" s="971">
        <f>+'Exhibit F'!L112+'Exhibit G State'!L103+'Exhibit H'!J51</f>
        <v>525.69999999999993</v>
      </c>
      <c r="L122" s="971"/>
      <c r="M122" s="971">
        <f>+'Exhibit F'!N112+'Exhibit G State'!N103+'Exhibit H'!L51</f>
        <v>458.7000000000001</v>
      </c>
      <c r="N122" s="971"/>
      <c r="O122" s="971">
        <f>+'Exhibit F'!P112+'Exhibit G State'!P103+'Exhibit H'!N51</f>
        <v>505.6</v>
      </c>
      <c r="P122" s="971"/>
      <c r="Q122" s="971">
        <f>+'Exhibit F'!R112+'Exhibit G State'!R103+'Exhibit H'!P51</f>
        <v>475.4</v>
      </c>
      <c r="R122" s="971"/>
      <c r="S122" s="971">
        <f>+'Exhibit F'!T112+'Exhibit G State'!T103+'Exhibit H'!R51</f>
        <v>421.2</v>
      </c>
      <c r="T122" s="971"/>
      <c r="U122" s="971">
        <f>+'Exhibit F'!V112+'Exhibit G State'!V103+'Exhibit H'!T51</f>
        <v>556.69999999999993</v>
      </c>
      <c r="V122" s="971"/>
      <c r="W122" s="983"/>
      <c r="X122" s="971"/>
      <c r="Y122" s="983"/>
      <c r="Z122" s="971"/>
      <c r="AA122" s="972"/>
      <c r="AB122" s="971">
        <f>ROUND(SUM(C122:Y122),1)</f>
        <v>4656.3</v>
      </c>
      <c r="AC122" s="971"/>
      <c r="AD122" s="973"/>
      <c r="AE122" s="1111">
        <f>+'Exhibit F'!AF112+'Exhibit G State'!AF103+'Exhibit H'!AD51</f>
        <v>4457.7000000000007</v>
      </c>
      <c r="AF122" s="983"/>
      <c r="AG122" s="983"/>
      <c r="AH122" s="971">
        <f>ROUND(SUM(AB122-AE122),1)</f>
        <v>198.6</v>
      </c>
      <c r="AI122" s="427"/>
      <c r="AJ122" s="1764">
        <f>ROUND(SUM(AH122/ABS(AE122)),3)</f>
        <v>4.4999999999999998E-2</v>
      </c>
    </row>
    <row r="123" spans="1:44" ht="15">
      <c r="A123" s="427" t="s">
        <v>39</v>
      </c>
      <c r="B123" s="427"/>
      <c r="C123" s="971">
        <f>+'Exhibit F'!D113+'Exhibit G State'!D104</f>
        <v>2452.2999999999997</v>
      </c>
      <c r="D123" s="971"/>
      <c r="E123" s="971">
        <f>+'Exhibit F'!F113+'Exhibit G State'!F104</f>
        <v>738.8</v>
      </c>
      <c r="F123" s="971"/>
      <c r="G123" s="971">
        <f>+'Exhibit F'!H113+'Exhibit G State'!H104</f>
        <v>466.7</v>
      </c>
      <c r="H123" s="971"/>
      <c r="I123" s="971">
        <f>+'Exhibit F'!J113+'Exhibit G State'!J104</f>
        <v>393.09999999999997</v>
      </c>
      <c r="J123" s="971"/>
      <c r="K123" s="971">
        <f>+'Exhibit F'!L113+'Exhibit G State'!L104</f>
        <v>429.09999999999974</v>
      </c>
      <c r="L123" s="971"/>
      <c r="M123" s="971">
        <f>+'Exhibit F'!N113+'Exhibit G State'!N104</f>
        <v>541.9</v>
      </c>
      <c r="N123" s="971"/>
      <c r="O123" s="971">
        <f>+'Exhibit F'!P113+'Exhibit G State'!P104</f>
        <v>533.3000000000003</v>
      </c>
      <c r="P123" s="971"/>
      <c r="Q123" s="971">
        <f>+'Exhibit F'!R113+'Exhibit G State'!R104</f>
        <v>520.99999999999977</v>
      </c>
      <c r="R123" s="971"/>
      <c r="S123" s="971">
        <f>+'Exhibit F'!T113+'Exhibit G State'!T104</f>
        <v>541.1</v>
      </c>
      <c r="T123" s="971"/>
      <c r="U123" s="971">
        <f>+'Exhibit F'!V113+'Exhibit G State'!V104</f>
        <v>475.3</v>
      </c>
      <c r="V123" s="971"/>
      <c r="W123" s="983"/>
      <c r="X123" s="971"/>
      <c r="Y123" s="983"/>
      <c r="Z123" s="971"/>
      <c r="AA123" s="972"/>
      <c r="AB123" s="971">
        <f>ROUND(SUM(C123:Y123),1)</f>
        <v>7092.6</v>
      </c>
      <c r="AC123" s="971"/>
      <c r="AD123" s="973"/>
      <c r="AE123" s="1111">
        <f>+'Exhibit F'!AF113+'Exhibit G State'!AF104</f>
        <v>6767.4</v>
      </c>
      <c r="AF123" s="983"/>
      <c r="AG123" s="983"/>
      <c r="AH123" s="971">
        <f>ROUND(SUM(AB123-AE123),1)</f>
        <v>325.2</v>
      </c>
      <c r="AI123" s="427"/>
      <c r="AJ123" s="1764">
        <f>ROUND(SUM(AH123/ABS(AE123)),3)</f>
        <v>4.8000000000000001E-2</v>
      </c>
    </row>
    <row r="124" spans="1:44" ht="15">
      <c r="A124" s="427" t="s">
        <v>40</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83"/>
      <c r="AG124" s="983"/>
      <c r="AH124" s="971"/>
      <c r="AI124" s="427"/>
      <c r="AJ124" s="1764"/>
    </row>
    <row r="125" spans="1:44" ht="15">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f>+'Exhibit H'!R53</f>
        <v>529.29999999999995</v>
      </c>
      <c r="T125" s="971"/>
      <c r="U125" s="971">
        <f>+'Exhibit H'!T53</f>
        <v>31.099999999999909</v>
      </c>
      <c r="V125" s="971"/>
      <c r="W125" s="983"/>
      <c r="X125" s="971"/>
      <c r="Y125" s="983"/>
      <c r="Z125" s="971"/>
      <c r="AA125" s="972"/>
      <c r="AB125" s="971">
        <f>ROUND(SUM(C125:Y125),1)</f>
        <v>2224.1</v>
      </c>
      <c r="AC125" s="971"/>
      <c r="AD125" s="973"/>
      <c r="AE125" s="1740">
        <f>+'Exhibit H'!AD53</f>
        <v>1960</v>
      </c>
      <c r="AF125" s="983"/>
      <c r="AG125" s="983"/>
      <c r="AH125" s="971">
        <f>ROUND(SUM(AB125-AE125),1)</f>
        <v>264.10000000000002</v>
      </c>
      <c r="AI125" s="427"/>
      <c r="AJ125" s="1764">
        <f>ROUND(SUM(AH125/ABS(AE125)),3)</f>
        <v>0.13500000000000001</v>
      </c>
    </row>
    <row r="126" spans="1:44" ht="15">
      <c r="A126" s="987" t="s">
        <v>143</v>
      </c>
      <c r="B126" s="427"/>
      <c r="C126" s="976">
        <f>+'Exhibit G State'!D105</f>
        <v>0</v>
      </c>
      <c r="D126" s="971"/>
      <c r="E126" s="976">
        <f>+'Exhibit G State'!F105</f>
        <v>0</v>
      </c>
      <c r="F126" s="971"/>
      <c r="G126" s="976">
        <f>+'Exhibit G State'!H105</f>
        <v>0</v>
      </c>
      <c r="H126" s="971"/>
      <c r="I126" s="976">
        <f>+'Exhibit G State'!J105</f>
        <v>0</v>
      </c>
      <c r="J126" s="971"/>
      <c r="K126" s="976">
        <f>+'Exhibit G State'!L105</f>
        <v>0</v>
      </c>
      <c r="L126" s="971"/>
      <c r="M126" s="976">
        <f>+'Exhibit G State'!N105</f>
        <v>0</v>
      </c>
      <c r="N126" s="971"/>
      <c r="O126" s="976">
        <f>+'Exhibit G State'!P105</f>
        <v>0</v>
      </c>
      <c r="P126" s="971"/>
      <c r="Q126" s="976">
        <f>+'Exhibit G State'!R105</f>
        <v>0</v>
      </c>
      <c r="R126" s="971"/>
      <c r="S126" s="976">
        <f>+'Exhibit G State'!T105</f>
        <v>0</v>
      </c>
      <c r="T126" s="971"/>
      <c r="U126" s="976">
        <f>+'Exhibit G State'!V105</f>
        <v>0</v>
      </c>
      <c r="V126" s="971"/>
      <c r="W126" s="976"/>
      <c r="X126" s="971"/>
      <c r="Y126" s="976"/>
      <c r="Z126" s="971"/>
      <c r="AA126" s="972"/>
      <c r="AB126" s="976">
        <f>ROUND(SUM(C126:Y126),1)</f>
        <v>0</v>
      </c>
      <c r="AC126" s="971"/>
      <c r="AD126" s="973"/>
      <c r="AE126" s="1726">
        <f>+'Exhibit G State'!AF105</f>
        <v>2.7</v>
      </c>
      <c r="AF126" s="983"/>
      <c r="AG126" s="983"/>
      <c r="AH126" s="976">
        <f>ROUND(SUM(AB126-AE126),1)</f>
        <v>-2.7</v>
      </c>
      <c r="AI126" s="427"/>
      <c r="AJ126" s="1773">
        <f>ROUND(IF(AE126=0,1,AH126/ABS(AE126)),3)</f>
        <v>-1</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83"/>
      <c r="AG127" s="983"/>
      <c r="AH127" s="983"/>
      <c r="AI127" s="427"/>
      <c r="AJ127" s="1204"/>
    </row>
    <row r="128" spans="1:44" ht="16.5" customHeight="1">
      <c r="A128" s="407" t="s">
        <v>59</v>
      </c>
      <c r="B128" s="427"/>
      <c r="C128" s="1766">
        <f>ROUND(SUM(C119:C126),1)</f>
        <v>7225.1</v>
      </c>
      <c r="D128" s="979"/>
      <c r="E128" s="1766">
        <f>ROUND(SUM(E119:E126),1)</f>
        <v>9693.7000000000007</v>
      </c>
      <c r="F128" s="979"/>
      <c r="G128" s="1766">
        <f>ROUND(SUM(G119:G126),1)</f>
        <v>9061.7999999999993</v>
      </c>
      <c r="H128" s="979"/>
      <c r="I128" s="1766">
        <f>ROUND(SUM(I119:I126),1)</f>
        <v>4647</v>
      </c>
      <c r="J128" s="979"/>
      <c r="K128" s="1766">
        <f>ROUND(SUM(K119:K126),1)</f>
        <v>6010.7</v>
      </c>
      <c r="L128" s="979"/>
      <c r="M128" s="1766">
        <f>ROUND(SUM(M119:M126),1)</f>
        <v>9855.5</v>
      </c>
      <c r="N128" s="979"/>
      <c r="O128" s="1766">
        <f>ROUND(SUM(O119:O126),1)</f>
        <v>5545.2</v>
      </c>
      <c r="P128" s="979"/>
      <c r="Q128" s="1766">
        <f>ROUND(SUM(Q119:Q126),1)</f>
        <v>7590.1</v>
      </c>
      <c r="R128" s="979"/>
      <c r="S128" s="1766">
        <f>ROUND(SUM(S119:S126),1)</f>
        <v>8031.2</v>
      </c>
      <c r="T128" s="979"/>
      <c r="U128" s="1766">
        <f>ROUND(SUM(U119:U126),1)</f>
        <v>7577.1</v>
      </c>
      <c r="V128" s="979"/>
      <c r="W128" s="1766">
        <f>ROUND(SUM(W119:W126),1)</f>
        <v>0</v>
      </c>
      <c r="X128" s="979"/>
      <c r="Y128" s="1766">
        <f>ROUND(SUM(Y119:Y126),1)</f>
        <v>0</v>
      </c>
      <c r="Z128" s="979"/>
      <c r="AA128" s="980"/>
      <c r="AB128" s="1766">
        <f>ROUND(SUM(AB119:AB126),1)</f>
        <v>75237.399999999994</v>
      </c>
      <c r="AC128" s="979"/>
      <c r="AD128" s="981"/>
      <c r="AE128" s="1584">
        <f>ROUND(SUM(AE119:AE127),1)</f>
        <v>73843.899999999994</v>
      </c>
      <c r="AF128" s="1940"/>
      <c r="AG128" s="1940"/>
      <c r="AH128" s="1584">
        <f>ROUND(SUM(AH119:AH127),1)</f>
        <v>1393.5</v>
      </c>
      <c r="AI128" s="961"/>
      <c r="AJ128" s="1767">
        <f>ROUND(SUM(AH128/ABS(AE128)),3)</f>
        <v>1.9E-2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83"/>
      <c r="AG129" s="983"/>
      <c r="AH129" s="1111"/>
      <c r="AI129" s="427"/>
      <c r="AJ129" s="1560"/>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83"/>
      <c r="AG130" s="983"/>
      <c r="AH130" s="1111"/>
      <c r="AI130" s="427"/>
      <c r="AJ130" s="1560"/>
    </row>
    <row r="131" spans="1:59" ht="16.5" customHeight="1">
      <c r="A131" s="407" t="s">
        <v>45</v>
      </c>
      <c r="B131" s="427"/>
      <c r="C131" s="1766">
        <f>ROUND(SUM(C105-C128),1)</f>
        <v>1203.7</v>
      </c>
      <c r="D131" s="979"/>
      <c r="E131" s="1766">
        <f>ROUND(SUM(E105-E128),1)</f>
        <v>-4149.8</v>
      </c>
      <c r="F131" s="979"/>
      <c r="G131" s="1766">
        <f>ROUND(SUM(G105-G128),1)</f>
        <v>136.4</v>
      </c>
      <c r="H131" s="979"/>
      <c r="I131" s="1766">
        <f>ROUND(SUM(I105-I128),1)</f>
        <v>1109.0999999999999</v>
      </c>
      <c r="J131" s="979"/>
      <c r="K131" s="1766">
        <f>ROUND(SUM(K105-K128),1)</f>
        <v>675.7</v>
      </c>
      <c r="L131" s="979"/>
      <c r="M131" s="1766">
        <f>ROUND(SUM(M105-M128),1)</f>
        <v>447.8</v>
      </c>
      <c r="N131" s="979"/>
      <c r="O131" s="1766">
        <f>ROUND(SUM(O105-O128),1)</f>
        <v>253.1</v>
      </c>
      <c r="P131" s="979"/>
      <c r="Q131" s="1766">
        <f>ROUND(SUM(Q105-Q128),1)</f>
        <v>-1667.7</v>
      </c>
      <c r="R131" s="979"/>
      <c r="S131" s="1766">
        <f>ROUND(SUM(S105-S128),1)</f>
        <v>3851.7</v>
      </c>
      <c r="T131" s="979"/>
      <c r="U131" s="1766">
        <f>ROUND(SUM(U105-U128),1)</f>
        <v>7234.6</v>
      </c>
      <c r="V131" s="979"/>
      <c r="W131" s="1766">
        <f>ROUND(SUM(W105-W128),1)</f>
        <v>0</v>
      </c>
      <c r="X131" s="979"/>
      <c r="Y131" s="1766">
        <f>ROUND(SUM(Y105-Y128),1)</f>
        <v>0</v>
      </c>
      <c r="Z131" s="979"/>
      <c r="AA131" s="980"/>
      <c r="AB131" s="1766">
        <f>ROUND(SUM(AB105-AB128),1)</f>
        <v>9094.6</v>
      </c>
      <c r="AC131" s="979"/>
      <c r="AD131" s="981"/>
      <c r="AE131" s="1766">
        <f>ROUND(SUM(AE105-AE128),1)</f>
        <v>5039.6000000000004</v>
      </c>
      <c r="AF131" s="1940"/>
      <c r="AG131" s="1940"/>
      <c r="AH131" s="1774">
        <f>ROUND(SUM(AB131-AE131),1)</f>
        <v>4055</v>
      </c>
      <c r="AI131" s="961"/>
      <c r="AJ131" s="1776">
        <f>ROUND(SUM(AH131/ABS(AE131)),3)</f>
        <v>0.80500000000000005</v>
      </c>
      <c r="AK131" s="787"/>
      <c r="AL131" s="787"/>
    </row>
    <row r="132" spans="1:59" ht="16.5" customHeight="1">
      <c r="A132" s="1560"/>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83"/>
      <c r="AG132" s="983"/>
      <c r="AH132" s="1111"/>
      <c r="AI132" s="427"/>
      <c r="AJ132" s="1560"/>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1771"/>
      <c r="AA133" s="972"/>
      <c r="AB133" s="983"/>
      <c r="AC133" s="1771"/>
      <c r="AD133" s="971"/>
      <c r="AE133" s="983"/>
      <c r="AF133" s="983"/>
      <c r="AG133" s="983"/>
      <c r="AH133" s="1111"/>
      <c r="AI133" s="427"/>
      <c r="AJ133" s="1560"/>
    </row>
    <row r="134" spans="1:59" ht="16.5" customHeight="1">
      <c r="A134" s="427" t="s">
        <v>1284</v>
      </c>
      <c r="B134" s="427"/>
      <c r="C134" s="993">
        <f>+'Exhibit F'!D122+'Exhibit F'!D123+'Exhibit F'!D124+'Exhibit F'!D125+'Exhibit G State'!D113+'Exhibit H'!B62</f>
        <v>3168.6</v>
      </c>
      <c r="D134" s="971"/>
      <c r="E134" s="993">
        <f>+'Exhibit F'!F122+'Exhibit F'!F123+'Exhibit F'!F124+'Exhibit F'!F125+'Exhibit G State'!F113+'Exhibit H'!D62</f>
        <v>1936.1</v>
      </c>
      <c r="F134" s="971"/>
      <c r="G134" s="993">
        <f>+'Exhibit F'!H122+'Exhibit F'!H123+'Exhibit F'!H124+'Exhibit F'!H125+'Exhibit G State'!H113+'Exhibit H'!F62</f>
        <v>3152.2</v>
      </c>
      <c r="H134" s="971"/>
      <c r="I134" s="993">
        <f>+'Exhibit F'!J122+'Exhibit F'!J123+'Exhibit F'!J124+'Exhibit F'!J125+'Exhibit G State'!J113+'Exhibit H'!H62</f>
        <v>2089.5</v>
      </c>
      <c r="J134" s="971"/>
      <c r="K134" s="993">
        <f>+'Exhibit F'!L122+'Exhibit F'!L123+'Exhibit F'!L124+'Exhibit F'!L125+'Exhibit G State'!L113+'Exhibit H'!J62</f>
        <v>1945.6000000000001</v>
      </c>
      <c r="L134" s="971"/>
      <c r="M134" s="993">
        <f>+'Exhibit F'!N122+'Exhibit F'!N123+'Exhibit F'!N124+'Exhibit F'!N125+'Exhibit G State'!N113+'Exhibit H'!L62</f>
        <v>2800</v>
      </c>
      <c r="N134" s="971"/>
      <c r="O134" s="993">
        <f>+'Exhibit F'!P122+'Exhibit F'!P123+'Exhibit F'!P124+'Exhibit F'!P125+'Exhibit G State'!P113+'Exhibit H'!N62</f>
        <v>2362.3000000000002</v>
      </c>
      <c r="P134" s="971"/>
      <c r="Q134" s="993">
        <f>+'Exhibit F'!R122+'Exhibit F'!R123+'Exhibit F'!R124+'Exhibit F'!R125+'Exhibit G State'!R113+'Exhibit H'!P62</f>
        <v>2065.6</v>
      </c>
      <c r="R134" s="971"/>
      <c r="S134" s="993">
        <f>+'Exhibit F'!T122+'Exhibit F'!T123+'Exhibit F'!T124+'Exhibit F'!T125+'Exhibit G State'!T113+'Exhibit H'!R62</f>
        <v>2979.4</v>
      </c>
      <c r="T134" s="971"/>
      <c r="U134" s="993">
        <f>+'Exhibit F'!V122+'Exhibit F'!V123+'Exhibit F'!V124+'Exhibit F'!V125+'Exhibit G State'!V113+'Exhibit H'!T62</f>
        <v>2342.6999999999998</v>
      </c>
      <c r="V134" s="971"/>
      <c r="W134" s="993"/>
      <c r="X134" s="971"/>
      <c r="Y134" s="993"/>
      <c r="Z134" s="971"/>
      <c r="AA134" s="972"/>
      <c r="AB134" s="971">
        <f>ROUND(SUM(C134:Y134),1)</f>
        <v>24842</v>
      </c>
      <c r="AC134" s="971"/>
      <c r="AD134" s="972"/>
      <c r="AE134" s="971">
        <f>'Exhibit F'!AF122+'Exhibit F'!AF123+'Exhibit F'!AF124+'Exhibit F'!AF125+'Exhibit G State'!AF113+'Exhibit H'!AD62</f>
        <v>23332.7</v>
      </c>
      <c r="AF134" s="983"/>
      <c r="AG134" s="983"/>
      <c r="AH134" s="971">
        <f>ROUND(SUM(AB134-AE134),1)</f>
        <v>1509.3</v>
      </c>
      <c r="AI134" s="427"/>
      <c r="AJ134" s="1764">
        <f>ROUND(SUM(AH134/ABS(AE134)),3)</f>
        <v>6.5000000000000002E-2</v>
      </c>
    </row>
    <row r="135" spans="1:59" ht="16.5" customHeight="1">
      <c r="A135" s="427" t="s">
        <v>1285</v>
      </c>
      <c r="C135" s="1088">
        <f>+'Exhibit F'!D126+'Exhibit F'!D127+'Exhibit F'!D128+'Exhibit F'!D129+'Exhibit F'!D130+'Exhibit G State'!D114+'Exhibit H'!B63</f>
        <v>-3361.2</v>
      </c>
      <c r="D135" s="247"/>
      <c r="E135" s="1088">
        <f>+'Exhibit F'!F126+'Exhibit F'!F127+'Exhibit F'!F128+'Exhibit F'!F129+'Exhibit F'!F130+'Exhibit G State'!F114+'Exhibit H'!D63</f>
        <v>-2175.5</v>
      </c>
      <c r="F135" s="247"/>
      <c r="G135" s="1088">
        <f>+'Exhibit F'!H126+'Exhibit F'!H127+'Exhibit F'!H128+'Exhibit F'!H129+'Exhibit F'!H130+'Exhibit G State'!H114+'Exhibit H'!F63</f>
        <v>-3220.3999999999996</v>
      </c>
      <c r="H135" s="247"/>
      <c r="I135" s="1088">
        <f>+'Exhibit F'!J126+'Exhibit F'!J127+'Exhibit F'!J128+'Exhibit F'!J129+'Exhibit F'!J130+'Exhibit G State'!J114+'Exhibit H'!H63</f>
        <v>-1418</v>
      </c>
      <c r="J135" s="247"/>
      <c r="K135" s="1088">
        <f>+'Exhibit F'!L126+'Exhibit F'!L127+'Exhibit F'!L128+'Exhibit F'!L129+'Exhibit F'!L130+'Exhibit G State'!L114+'Exhibit H'!J63</f>
        <v>-2197.6000000000004</v>
      </c>
      <c r="L135" s="247"/>
      <c r="M135" s="1088">
        <f>+'Exhibit F'!N126+'Exhibit F'!N127+'Exhibit F'!N128+'Exhibit F'!N129+'Exhibit F'!N130+'Exhibit G State'!N114+'Exhibit H'!L63</f>
        <v>-2782.9999999999995</v>
      </c>
      <c r="N135" s="247"/>
      <c r="O135" s="1088">
        <f>+'Exhibit F'!P126+'Exhibit F'!P127+'Exhibit F'!P128+'Exhibit F'!P129+'Exhibit F'!P130+'Exhibit G State'!P114+'Exhibit H'!N63</f>
        <v>-2012.8000000000002</v>
      </c>
      <c r="P135" s="247"/>
      <c r="Q135" s="1088">
        <f>+'Exhibit F'!R126+'Exhibit F'!R127+'Exhibit F'!R128+'Exhibit F'!R129+'Exhibit F'!R130+'Exhibit G State'!R114+'Exhibit H'!P63</f>
        <v>-2241.5999999999995</v>
      </c>
      <c r="R135" s="247"/>
      <c r="S135" s="1088">
        <f>+'Exhibit F'!T126+'Exhibit F'!T127+'Exhibit F'!T128+'Exhibit F'!T129+'Exhibit F'!T130+'Exhibit G State'!T114+'Exhibit H'!R63</f>
        <v>-2083.1</v>
      </c>
      <c r="T135" s="247"/>
      <c r="U135" s="1088">
        <f>+'Exhibit F'!V126+'Exhibit F'!V127+'Exhibit F'!V128+'Exhibit F'!V129+'Exhibit F'!V130+'Exhibit G State'!V114+'Exhibit H'!T63</f>
        <v>-2507.4999999999991</v>
      </c>
      <c r="V135" s="247"/>
      <c r="W135" s="1088"/>
      <c r="X135" s="247"/>
      <c r="Y135" s="1088"/>
      <c r="Z135" s="247"/>
      <c r="AA135" s="995"/>
      <c r="AB135" s="976">
        <f>ROUND(SUM(C135:Y135),1)</f>
        <v>-24000.7</v>
      </c>
      <c r="AC135" s="247"/>
      <c r="AD135" s="995"/>
      <c r="AE135" s="976">
        <f>'Exhibit F'!AF126+'Exhibit F'!AF127+'Exhibit F'!AF128+'Exhibit F'!AF129+'Exhibit F'!AF130+'Exhibit G State'!AF114+'Exhibit H'!AD63</f>
        <v>-23809.699999999997</v>
      </c>
      <c r="AF135" s="982"/>
      <c r="AG135" s="982"/>
      <c r="AH135" s="976">
        <f>ROUND(SUM(-AB135+AE135),1)</f>
        <v>191</v>
      </c>
      <c r="AI135" s="1560"/>
      <c r="AJ135" s="1775">
        <f>ROUND(SUM(AH135/ABS(AE135)),3)</f>
        <v>8.0000000000000002E-3</v>
      </c>
    </row>
    <row r="136" spans="1:59" ht="16.5" customHeight="1">
      <c r="A136" s="427"/>
      <c r="C136" s="983"/>
      <c r="D136" s="247"/>
      <c r="E136" s="983"/>
      <c r="F136" s="247"/>
      <c r="G136" s="983"/>
      <c r="H136" s="247"/>
      <c r="I136" s="983"/>
      <c r="J136" s="247"/>
      <c r="K136" s="983"/>
      <c r="L136" s="247"/>
      <c r="M136" s="983"/>
      <c r="N136" s="247"/>
      <c r="O136" s="983"/>
      <c r="P136" s="247"/>
      <c r="Q136" s="983"/>
      <c r="R136" s="247"/>
      <c r="S136" s="983"/>
      <c r="T136" s="247"/>
      <c r="U136" s="983"/>
      <c r="V136" s="247"/>
      <c r="W136" s="983"/>
      <c r="X136" s="247"/>
      <c r="Y136" s="983"/>
      <c r="Z136" s="247"/>
      <c r="AA136" s="995"/>
      <c r="AB136" s="983"/>
      <c r="AC136" s="247"/>
      <c r="AD136" s="995"/>
      <c r="AE136" s="983"/>
      <c r="AF136" s="982"/>
      <c r="AG136" s="982"/>
      <c r="AH136" s="983"/>
      <c r="AI136" s="1560"/>
      <c r="AJ136" s="1204"/>
    </row>
    <row r="137" spans="1:59" ht="16.5" customHeight="1">
      <c r="A137" s="407" t="s">
        <v>50</v>
      </c>
      <c r="C137" s="1766">
        <f>ROUND(SUM(C134:C135),1)</f>
        <v>-192.6</v>
      </c>
      <c r="D137" s="996"/>
      <c r="E137" s="1766">
        <f>ROUND(SUM(E134:E135),1)</f>
        <v>-239.4</v>
      </c>
      <c r="F137" s="996"/>
      <c r="G137" s="1766">
        <f>ROUND(SUM(G134:G135),1)</f>
        <v>-68.2</v>
      </c>
      <c r="H137" s="996"/>
      <c r="I137" s="1766">
        <f>ROUND(SUM(I134:I135),1)</f>
        <v>671.5</v>
      </c>
      <c r="J137" s="996"/>
      <c r="K137" s="1766">
        <f>ROUND(SUM(K134:K135),1)</f>
        <v>-252</v>
      </c>
      <c r="L137" s="996"/>
      <c r="M137" s="1766">
        <f>ROUND(SUM(M134:M135),1)</f>
        <v>17</v>
      </c>
      <c r="N137" s="996"/>
      <c r="O137" s="1766">
        <f>ROUND(SUM(O134:O135),1)</f>
        <v>349.5</v>
      </c>
      <c r="P137" s="996"/>
      <c r="Q137" s="1766">
        <f>ROUND(SUM(Q134:Q135),1)</f>
        <v>-176</v>
      </c>
      <c r="R137" s="996"/>
      <c r="S137" s="1766">
        <f>ROUND(SUM(S134:S135),1)</f>
        <v>896.3</v>
      </c>
      <c r="T137" s="996"/>
      <c r="U137" s="1766">
        <f>ROUND(SUM(U134:U135),1)</f>
        <v>-164.8</v>
      </c>
      <c r="V137" s="996"/>
      <c r="W137" s="1766">
        <f>ROUND(SUM(W134:W135),1)</f>
        <v>0</v>
      </c>
      <c r="X137" s="996"/>
      <c r="Y137" s="1766">
        <f>ROUND(SUM(Y134:Y135),1)</f>
        <v>0</v>
      </c>
      <c r="Z137" s="996"/>
      <c r="AA137" s="997"/>
      <c r="AB137" s="1766">
        <f>ROUND(SUM(AB134:AB135),1)</f>
        <v>841.3</v>
      </c>
      <c r="AC137" s="996"/>
      <c r="AD137" s="997"/>
      <c r="AE137" s="1766">
        <f>ROUND(SUM(AE134:AE135),1)</f>
        <v>-477</v>
      </c>
      <c r="AF137" s="1215"/>
      <c r="AG137" s="982"/>
      <c r="AH137" s="1766">
        <f>ROUND(SUM(AH134-AH135),1)</f>
        <v>1318.3</v>
      </c>
      <c r="AI137" s="407"/>
      <c r="AJ137" s="1776">
        <f>-ROUND(SUM(-AH137/ABS(AE137)),3)</f>
        <v>2.7639999999999998</v>
      </c>
      <c r="AK137" s="787"/>
      <c r="AL137" s="787"/>
    </row>
    <row r="138" spans="1:59" ht="16.5" customHeight="1">
      <c r="A138" s="1560"/>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5"/>
      <c r="AB138" s="247"/>
      <c r="AC138" s="247"/>
      <c r="AD138" s="995"/>
      <c r="AE138" s="247"/>
      <c r="AF138" s="982"/>
      <c r="AG138" s="415"/>
      <c r="AH138" s="1111"/>
      <c r="AI138" s="1560"/>
      <c r="AJ138" s="1560"/>
    </row>
    <row r="139" spans="1:59" ht="16.5" customHeight="1">
      <c r="A139" s="476" t="s">
        <v>44</v>
      </c>
      <c r="C139" s="983"/>
      <c r="D139" s="247"/>
      <c r="E139" s="983"/>
      <c r="F139" s="247"/>
      <c r="G139" s="983"/>
      <c r="H139" s="247"/>
      <c r="I139" s="983"/>
      <c r="J139" s="247"/>
      <c r="K139" s="983"/>
      <c r="L139" s="247"/>
      <c r="M139" s="983"/>
      <c r="N139" s="247"/>
      <c r="O139" s="983"/>
      <c r="P139" s="247"/>
      <c r="Q139" s="983"/>
      <c r="R139" s="247"/>
      <c r="S139" s="983"/>
      <c r="T139" s="247"/>
      <c r="U139" s="983"/>
      <c r="V139" s="247"/>
      <c r="W139" s="983"/>
      <c r="X139" s="247"/>
      <c r="Y139" s="983"/>
      <c r="Z139" s="247"/>
      <c r="AA139" s="995"/>
      <c r="AB139" s="983"/>
      <c r="AC139" s="247"/>
      <c r="AD139" s="995"/>
      <c r="AE139" s="983"/>
      <c r="AF139" s="982"/>
      <c r="AG139" s="1944"/>
      <c r="AH139" s="1111"/>
      <c r="AI139" s="1560"/>
      <c r="AJ139" s="1560"/>
    </row>
    <row r="140" spans="1:59" ht="16.5" customHeight="1">
      <c r="A140" s="476" t="s">
        <v>51</v>
      </c>
      <c r="C140" s="979"/>
      <c r="D140" s="996"/>
      <c r="E140" s="979"/>
      <c r="F140" s="996"/>
      <c r="G140" s="979"/>
      <c r="H140" s="996"/>
      <c r="I140" s="979"/>
      <c r="J140" s="996"/>
      <c r="K140" s="979"/>
      <c r="L140" s="996"/>
      <c r="M140" s="979"/>
      <c r="N140" s="996"/>
      <c r="O140" s="979"/>
      <c r="P140" s="996"/>
      <c r="Q140" s="979"/>
      <c r="R140" s="996"/>
      <c r="S140" s="979"/>
      <c r="T140" s="996"/>
      <c r="U140" s="979"/>
      <c r="V140" s="996"/>
      <c r="W140" s="979"/>
      <c r="X140" s="996"/>
      <c r="Y140" s="979"/>
      <c r="Z140" s="996"/>
      <c r="AA140" s="997"/>
      <c r="AB140" s="979"/>
      <c r="AC140" s="996"/>
      <c r="AD140" s="997"/>
      <c r="AE140" s="979"/>
      <c r="AF140" s="982"/>
      <c r="AG140" s="415"/>
      <c r="AH140" s="1719"/>
      <c r="AI140" s="407"/>
      <c r="AJ140" s="40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row>
    <row r="141" spans="1:59" ht="16.5" customHeight="1">
      <c r="A141" s="476" t="s">
        <v>52</v>
      </c>
      <c r="C141" s="998">
        <f>ROUND(SUM(C131+C137),1)</f>
        <v>1011.1</v>
      </c>
      <c r="D141" s="996"/>
      <c r="E141" s="998">
        <f>ROUND(SUM(E131+E137),1)</f>
        <v>-4389.2</v>
      </c>
      <c r="F141" s="996"/>
      <c r="G141" s="998">
        <f>ROUND(SUM(G131+G137),1)</f>
        <v>68.2</v>
      </c>
      <c r="H141" s="996"/>
      <c r="I141" s="998">
        <f>ROUND(SUM(I131+I137),1)</f>
        <v>1780.6</v>
      </c>
      <c r="J141" s="996"/>
      <c r="K141" s="998">
        <f>ROUND(SUM(K131+K137),1)</f>
        <v>423.7</v>
      </c>
      <c r="L141" s="996"/>
      <c r="M141" s="998">
        <f>ROUND(SUM(M131+M137),1)</f>
        <v>464.8</v>
      </c>
      <c r="N141" s="996"/>
      <c r="O141" s="998">
        <f>ROUND(SUM(O131+O137),1)</f>
        <v>602.6</v>
      </c>
      <c r="P141" s="996"/>
      <c r="Q141" s="998">
        <f>ROUND(SUM(Q131+Q137),1)</f>
        <v>-1843.7</v>
      </c>
      <c r="R141" s="996"/>
      <c r="S141" s="998">
        <f>ROUND(SUM(S131+S137),1)</f>
        <v>4748</v>
      </c>
      <c r="T141" s="996"/>
      <c r="U141" s="998">
        <f>ROUND(SUM(U131+U137),1)</f>
        <v>7069.8</v>
      </c>
      <c r="V141" s="996"/>
      <c r="W141" s="998">
        <f>ROUND(SUM(W131+W137),1)</f>
        <v>0</v>
      </c>
      <c r="X141" s="996"/>
      <c r="Y141" s="998">
        <f>ROUND(SUM(Y131+Y137),1)</f>
        <v>0</v>
      </c>
      <c r="Z141" s="996"/>
      <c r="AA141" s="997"/>
      <c r="AB141" s="998">
        <f>ROUND(SUM(AB131+AB137),1)</f>
        <v>9935.9</v>
      </c>
      <c r="AC141" s="996"/>
      <c r="AD141" s="997"/>
      <c r="AE141" s="998">
        <f>ROUND(SUM(AE131+AE137),1)</f>
        <v>4562.6000000000004</v>
      </c>
      <c r="AF141" s="982"/>
      <c r="AG141" s="1003"/>
      <c r="AH141" s="1774">
        <f>ROUND(SUM(AB141-AE141),1)</f>
        <v>5373.3</v>
      </c>
      <c r="AI141" s="407"/>
      <c r="AJ141" s="1776">
        <f>ROUND(SUM(AH141/ABS(AE141)),3)</f>
        <v>1.1779999999999999</v>
      </c>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5.6">
      <c r="A142" s="407"/>
      <c r="C142" s="964"/>
      <c r="E142" s="964"/>
      <c r="G142" s="964"/>
      <c r="I142" s="964"/>
      <c r="K142" s="964"/>
      <c r="M142" s="964"/>
      <c r="O142" s="964"/>
      <c r="Q142" s="964"/>
      <c r="S142" s="964"/>
      <c r="U142" s="964"/>
      <c r="W142" s="964"/>
      <c r="Y142" s="964"/>
      <c r="AA142" s="999"/>
      <c r="AB142" s="964"/>
      <c r="AD142" s="999"/>
      <c r="AE142" s="964"/>
      <c r="AF142" s="982"/>
      <c r="AG142" s="1003"/>
      <c r="AH142" s="1560"/>
      <c r="AI142" s="1560"/>
      <c r="AJ142" s="1560"/>
    </row>
    <row r="143" spans="1:59" ht="16.2" thickBot="1">
      <c r="A143" s="1000" t="s">
        <v>144</v>
      </c>
      <c r="C143" s="1001">
        <f>ROUND(SUM(C16+C141),1)</f>
        <v>12636.4</v>
      </c>
      <c r="D143" s="469"/>
      <c r="E143" s="1001">
        <f>ROUND(SUM(E16+E141),1)</f>
        <v>8247.2000000000007</v>
      </c>
      <c r="F143" s="469"/>
      <c r="G143" s="1001">
        <f>ROUND(SUM(G16+G141),1)</f>
        <v>8315.4</v>
      </c>
      <c r="H143" s="469"/>
      <c r="I143" s="1001">
        <f>ROUND(SUM(I16+I141),1)</f>
        <v>10096</v>
      </c>
      <c r="J143" s="1002"/>
      <c r="K143" s="1001">
        <f>ROUND(SUM(K16+K141),1)</f>
        <v>10519.7</v>
      </c>
      <c r="L143" s="1002"/>
      <c r="M143" s="1001">
        <f>ROUND(SUM(M16+M141),1)</f>
        <v>10984.5</v>
      </c>
      <c r="N143" s="1002"/>
      <c r="O143" s="1001">
        <f>ROUND(SUM(O16+O141),1)</f>
        <v>11587.1</v>
      </c>
      <c r="P143" s="1002"/>
      <c r="Q143" s="1001">
        <f>ROUND(SUM(Q16+Q141),1)</f>
        <v>9743.4</v>
      </c>
      <c r="R143" s="1002"/>
      <c r="S143" s="1001">
        <f>ROUND(SUM(S16+S141),1)</f>
        <v>14491.4</v>
      </c>
      <c r="T143" s="1002"/>
      <c r="U143" s="1001">
        <f>ROUND(SUM(U16+U141),1)</f>
        <v>21561.200000000001</v>
      </c>
      <c r="V143" s="1002"/>
      <c r="W143" s="1001">
        <f>ROUND(SUM(W16+W141),1)</f>
        <v>0</v>
      </c>
      <c r="X143" s="1002"/>
      <c r="Y143" s="1001">
        <f>ROUND(SUM(Y16+Y141),1)</f>
        <v>0</v>
      </c>
      <c r="Z143" s="469"/>
      <c r="AA143" s="1003"/>
      <c r="AB143" s="1001">
        <f>ROUND(SUM(AB16+AB141),1)</f>
        <v>21561.200000000001</v>
      </c>
      <c r="AC143" s="469"/>
      <c r="AD143" s="1003"/>
      <c r="AE143" s="1001">
        <f>ROUND(SUM(AE16+AE141),1)</f>
        <v>17203.8</v>
      </c>
      <c r="AF143" s="982"/>
      <c r="AG143" s="1003"/>
      <c r="AH143" s="1001">
        <f>ROUND(SUM(AB143-AE143),1)</f>
        <v>4357.3999999999996</v>
      </c>
      <c r="AI143" s="407"/>
      <c r="AJ143" s="527">
        <f>ROUND(SUM(AH143/ABS(AE143)),3)</f>
        <v>0.253</v>
      </c>
      <c r="AK143" s="787"/>
    </row>
    <row r="144" spans="1:59" ht="16.2" thickTop="1">
      <c r="A144" s="1004"/>
      <c r="C144" s="415"/>
      <c r="AH144" s="1560"/>
      <c r="AI144" s="1560"/>
      <c r="AJ144" s="1560"/>
    </row>
    <row r="145" spans="1:36" ht="15">
      <c r="A145" s="1082" t="s">
        <v>1270</v>
      </c>
      <c r="AH145" s="1560"/>
      <c r="AI145" s="1560"/>
      <c r="AJ145" s="1560"/>
    </row>
    <row r="146" spans="1:36" ht="15">
      <c r="A146" s="1082" t="s">
        <v>1227</v>
      </c>
      <c r="AH146" s="1560"/>
      <c r="AI146" s="1560"/>
      <c r="AJ146" s="1560"/>
    </row>
    <row r="147" spans="1:36" ht="15">
      <c r="A147" s="2200" t="s">
        <v>1306</v>
      </c>
      <c r="AH147" s="1560"/>
      <c r="AI147" s="1560"/>
      <c r="AJ147" s="1560"/>
    </row>
    <row r="148" spans="1:36" ht="16.5" customHeight="1">
      <c r="AH148" s="1560"/>
      <c r="AI148" s="1560"/>
      <c r="AJ148" s="1560"/>
    </row>
    <row r="149" spans="1:36" ht="16.5" customHeight="1">
      <c r="AH149" s="1560"/>
      <c r="AI149" s="1560"/>
      <c r="AJ149" s="1560"/>
    </row>
    <row r="150" spans="1:36" ht="16.5" customHeight="1">
      <c r="AH150" s="1560"/>
      <c r="AI150" s="1560"/>
      <c r="AJ150" s="1560"/>
    </row>
    <row r="151" spans="1:36" ht="16.5" customHeight="1">
      <c r="AH151" s="1560"/>
      <c r="AI151" s="1560"/>
      <c r="AJ151" s="1560"/>
    </row>
    <row r="152" spans="1:36" ht="16.5" customHeight="1">
      <c r="AH152" s="1560"/>
      <c r="AI152" s="1560"/>
      <c r="AJ152" s="1560"/>
    </row>
    <row r="153" spans="1:36" ht="16.5" customHeight="1">
      <c r="AH153" s="1560"/>
      <c r="AI153" s="1560"/>
      <c r="AJ153" s="1560"/>
    </row>
    <row r="154" spans="1:36" ht="16.5" customHeight="1">
      <c r="AH154" s="1560"/>
      <c r="AI154" s="1560"/>
      <c r="AJ154" s="1560"/>
    </row>
    <row r="155" spans="1:36" ht="16.5" customHeight="1">
      <c r="AH155" s="1560"/>
      <c r="AI155" s="1560"/>
      <c r="AJ155" s="1560"/>
    </row>
    <row r="156" spans="1:36" ht="16.5" customHeight="1">
      <c r="AH156" s="1560"/>
      <c r="AI156" s="1560"/>
      <c r="AJ156" s="1560"/>
    </row>
    <row r="157" spans="1:36" ht="16.5" customHeight="1">
      <c r="AH157" s="1560"/>
      <c r="AI157" s="1560"/>
      <c r="AJ157" s="1560"/>
    </row>
    <row r="158" spans="1:36" ht="16.5" customHeight="1">
      <c r="AH158" s="1560"/>
      <c r="AI158" s="1560"/>
      <c r="AJ158" s="1560"/>
    </row>
    <row r="159" spans="1:36" ht="16.5" customHeight="1">
      <c r="AH159" s="1560"/>
      <c r="AI159" s="1560"/>
      <c r="AJ159" s="1560"/>
    </row>
    <row r="160" spans="1:36" ht="16.5" customHeight="1">
      <c r="AH160" s="1560"/>
      <c r="AI160" s="1560"/>
      <c r="AJ160" s="1560"/>
    </row>
    <row r="161" spans="34:36" ht="16.5" customHeight="1">
      <c r="AH161" s="1560"/>
      <c r="AI161" s="1560"/>
      <c r="AJ161" s="156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74" customWidth="1"/>
    <col min="11" max="11" width="1.6328125" style="408" customWidth="1"/>
    <col min="12" max="12" width="12.36328125" style="408"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79"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4" t="s">
        <v>1066</v>
      </c>
    </row>
    <row r="2" spans="1:37">
      <c r="A2" s="453"/>
      <c r="B2" s="454"/>
      <c r="C2" s="454"/>
      <c r="D2" s="454"/>
      <c r="E2" s="454"/>
      <c r="F2" s="454"/>
      <c r="G2" s="454"/>
      <c r="H2" s="454"/>
      <c r="I2" s="454"/>
      <c r="J2" s="1975"/>
      <c r="K2" s="454"/>
      <c r="L2" s="454"/>
      <c r="M2" s="454"/>
      <c r="N2" s="454"/>
      <c r="O2" s="454"/>
      <c r="P2" s="454"/>
      <c r="Q2" s="454"/>
      <c r="R2" s="454"/>
      <c r="S2" s="454"/>
      <c r="T2" s="454"/>
      <c r="U2" s="454"/>
      <c r="V2" s="454"/>
      <c r="W2" s="454"/>
      <c r="X2" s="454"/>
      <c r="Y2" s="454"/>
      <c r="Z2" s="454"/>
      <c r="AA2" s="454"/>
      <c r="AB2" s="454"/>
      <c r="AC2" s="454"/>
      <c r="AD2" s="454"/>
      <c r="AE2" s="454"/>
      <c r="AF2" s="1664"/>
      <c r="AG2" s="454"/>
      <c r="AH2" s="455"/>
    </row>
    <row r="3" spans="1:37">
      <c r="A3" s="453"/>
      <c r="B3" s="454"/>
      <c r="C3" s="454"/>
      <c r="D3" s="454"/>
      <c r="E3" s="454"/>
      <c r="F3" s="454"/>
      <c r="G3" s="454"/>
      <c r="H3" s="454"/>
      <c r="I3" s="454"/>
      <c r="J3" s="1975"/>
      <c r="K3" s="454"/>
      <c r="L3" s="454"/>
      <c r="M3" s="454"/>
      <c r="N3" s="454"/>
      <c r="O3" s="454"/>
      <c r="P3" s="454"/>
      <c r="Q3" s="454"/>
      <c r="R3" s="454"/>
      <c r="S3" s="454"/>
      <c r="T3" s="454"/>
      <c r="U3" s="454"/>
      <c r="V3" s="454"/>
      <c r="W3" s="454"/>
      <c r="X3" s="454"/>
      <c r="Y3" s="454"/>
      <c r="Z3" s="454"/>
      <c r="AA3" s="454"/>
      <c r="AB3" s="454"/>
      <c r="AC3" s="454"/>
      <c r="AD3" s="454"/>
      <c r="AE3" s="454"/>
      <c r="AF3" s="1664"/>
      <c r="AG3" s="454"/>
      <c r="AH3" s="455"/>
    </row>
    <row r="4" spans="1:37">
      <c r="A4" s="453"/>
      <c r="B4" s="454"/>
      <c r="C4" s="454"/>
      <c r="D4" s="454"/>
      <c r="E4" s="454"/>
      <c r="F4" s="454"/>
      <c r="G4" s="454"/>
      <c r="H4" s="454"/>
      <c r="I4" s="454"/>
      <c r="J4" s="1975"/>
      <c r="K4" s="454"/>
      <c r="L4" s="454"/>
      <c r="M4" s="454"/>
      <c r="N4" s="454"/>
      <c r="O4" s="454"/>
      <c r="P4" s="454"/>
      <c r="Q4" s="454"/>
      <c r="R4" s="454"/>
      <c r="S4" s="454"/>
      <c r="T4" s="454"/>
      <c r="U4" s="454"/>
      <c r="V4" s="454"/>
      <c r="W4" s="454"/>
      <c r="X4" s="454"/>
      <c r="Y4" s="454"/>
      <c r="Z4" s="454"/>
      <c r="AA4" s="454"/>
      <c r="AB4" s="454"/>
      <c r="AC4" s="454"/>
      <c r="AD4" s="454"/>
      <c r="AE4" s="454"/>
      <c r="AF4" s="1664"/>
      <c r="AG4" s="454"/>
      <c r="AH4" s="455"/>
    </row>
    <row r="5" spans="1:37" ht="17.399999999999999">
      <c r="A5" s="453"/>
      <c r="B5" s="457" t="s">
        <v>0</v>
      </c>
      <c r="C5" s="454"/>
      <c r="D5" s="454"/>
      <c r="E5" s="454"/>
      <c r="F5" s="355"/>
      <c r="G5" s="454"/>
      <c r="H5" s="454"/>
      <c r="I5" s="454"/>
      <c r="J5" s="1975"/>
      <c r="K5" s="454"/>
      <c r="L5" s="454"/>
      <c r="M5" s="221"/>
      <c r="N5" s="410"/>
      <c r="O5" s="454"/>
      <c r="P5" s="454"/>
      <c r="Q5" s="454"/>
      <c r="R5" s="454"/>
      <c r="S5" s="454"/>
      <c r="T5" s="454"/>
      <c r="U5" s="454"/>
      <c r="V5" s="454"/>
      <c r="W5" s="454"/>
      <c r="X5" s="454"/>
      <c r="Y5" s="454"/>
      <c r="Z5" s="454"/>
      <c r="AA5" s="454"/>
      <c r="AB5" s="454"/>
      <c r="AC5" s="454"/>
      <c r="AD5" s="454"/>
      <c r="AE5" s="454"/>
      <c r="AF5" s="1664"/>
      <c r="AG5" s="454"/>
      <c r="AH5" s="455"/>
      <c r="AK5" s="461" t="s">
        <v>150</v>
      </c>
    </row>
    <row r="6" spans="1:37" ht="17.399999999999999">
      <c r="A6" s="453"/>
      <c r="B6" s="458" t="s">
        <v>149</v>
      </c>
      <c r="C6" s="454"/>
      <c r="D6" s="454"/>
      <c r="E6" s="454"/>
      <c r="F6" s="355"/>
      <c r="G6" s="454"/>
      <c r="H6" s="454" t="s">
        <v>15</v>
      </c>
      <c r="I6" s="454"/>
      <c r="J6" s="1975"/>
      <c r="K6" s="454"/>
      <c r="L6" s="454"/>
      <c r="M6" s="221"/>
      <c r="N6" s="410"/>
      <c r="O6" s="454"/>
      <c r="P6" s="454"/>
      <c r="Q6" s="454"/>
      <c r="R6" s="454"/>
      <c r="S6" s="454"/>
      <c r="T6" s="454"/>
      <c r="U6" s="454"/>
      <c r="V6" s="454"/>
      <c r="W6" s="454"/>
      <c r="X6" s="454"/>
      <c r="Y6" s="454"/>
      <c r="Z6" s="454"/>
      <c r="AA6" s="454"/>
      <c r="AB6" s="454"/>
      <c r="AC6" s="459"/>
      <c r="AD6" s="459"/>
      <c r="AE6" s="459"/>
      <c r="AF6" s="1980"/>
      <c r="AG6" s="460"/>
      <c r="AH6" s="455"/>
    </row>
    <row r="7" spans="1:37" ht="17.399999999999999">
      <c r="A7" s="453"/>
      <c r="B7" s="458" t="s">
        <v>151</v>
      </c>
      <c r="C7" s="454"/>
      <c r="D7" s="454"/>
      <c r="E7" s="454"/>
      <c r="F7" s="355"/>
      <c r="G7" s="454"/>
      <c r="H7" s="454"/>
      <c r="I7" s="454"/>
      <c r="J7" s="1975"/>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03" t="s">
        <v>1437</v>
      </c>
      <c r="C8" s="454"/>
      <c r="D8" s="454"/>
      <c r="E8" s="454"/>
      <c r="F8" s="355"/>
      <c r="G8" s="454"/>
      <c r="H8" s="454"/>
      <c r="I8" s="454"/>
      <c r="J8" s="1975"/>
      <c r="K8" s="454"/>
      <c r="L8" s="454"/>
      <c r="M8" s="221"/>
      <c r="N8" s="410"/>
      <c r="O8" s="454"/>
      <c r="P8" s="454"/>
      <c r="Q8" s="454"/>
      <c r="R8" s="454"/>
      <c r="S8" s="454"/>
      <c r="T8" s="454"/>
      <c r="U8" s="454"/>
      <c r="V8" s="454"/>
      <c r="W8" s="454"/>
      <c r="X8" s="454"/>
      <c r="Y8" s="454"/>
      <c r="Z8" s="454"/>
      <c r="AA8" s="454"/>
      <c r="AB8" s="454"/>
      <c r="AC8" s="454"/>
      <c r="AD8" s="454"/>
      <c r="AE8" s="454"/>
      <c r="AF8" s="1664"/>
      <c r="AG8" s="454"/>
      <c r="AH8" s="455"/>
    </row>
    <row r="9" spans="1:37" ht="15" customHeight="1">
      <c r="A9" s="453"/>
      <c r="B9" s="458" t="s">
        <v>958</v>
      </c>
      <c r="C9" s="454"/>
      <c r="D9" s="454"/>
      <c r="E9" s="454"/>
      <c r="F9" s="355"/>
      <c r="G9" s="454"/>
      <c r="H9" s="454"/>
      <c r="I9" s="454"/>
      <c r="J9" s="1975"/>
      <c r="K9" s="454"/>
      <c r="L9" s="410"/>
      <c r="M9" s="221"/>
      <c r="N9" s="454"/>
      <c r="O9" s="454"/>
      <c r="P9" s="454"/>
      <c r="Q9" s="454"/>
      <c r="R9" s="454"/>
      <c r="S9" s="454"/>
      <c r="T9" s="454"/>
      <c r="U9" s="454"/>
      <c r="V9" s="454"/>
      <c r="W9" s="454"/>
      <c r="X9" s="454"/>
      <c r="Y9" s="454"/>
      <c r="Z9" s="454"/>
      <c r="AA9" s="454"/>
      <c r="AB9" s="454"/>
      <c r="AC9" s="454"/>
      <c r="AD9" s="454"/>
      <c r="AE9" s="454"/>
      <c r="AF9" s="1664"/>
      <c r="AG9" s="454"/>
      <c r="AH9" s="455"/>
    </row>
    <row r="10" spans="1:37" ht="15.6">
      <c r="A10" s="453"/>
      <c r="B10" s="454"/>
      <c r="C10" s="454"/>
      <c r="D10" s="454"/>
      <c r="E10" s="454"/>
      <c r="F10" s="355"/>
      <c r="G10" s="454"/>
      <c r="H10" s="454"/>
      <c r="I10" s="454"/>
      <c r="J10" s="1975"/>
      <c r="K10" s="454"/>
      <c r="L10" s="454"/>
      <c r="M10" s="454"/>
      <c r="N10" s="454"/>
      <c r="O10" s="454"/>
      <c r="P10" s="454"/>
      <c r="Q10" s="454"/>
      <c r="R10" s="454"/>
      <c r="S10" s="454"/>
      <c r="T10" s="454"/>
      <c r="U10" s="454"/>
      <c r="V10" s="454"/>
      <c r="W10" s="454"/>
      <c r="X10" s="454"/>
      <c r="Y10" s="454"/>
      <c r="Z10" s="454"/>
      <c r="AA10" s="454"/>
      <c r="AB10" s="3542" t="s">
        <v>1556</v>
      </c>
      <c r="AC10" s="3542"/>
      <c r="AD10" s="3542"/>
      <c r="AE10" s="3542"/>
      <c r="AF10" s="3542"/>
      <c r="AG10" s="3542"/>
      <c r="AH10" s="3542"/>
      <c r="AI10" s="3542"/>
      <c r="AJ10" s="3542"/>
      <c r="AK10" s="3542"/>
    </row>
    <row r="11" spans="1:37" ht="15" customHeight="1">
      <c r="A11" s="453"/>
      <c r="B11" s="222"/>
      <c r="C11" s="222"/>
      <c r="D11" s="1395">
        <v>2017</v>
      </c>
      <c r="E11" s="221"/>
      <c r="F11" s="1396"/>
      <c r="G11" s="221"/>
      <c r="H11" s="410"/>
      <c r="I11" s="221"/>
      <c r="J11" s="310"/>
      <c r="K11" s="221"/>
      <c r="L11" s="410"/>
      <c r="M11" s="221"/>
      <c r="N11" s="410"/>
      <c r="O11" s="221"/>
      <c r="P11" s="410"/>
      <c r="Q11" s="221"/>
      <c r="R11" s="410"/>
      <c r="S11" s="221"/>
      <c r="T11" s="410"/>
      <c r="U11" s="221"/>
      <c r="V11" s="1395">
        <v>2018</v>
      </c>
      <c r="W11" s="221"/>
      <c r="X11" s="410"/>
      <c r="Y11" s="221"/>
      <c r="Z11" s="410"/>
      <c r="AA11" s="410"/>
      <c r="AB11" s="221"/>
      <c r="AC11" s="411"/>
      <c r="AD11" s="475"/>
      <c r="AE11" s="475"/>
      <c r="AF11" s="1963"/>
      <c r="AG11" s="411"/>
      <c r="AH11" s="1398"/>
      <c r="AI11" s="1399" t="s">
        <v>8</v>
      </c>
      <c r="AJ11" s="411"/>
      <c r="AK11" s="1400" t="s">
        <v>9</v>
      </c>
    </row>
    <row r="12" spans="1:37" ht="15" customHeight="1">
      <c r="A12" s="453"/>
      <c r="B12" s="222"/>
      <c r="C12" s="222"/>
      <c r="D12" s="1382" t="s">
        <v>127</v>
      </c>
      <c r="E12" s="221"/>
      <c r="F12" s="1401" t="s">
        <v>128</v>
      </c>
      <c r="G12" s="221"/>
      <c r="H12" s="1401" t="s">
        <v>129</v>
      </c>
      <c r="I12" s="221"/>
      <c r="J12" s="1976" t="s">
        <v>130</v>
      </c>
      <c r="K12" s="221"/>
      <c r="L12" s="1402" t="s">
        <v>131</v>
      </c>
      <c r="M12" s="221"/>
      <c r="N12" s="1402" t="s">
        <v>132</v>
      </c>
      <c r="O12" s="221"/>
      <c r="P12" s="1402" t="s">
        <v>133</v>
      </c>
      <c r="Q12" s="221"/>
      <c r="R12" s="1402" t="s">
        <v>134</v>
      </c>
      <c r="S12" s="221"/>
      <c r="T12" s="1402" t="s">
        <v>135</v>
      </c>
      <c r="U12" s="221"/>
      <c r="V12" s="1402" t="s">
        <v>152</v>
      </c>
      <c r="W12" s="221"/>
      <c r="X12" s="1402" t="s">
        <v>137</v>
      </c>
      <c r="Y12" s="221"/>
      <c r="Z12" s="1402" t="s">
        <v>138</v>
      </c>
      <c r="AA12" s="1400"/>
      <c r="AB12" s="221"/>
      <c r="AC12" s="1403">
        <v>2018</v>
      </c>
      <c r="AD12" s="221" t="s">
        <v>15</v>
      </c>
      <c r="AE12" s="221"/>
      <c r="AF12" s="1981">
        <v>2017</v>
      </c>
      <c r="AG12" s="1404"/>
      <c r="AH12" s="1398"/>
      <c r="AI12" s="1405" t="s">
        <v>12</v>
      </c>
      <c r="AJ12" s="410"/>
      <c r="AK12" s="1406"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82"/>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f>N139</f>
        <v>6523.2</v>
      </c>
      <c r="Q14" s="466"/>
      <c r="R14" s="292">
        <f>P139</f>
        <v>6363</v>
      </c>
      <c r="S14" s="466"/>
      <c r="T14" s="292">
        <f>R139</f>
        <v>4508.5</v>
      </c>
      <c r="U14" s="466"/>
      <c r="V14" s="292">
        <f>T139</f>
        <v>10145.200000000001</v>
      </c>
      <c r="W14" s="292"/>
      <c r="X14" s="292"/>
      <c r="Y14" s="466"/>
      <c r="Z14" s="466"/>
      <c r="AA14" s="466"/>
      <c r="AB14" s="467"/>
      <c r="AC14" s="292">
        <v>7748.6</v>
      </c>
      <c r="AD14" s="466"/>
      <c r="AE14" s="467"/>
      <c r="AF14" s="334">
        <v>8934.1</v>
      </c>
      <c r="AG14" s="466"/>
      <c r="AH14" s="468"/>
      <c r="AI14" s="292">
        <f>ROUND(SUM(+AC14-AF14),1)</f>
        <v>-1185.5</v>
      </c>
      <c r="AJ14" s="2533"/>
      <c r="AK14" s="2573">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22"/>
      <c r="AK15" s="1460"/>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22"/>
      <c r="AK16" s="1460"/>
    </row>
    <row r="17" spans="1:37" ht="15" customHeight="1">
      <c r="A17" s="350"/>
      <c r="B17" s="486" t="s">
        <v>1177</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22"/>
      <c r="AK17" s="1460"/>
    </row>
    <row r="18" spans="1:37" ht="15" customHeight="1">
      <c r="A18" s="350"/>
      <c r="B18" s="1907" t="s">
        <v>1247</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22"/>
      <c r="AK18" s="1460"/>
    </row>
    <row r="19" spans="1:37" ht="15" customHeight="1">
      <c r="A19" s="350"/>
      <c r="B19" s="1206" t="s">
        <v>1183</v>
      </c>
      <c r="C19" s="223"/>
      <c r="D19" s="2799">
        <v>2755.8</v>
      </c>
      <c r="E19" s="1523"/>
      <c r="F19" s="2799">
        <v>2855</v>
      </c>
      <c r="G19" s="1523"/>
      <c r="H19" s="2799">
        <v>2889.4</v>
      </c>
      <c r="I19" s="1948"/>
      <c r="J19" s="316">
        <v>2682.4</v>
      </c>
      <c r="K19" s="260"/>
      <c r="L19" s="2799">
        <v>3026.7</v>
      </c>
      <c r="M19" s="260"/>
      <c r="N19" s="260">
        <v>2583.1000000000022</v>
      </c>
      <c r="O19" s="260"/>
      <c r="P19" s="260">
        <v>2789.6999999999971</v>
      </c>
      <c r="Q19" s="260"/>
      <c r="R19" s="260">
        <v>2898.9000000000015</v>
      </c>
      <c r="S19" s="260"/>
      <c r="T19" s="260">
        <v>3930.0999999999985</v>
      </c>
      <c r="U19" s="260"/>
      <c r="V19" s="260">
        <v>5581.9</v>
      </c>
      <c r="W19" s="260"/>
      <c r="X19" s="2955"/>
      <c r="Y19" s="260"/>
      <c r="Z19" s="260"/>
      <c r="AA19" s="222"/>
      <c r="AB19" s="237"/>
      <c r="AC19" s="260">
        <f>ROUND(SUM(D19:Z19),1)</f>
        <v>31993</v>
      </c>
      <c r="AD19" s="223"/>
      <c r="AE19" s="237"/>
      <c r="AF19" s="85">
        <v>29092.1</v>
      </c>
      <c r="AG19" s="222"/>
      <c r="AH19" s="465"/>
      <c r="AI19" s="1111">
        <f>ROUND(SUM(+AC19-AF19),1)</f>
        <v>2900.9</v>
      </c>
      <c r="AJ19" s="1922"/>
      <c r="AK19" s="1700">
        <f>ROUND(IF(AF19=0,0,AI19/ABS(AF19)),3)</f>
        <v>0.1</v>
      </c>
    </row>
    <row r="20" spans="1:37" ht="15" customHeight="1">
      <c r="A20" s="350"/>
      <c r="B20" s="1206" t="s">
        <v>1184</v>
      </c>
      <c r="C20" s="223"/>
      <c r="D20" s="2799">
        <v>4168.2</v>
      </c>
      <c r="E20" s="1093"/>
      <c r="F20" s="1093">
        <v>112.1</v>
      </c>
      <c r="G20" s="1093"/>
      <c r="H20" s="1093">
        <v>1922.9</v>
      </c>
      <c r="I20" s="223"/>
      <c r="J20" s="316">
        <v>89.7</v>
      </c>
      <c r="K20" s="223"/>
      <c r="L20" s="1093">
        <v>95.600000000000364</v>
      </c>
      <c r="M20" s="223"/>
      <c r="N20" s="260">
        <v>2315.2999999999993</v>
      </c>
      <c r="O20" s="260"/>
      <c r="P20" s="260">
        <v>145.30000000000001</v>
      </c>
      <c r="Q20" s="260"/>
      <c r="R20" s="260">
        <v>116.69999999999891</v>
      </c>
      <c r="S20" s="260"/>
      <c r="T20" s="260">
        <v>3044.8000000000011</v>
      </c>
      <c r="U20" s="260"/>
      <c r="V20" s="2800">
        <v>5609.6</v>
      </c>
      <c r="W20" s="260"/>
      <c r="X20" s="260"/>
      <c r="Y20" s="260"/>
      <c r="Z20" s="260"/>
      <c r="AA20" s="222"/>
      <c r="AB20" s="237"/>
      <c r="AC20" s="260">
        <f>ROUND(SUM(D20:Z20),1)</f>
        <v>17620.2</v>
      </c>
      <c r="AD20" s="223"/>
      <c r="AE20" s="3506" t="s">
        <v>15</v>
      </c>
      <c r="AF20" s="85">
        <v>14790.1</v>
      </c>
      <c r="AG20" s="222"/>
      <c r="AH20" s="465"/>
      <c r="AI20" s="1111">
        <f>ROUND(SUM(+AC20-AF20),1)</f>
        <v>2830.1</v>
      </c>
      <c r="AJ20" s="1922"/>
      <c r="AK20" s="1700">
        <f>ROUND(IF(AF20=0,0,AI20/ABS(AF20)),3)</f>
        <v>0.191</v>
      </c>
    </row>
    <row r="21" spans="1:37" ht="15" customHeight="1">
      <c r="A21" s="350"/>
      <c r="B21" s="1206" t="s">
        <v>1185</v>
      </c>
      <c r="C21" s="223"/>
      <c r="D21" s="2799">
        <v>1572.8</v>
      </c>
      <c r="E21" s="1093"/>
      <c r="F21" s="1093">
        <v>74.599999999999994</v>
      </c>
      <c r="G21" s="1093"/>
      <c r="H21" s="1093">
        <v>44.2</v>
      </c>
      <c r="I21" s="223"/>
      <c r="J21" s="316">
        <v>31.7</v>
      </c>
      <c r="K21" s="223"/>
      <c r="L21" s="1093">
        <v>33</v>
      </c>
      <c r="M21" s="223"/>
      <c r="N21" s="260">
        <v>47.299999999999955</v>
      </c>
      <c r="O21" s="260"/>
      <c r="P21" s="260">
        <v>391.70000000000027</v>
      </c>
      <c r="Q21" s="260"/>
      <c r="R21" s="260">
        <v>33.899999999999636</v>
      </c>
      <c r="S21" s="260"/>
      <c r="T21" s="260">
        <v>34.1</v>
      </c>
      <c r="U21" s="260"/>
      <c r="V21" s="2800">
        <v>39.299999999999997</v>
      </c>
      <c r="W21" s="260"/>
      <c r="X21" s="260"/>
      <c r="Y21" s="260"/>
      <c r="Z21" s="260"/>
      <c r="AA21" s="222"/>
      <c r="AB21" s="237"/>
      <c r="AC21" s="260">
        <f>ROUND(SUM(D21:Z21),1)</f>
        <v>2302.6</v>
      </c>
      <c r="AD21" s="223"/>
      <c r="AE21" s="237"/>
      <c r="AF21" s="85">
        <v>2421.5</v>
      </c>
      <c r="AG21" s="222"/>
      <c r="AH21" s="465"/>
      <c r="AI21" s="1111">
        <f>ROUND(SUM(+AC21-AF21),1)</f>
        <v>-118.9</v>
      </c>
      <c r="AJ21" s="1922"/>
      <c r="AK21" s="1700">
        <f>ROUND(IF(AF21=0,0,AI21/ABS(AF21)),3)</f>
        <v>-4.9000000000000002E-2</v>
      </c>
    </row>
    <row r="22" spans="1:37" ht="15" customHeight="1">
      <c r="A22" s="350"/>
      <c r="B22" s="1945" t="s">
        <v>1186</v>
      </c>
      <c r="C22" s="223"/>
      <c r="D22" s="2799">
        <v>-201.5</v>
      </c>
      <c r="E22" s="1093"/>
      <c r="F22" s="1093">
        <v>-15.6</v>
      </c>
      <c r="G22" s="1093"/>
      <c r="H22" s="1093">
        <v>-19.399999999999999</v>
      </c>
      <c r="I22" s="223"/>
      <c r="J22" s="316">
        <v>-19</v>
      </c>
      <c r="K22" s="223"/>
      <c r="L22" s="1093">
        <v>-21.199999999999989</v>
      </c>
      <c r="M22" s="223"/>
      <c r="N22" s="260">
        <v>-29</v>
      </c>
      <c r="O22" s="260"/>
      <c r="P22" s="260">
        <v>-321.7</v>
      </c>
      <c r="Q22" s="260"/>
      <c r="R22" s="260">
        <v>-96</v>
      </c>
      <c r="S22" s="260"/>
      <c r="T22" s="260">
        <v>-8.3000000000000007</v>
      </c>
      <c r="U22" s="260"/>
      <c r="V22" s="2800">
        <v>-16.3</v>
      </c>
      <c r="W22" s="260"/>
      <c r="X22" s="260"/>
      <c r="Y22" s="260"/>
      <c r="Z22" s="260"/>
      <c r="AA22" s="222"/>
      <c r="AB22" s="237"/>
      <c r="AC22" s="260">
        <f>ROUND(SUM(D22:Z22),1)</f>
        <v>-748</v>
      </c>
      <c r="AD22" s="223"/>
      <c r="AE22" s="237"/>
      <c r="AF22" s="85">
        <v>-770.3</v>
      </c>
      <c r="AG22" s="222"/>
      <c r="AH22" s="465"/>
      <c r="AI22" s="1111">
        <f>-ROUND(SUM(+AC22-AF22),1)</f>
        <v>-22.3</v>
      </c>
      <c r="AJ22" s="1922"/>
      <c r="AK22" s="2582">
        <f>ROUND(IF(AF22=0,0,AI22/ABS(AF22)),3)</f>
        <v>-2.9000000000000001E-2</v>
      </c>
    </row>
    <row r="23" spans="1:37" ht="15" customHeight="1">
      <c r="A23" s="350"/>
      <c r="B23" s="1945" t="s">
        <v>1187</v>
      </c>
      <c r="C23" s="223"/>
      <c r="D23" s="2799">
        <v>154</v>
      </c>
      <c r="E23" s="1093"/>
      <c r="F23" s="1093">
        <v>105.2</v>
      </c>
      <c r="G23" s="1093"/>
      <c r="H23" s="1093">
        <v>87.5</v>
      </c>
      <c r="I23" s="223"/>
      <c r="J23" s="316">
        <v>97.2</v>
      </c>
      <c r="K23" s="223"/>
      <c r="L23" s="1093">
        <v>110.70000000000005</v>
      </c>
      <c r="M23" s="223"/>
      <c r="N23" s="260">
        <v>79.399999999999977</v>
      </c>
      <c r="O23" s="260"/>
      <c r="P23" s="260">
        <v>100.10000000000002</v>
      </c>
      <c r="Q23" s="260"/>
      <c r="R23" s="260">
        <v>108.29999999999995</v>
      </c>
      <c r="S23" s="260"/>
      <c r="T23" s="260">
        <v>106.10000000000002</v>
      </c>
      <c r="U23" s="260"/>
      <c r="V23" s="2800">
        <v>209.4</v>
      </c>
      <c r="W23" s="260"/>
      <c r="X23" s="260"/>
      <c r="Y23" s="260"/>
      <c r="Z23" s="260"/>
      <c r="AA23" s="222"/>
      <c r="AB23" s="237"/>
      <c r="AC23" s="260">
        <f>ROUND(SUM(D23:Z23),1)</f>
        <v>1157.9000000000001</v>
      </c>
      <c r="AD23" s="223"/>
      <c r="AE23" s="237"/>
      <c r="AF23" s="85">
        <v>1079.2</v>
      </c>
      <c r="AG23" s="222"/>
      <c r="AH23" s="465"/>
      <c r="AI23" s="1111">
        <f>ROUND(SUM(+AC23-AF23),1)</f>
        <v>78.7</v>
      </c>
      <c r="AJ23" s="1922"/>
      <c r="AK23" s="1700">
        <f>ROUND(IF(AF23=0,0,AI23/ABS(AF23)),3)</f>
        <v>7.2999999999999995E-2</v>
      </c>
    </row>
    <row r="24" spans="1:37" ht="15" customHeight="1">
      <c r="A24" s="350"/>
      <c r="B24" s="1207" t="s">
        <v>1188</v>
      </c>
      <c r="C24" s="223"/>
      <c r="D24" s="480">
        <f>ROUND(SUM(D19:D23),1)</f>
        <v>8449.2999999999993</v>
      </c>
      <c r="E24" s="223"/>
      <c r="F24" s="480">
        <f>ROUND(SUM(F19:F23),1)</f>
        <v>3131.3</v>
      </c>
      <c r="G24" s="223"/>
      <c r="H24" s="480">
        <f>ROUND(SUM(H19:H23),1)</f>
        <v>4924.6000000000004</v>
      </c>
      <c r="I24" s="223"/>
      <c r="J24" s="1219">
        <f>ROUND(SUM(J19:J23),1)</f>
        <v>2882</v>
      </c>
      <c r="K24" s="223"/>
      <c r="L24" s="480">
        <f>ROUND(SUM(L19:L23),1)</f>
        <v>3244.8</v>
      </c>
      <c r="M24" s="223"/>
      <c r="N24" s="480">
        <f>ROUND(SUM(N19:N23),1)</f>
        <v>4996.1000000000004</v>
      </c>
      <c r="O24" s="260"/>
      <c r="P24" s="480">
        <f>ROUND(SUM(P19:P23),1)</f>
        <v>3105.1</v>
      </c>
      <c r="Q24" s="260"/>
      <c r="R24" s="480">
        <f>ROUND(SUM(R19:R23),1)</f>
        <v>3061.8</v>
      </c>
      <c r="S24" s="260"/>
      <c r="T24" s="480">
        <f>ROUND(SUM(T19:T23),1)</f>
        <v>7106.8</v>
      </c>
      <c r="U24" s="260"/>
      <c r="V24" s="480">
        <f>ROUND(SUM(V19:V23),1)</f>
        <v>11423.9</v>
      </c>
      <c r="W24" s="260"/>
      <c r="X24" s="480">
        <f>ROUND(SUM(X19:X23),1)</f>
        <v>0</v>
      </c>
      <c r="Y24" s="260"/>
      <c r="Z24" s="480">
        <f>ROUND(SUM(Z19:Z23),1)</f>
        <v>0</v>
      </c>
      <c r="AA24" s="222"/>
      <c r="AB24" s="237"/>
      <c r="AC24" s="480">
        <f>ROUND(SUM(AC19:AC23),1)</f>
        <v>52325.7</v>
      </c>
      <c r="AD24" s="223"/>
      <c r="AE24" s="237"/>
      <c r="AF24" s="1219">
        <f>ROUND(SUM(AF19:AF23),1)</f>
        <v>46612.6</v>
      </c>
      <c r="AG24" s="222"/>
      <c r="AH24" s="465"/>
      <c r="AI24" s="480">
        <f>ROUND(SUM(AC24-AF24),1)</f>
        <v>5713.1</v>
      </c>
      <c r="AJ24" s="1922"/>
      <c r="AK24" s="1933">
        <f>ROUND(SUM(+AI24/AF24),3)</f>
        <v>0.123</v>
      </c>
    </row>
    <row r="25" spans="1:37" ht="15" customHeight="1">
      <c r="A25" s="350"/>
      <c r="B25" s="1945" t="s">
        <v>1190</v>
      </c>
      <c r="C25" s="223"/>
      <c r="D25" s="1343">
        <v>0</v>
      </c>
      <c r="E25" s="1093"/>
      <c r="F25" s="1343">
        <v>0</v>
      </c>
      <c r="G25" s="1093"/>
      <c r="H25" s="1343">
        <v>-57.6</v>
      </c>
      <c r="I25" s="223"/>
      <c r="J25" s="316">
        <v>0</v>
      </c>
      <c r="K25" s="223"/>
      <c r="L25" s="1343">
        <v>0</v>
      </c>
      <c r="M25" s="223"/>
      <c r="N25" s="260">
        <v>0</v>
      </c>
      <c r="O25" s="260"/>
      <c r="P25" s="260">
        <v>-5</v>
      </c>
      <c r="Q25" s="260"/>
      <c r="R25" s="260">
        <v>-11.600000000000001</v>
      </c>
      <c r="S25" s="260"/>
      <c r="T25" s="260">
        <v>-87.999999999999986</v>
      </c>
      <c r="U25" s="260"/>
      <c r="V25" s="260">
        <v>-2413.5</v>
      </c>
      <c r="W25" s="260"/>
      <c r="X25" s="260"/>
      <c r="Y25" s="260"/>
      <c r="Z25" s="260"/>
      <c r="AA25" s="222"/>
      <c r="AB25" s="237"/>
      <c r="AC25" s="260">
        <f>ROUND(SUM(D25:Z25),1)</f>
        <v>-2575.6999999999998</v>
      </c>
      <c r="AD25" s="223"/>
      <c r="AE25" s="237"/>
      <c r="AF25" s="2426">
        <v>-2895.9</v>
      </c>
      <c r="AG25" s="222"/>
      <c r="AH25" s="465"/>
      <c r="AI25" s="1111">
        <f>-ROUND(SUM(+AC25-AF25),1)</f>
        <v>-320.2</v>
      </c>
      <c r="AJ25" s="1922"/>
      <c r="AK25" s="2582">
        <f>ROUND(IF(AF25=0,1,AI25/ABS(AF25)),3)</f>
        <v>-0.111</v>
      </c>
    </row>
    <row r="26" spans="1:37" ht="15" customHeight="1">
      <c r="A26" s="350"/>
      <c r="B26" s="1945" t="s">
        <v>1191</v>
      </c>
      <c r="C26" s="223"/>
      <c r="D26" s="2815">
        <v>-1250.5</v>
      </c>
      <c r="E26" s="1093"/>
      <c r="F26" s="1142">
        <v>-525.29999999999995</v>
      </c>
      <c r="G26" s="1093"/>
      <c r="H26" s="1142">
        <v>-1162.7</v>
      </c>
      <c r="I26" s="223"/>
      <c r="J26" s="316">
        <v>-662.5</v>
      </c>
      <c r="K26" s="223"/>
      <c r="L26" s="1142">
        <v>-763.69999999999982</v>
      </c>
      <c r="M26" s="223"/>
      <c r="N26" s="260">
        <v>-1179</v>
      </c>
      <c r="O26" s="260"/>
      <c r="P26" s="260">
        <v>-673.5</v>
      </c>
      <c r="Q26" s="260"/>
      <c r="R26" s="260">
        <v>-597.90000000000055</v>
      </c>
      <c r="S26" s="260"/>
      <c r="T26" s="260">
        <v>-1692.8999999999996</v>
      </c>
      <c r="U26" s="260"/>
      <c r="V26" s="260">
        <v>-2807.3</v>
      </c>
      <c r="W26" s="260"/>
      <c r="X26" s="260"/>
      <c r="Y26" s="260"/>
      <c r="Z26" s="260"/>
      <c r="AA26" s="222"/>
      <c r="AB26" s="237"/>
      <c r="AC26" s="260">
        <f>ROUND(SUM(D26:Z26),1)</f>
        <v>-11315.3</v>
      </c>
      <c r="AD26" s="223"/>
      <c r="AE26" s="237"/>
      <c r="AF26" s="2427">
        <v>-10118.200000000001</v>
      </c>
      <c r="AG26" s="222"/>
      <c r="AH26" s="465"/>
      <c r="AI26" s="1111">
        <f>-ROUND(SUM(+AC26-AF26),1)</f>
        <v>1197.0999999999999</v>
      </c>
      <c r="AJ26" s="1922"/>
      <c r="AK26" s="2582">
        <f>ROUND(IF(AF26=0,0,AI26/ABS(AF26)),3)</f>
        <v>0.11799999999999999</v>
      </c>
    </row>
    <row r="27" spans="1:37" ht="15" customHeight="1">
      <c r="A27" s="350"/>
      <c r="B27" s="1206" t="s">
        <v>1192</v>
      </c>
      <c r="C27" s="223"/>
      <c r="D27" s="2799">
        <v>-3447.5</v>
      </c>
      <c r="E27" s="1093"/>
      <c r="F27" s="1093">
        <v>-1030</v>
      </c>
      <c r="G27" s="1093"/>
      <c r="H27" s="1093">
        <v>-273.8</v>
      </c>
      <c r="I27" s="223"/>
      <c r="J27" s="316">
        <v>-232</v>
      </c>
      <c r="K27" s="223"/>
      <c r="L27" s="1093">
        <v>-189.8</v>
      </c>
      <c r="M27" s="223"/>
      <c r="N27" s="260">
        <v>-280.3</v>
      </c>
      <c r="O27" s="260"/>
      <c r="P27" s="260">
        <v>-410.9</v>
      </c>
      <c r="Q27" s="260"/>
      <c r="R27" s="260">
        <v>-670.39999999999964</v>
      </c>
      <c r="S27" s="260"/>
      <c r="T27" s="260">
        <v>-335</v>
      </c>
      <c r="U27" s="260"/>
      <c r="V27" s="260">
        <v>-194.7</v>
      </c>
      <c r="W27" s="260"/>
      <c r="X27" s="260"/>
      <c r="Y27" s="260"/>
      <c r="Z27" s="260"/>
      <c r="AA27" s="222"/>
      <c r="AB27" s="237"/>
      <c r="AC27" s="260">
        <f>ROUND(SUM(D27:Z27),1)</f>
        <v>-7064.4</v>
      </c>
      <c r="AD27" s="223"/>
      <c r="AE27" s="237"/>
      <c r="AF27" s="85">
        <v>-6139.7</v>
      </c>
      <c r="AG27" s="222"/>
      <c r="AH27" s="465"/>
      <c r="AI27" s="1111">
        <f>-ROUND(SUM(+AC27-AF27),1)</f>
        <v>924.7</v>
      </c>
      <c r="AJ27" s="1922"/>
      <c r="AK27" s="2582">
        <f>ROUND(IF(AF27=0,0,AI27/ABS(AF27)),3)</f>
        <v>0.151</v>
      </c>
    </row>
    <row r="28" spans="1:37" ht="15" customHeight="1">
      <c r="A28" s="350"/>
      <c r="B28" s="583" t="s">
        <v>1189</v>
      </c>
      <c r="C28" s="222"/>
      <c r="D28" s="2816">
        <f>ROUND(SUM(D24:D27),1)</f>
        <v>3751.3</v>
      </c>
      <c r="E28" s="260"/>
      <c r="F28" s="480">
        <f>ROUND(SUM(F24+F25+F26+F27),1)</f>
        <v>1576</v>
      </c>
      <c r="G28" s="260"/>
      <c r="H28" s="480">
        <f>ROUND(SUM(H24+H25+H26+H27),1)</f>
        <v>3430.5</v>
      </c>
      <c r="I28" s="260"/>
      <c r="J28" s="1219">
        <f>ROUND(SUM(J24+J25+J26+J27),1)</f>
        <v>1987.5</v>
      </c>
      <c r="K28" s="260"/>
      <c r="L28" s="480">
        <f>ROUND(SUM(L24+L25+L26+L27),1)</f>
        <v>2291.3000000000002</v>
      </c>
      <c r="M28" s="260"/>
      <c r="N28" s="480">
        <f>ROUND(SUM(N24+N25+N26+N27),1)</f>
        <v>3536.8</v>
      </c>
      <c r="O28" s="260"/>
      <c r="P28" s="480">
        <f>ROUND(SUM(P24:P27),1)</f>
        <v>2015.7</v>
      </c>
      <c r="Q28" s="260"/>
      <c r="R28" s="480">
        <f>ROUND(SUM(R24+R25+R26+R27),1)</f>
        <v>1781.9</v>
      </c>
      <c r="S28" s="260"/>
      <c r="T28" s="480">
        <f>ROUND(SUM(T24+T25+T26+T27),1)</f>
        <v>4990.8999999999996</v>
      </c>
      <c r="U28" s="260"/>
      <c r="V28" s="480">
        <f>ROUND(SUM(V24+V25+V26+V27),1)</f>
        <v>6008.4</v>
      </c>
      <c r="W28" s="260"/>
      <c r="X28" s="480">
        <f>ROUND(SUM(X24+X25+X26+X27),1)</f>
        <v>0</v>
      </c>
      <c r="Y28" s="260"/>
      <c r="Z28" s="480">
        <f>ROUND(SUM(Z24+Z25+Z26+Z27),1)</f>
        <v>0</v>
      </c>
      <c r="AA28" s="365"/>
      <c r="AB28" s="237"/>
      <c r="AC28" s="480">
        <f>ROUND(SUM(AC24+AC25+AC26+AC27),1)</f>
        <v>31370.3</v>
      </c>
      <c r="AD28" s="260"/>
      <c r="AE28" s="249"/>
      <c r="AF28" s="1219">
        <f>ROUND(SUM(AF24+AF25+AF26+AF27),1)</f>
        <v>27458.799999999999</v>
      </c>
      <c r="AG28" s="260"/>
      <c r="AH28" s="1212"/>
      <c r="AI28" s="480">
        <f>ROUND(SUM(AI24-AI25-AI26-AI27),1)</f>
        <v>3911.5</v>
      </c>
      <c r="AJ28" s="1740"/>
      <c r="AK28" s="1933">
        <f>ROUND(SUM(+AI28/AF28),3)</f>
        <v>0.14199999999999999</v>
      </c>
    </row>
    <row r="29" spans="1:37" ht="15" customHeight="1">
      <c r="A29" s="350"/>
      <c r="B29" s="1907" t="s">
        <v>1244</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2"/>
      <c r="AI29" s="272"/>
      <c r="AJ29" s="1740"/>
      <c r="AK29" s="1905"/>
    </row>
    <row r="30" spans="1:37" ht="15" customHeight="1">
      <c r="A30" s="350"/>
      <c r="B30" s="1206" t="s">
        <v>1195</v>
      </c>
      <c r="C30" s="222"/>
      <c r="D30" s="1093">
        <v>477.4</v>
      </c>
      <c r="E30" s="1093"/>
      <c r="F30" s="1093">
        <v>488.3</v>
      </c>
      <c r="G30" s="1093"/>
      <c r="H30" s="1093">
        <v>676.8</v>
      </c>
      <c r="I30" s="260"/>
      <c r="J30" s="1876">
        <v>526.79999999999995</v>
      </c>
      <c r="K30" s="260"/>
      <c r="L30" s="1093">
        <v>515.69999999999982</v>
      </c>
      <c r="M30" s="260"/>
      <c r="N30" s="1740">
        <v>681.5</v>
      </c>
      <c r="O30" s="260"/>
      <c r="P30" s="1740">
        <v>520</v>
      </c>
      <c r="Q30" s="1111"/>
      <c r="R30" s="1740">
        <v>551</v>
      </c>
      <c r="S30" s="1111"/>
      <c r="T30" s="1740">
        <v>693.10000000000036</v>
      </c>
      <c r="U30" s="1111"/>
      <c r="V30" s="1740">
        <v>560.29999999999995</v>
      </c>
      <c r="W30" s="1111"/>
      <c r="X30" s="1740"/>
      <c r="Y30" s="1111"/>
      <c r="Z30" s="1740"/>
      <c r="AA30" s="365"/>
      <c r="AB30" s="237"/>
      <c r="AC30" s="316">
        <f>ROUND(SUM(D30:Z30),1)</f>
        <v>5690.9</v>
      </c>
      <c r="AD30" s="260"/>
      <c r="AE30" s="249"/>
      <c r="AF30" s="85">
        <v>5443.3</v>
      </c>
      <c r="AG30" s="260"/>
      <c r="AH30" s="1212"/>
      <c r="AI30" s="1111">
        <f t="shared" ref="AI30:AI36" si="0">ROUND(SUM(+AC30-AF30),1)</f>
        <v>247.6</v>
      </c>
      <c r="AJ30" s="1740"/>
      <c r="AK30" s="1700">
        <f t="shared" ref="AK30:AK36" si="1">ROUND(IF(AF30=0,0,AI30/ABS(AF30)),3)</f>
        <v>4.4999999999999998E-2</v>
      </c>
    </row>
    <row r="31" spans="1:37" ht="15" customHeight="1">
      <c r="A31" s="350"/>
      <c r="B31" s="1206" t="s">
        <v>1196</v>
      </c>
      <c r="C31" s="222"/>
      <c r="D31" s="1142">
        <v>0</v>
      </c>
      <c r="E31" s="1093"/>
      <c r="F31" s="1142">
        <v>0</v>
      </c>
      <c r="G31" s="1093"/>
      <c r="H31" s="1142">
        <v>0</v>
      </c>
      <c r="I31" s="260"/>
      <c r="J31" s="1876">
        <v>0</v>
      </c>
      <c r="K31" s="260"/>
      <c r="L31" s="1142">
        <v>0</v>
      </c>
      <c r="M31" s="260"/>
      <c r="N31" s="1740">
        <v>0</v>
      </c>
      <c r="O31" s="260"/>
      <c r="P31" s="1740">
        <v>0</v>
      </c>
      <c r="Q31" s="1111"/>
      <c r="R31" s="1740">
        <v>0</v>
      </c>
      <c r="S31" s="1111"/>
      <c r="T31" s="1740">
        <v>0</v>
      </c>
      <c r="U31" s="1111"/>
      <c r="V31" s="1740">
        <v>0</v>
      </c>
      <c r="W31" s="1111"/>
      <c r="X31" s="1740"/>
      <c r="Y31" s="1111"/>
      <c r="Z31" s="1740"/>
      <c r="AA31" s="365"/>
      <c r="AB31" s="237"/>
      <c r="AC31" s="260">
        <f t="shared" ref="AC31:AC36" si="2">ROUND(SUM(D31:Z31),1)</f>
        <v>0</v>
      </c>
      <c r="AD31" s="260"/>
      <c r="AE31" s="249"/>
      <c r="AF31" s="2428">
        <v>0</v>
      </c>
      <c r="AG31" s="260"/>
      <c r="AH31" s="1212"/>
      <c r="AI31" s="1111">
        <f t="shared" si="0"/>
        <v>0</v>
      </c>
      <c r="AJ31" s="1740"/>
      <c r="AK31" s="1700">
        <f t="shared" si="1"/>
        <v>0</v>
      </c>
    </row>
    <row r="32" spans="1:37" ht="15" customHeight="1">
      <c r="A32" s="350"/>
      <c r="B32" s="1206" t="s">
        <v>1197</v>
      </c>
      <c r="C32" s="222"/>
      <c r="D32" s="1093">
        <v>23.6</v>
      </c>
      <c r="E32" s="1093"/>
      <c r="F32" s="1093">
        <v>31.3</v>
      </c>
      <c r="G32" s="1093"/>
      <c r="H32" s="1093">
        <v>31</v>
      </c>
      <c r="I32" s="260"/>
      <c r="J32" s="1876">
        <v>26.4</v>
      </c>
      <c r="K32" s="260"/>
      <c r="L32" s="1093">
        <v>34.500000000000014</v>
      </c>
      <c r="M32" s="260"/>
      <c r="N32" s="1740">
        <v>31.599999999999994</v>
      </c>
      <c r="O32" s="260"/>
      <c r="P32" s="1740">
        <v>31.099999999999994</v>
      </c>
      <c r="Q32" s="1111"/>
      <c r="R32" s="1740">
        <v>29.300000000000011</v>
      </c>
      <c r="S32" s="1111"/>
      <c r="T32" s="1740">
        <v>28.099999999999966</v>
      </c>
      <c r="U32" s="1111"/>
      <c r="V32" s="1740">
        <v>29.2</v>
      </c>
      <c r="W32" s="1111"/>
      <c r="X32" s="1740"/>
      <c r="Y32" s="1111"/>
      <c r="Z32" s="1740"/>
      <c r="AA32" s="365"/>
      <c r="AB32" s="237"/>
      <c r="AC32" s="260">
        <f t="shared" si="2"/>
        <v>296.10000000000002</v>
      </c>
      <c r="AD32" s="260"/>
      <c r="AE32" s="249"/>
      <c r="AF32" s="85">
        <v>311.39999999999998</v>
      </c>
      <c r="AG32" s="260"/>
      <c r="AH32" s="1212"/>
      <c r="AI32" s="1111">
        <f t="shared" si="0"/>
        <v>-15.3</v>
      </c>
      <c r="AJ32" s="1740"/>
      <c r="AK32" s="1700">
        <f t="shared" si="1"/>
        <v>-4.9000000000000002E-2</v>
      </c>
    </row>
    <row r="33" spans="1:37" ht="15" customHeight="1">
      <c r="A33" s="350"/>
      <c r="B33" s="1206" t="s">
        <v>1198</v>
      </c>
      <c r="C33" s="222"/>
      <c r="D33" s="1142">
        <v>0</v>
      </c>
      <c r="E33" s="1093"/>
      <c r="F33" s="1142">
        <v>0</v>
      </c>
      <c r="G33" s="1093"/>
      <c r="H33" s="1142">
        <v>0</v>
      </c>
      <c r="I33" s="260"/>
      <c r="J33" s="1876">
        <v>0</v>
      </c>
      <c r="K33" s="260"/>
      <c r="L33" s="1142">
        <v>0</v>
      </c>
      <c r="M33" s="260"/>
      <c r="N33" s="1740">
        <v>0</v>
      </c>
      <c r="O33" s="260"/>
      <c r="P33" s="1740">
        <v>0</v>
      </c>
      <c r="Q33" s="1111"/>
      <c r="R33" s="1740">
        <v>0</v>
      </c>
      <c r="S33" s="1111"/>
      <c r="T33" s="1740">
        <v>0</v>
      </c>
      <c r="U33" s="1111"/>
      <c r="V33" s="1740">
        <v>0</v>
      </c>
      <c r="W33" s="1111"/>
      <c r="X33" s="1740"/>
      <c r="Y33" s="1111"/>
      <c r="Z33" s="1740"/>
      <c r="AA33" s="365"/>
      <c r="AB33" s="237"/>
      <c r="AC33" s="260">
        <f t="shared" si="2"/>
        <v>0</v>
      </c>
      <c r="AD33" s="260"/>
      <c r="AE33" s="249"/>
      <c r="AF33" s="2428">
        <v>0</v>
      </c>
      <c r="AG33" s="260"/>
      <c r="AH33" s="1212"/>
      <c r="AI33" s="1111">
        <f t="shared" si="0"/>
        <v>0</v>
      </c>
      <c r="AJ33" s="1740"/>
      <c r="AK33" s="1700">
        <f t="shared" si="1"/>
        <v>0</v>
      </c>
    </row>
    <row r="34" spans="1:37" ht="15" customHeight="1">
      <c r="A34" s="350"/>
      <c r="B34" s="1206" t="s">
        <v>1199</v>
      </c>
      <c r="C34" s="222"/>
      <c r="D34" s="2799">
        <v>21</v>
      </c>
      <c r="E34" s="1093"/>
      <c r="F34" s="1093">
        <v>19</v>
      </c>
      <c r="G34" s="1093"/>
      <c r="H34" s="1093">
        <v>23.6</v>
      </c>
      <c r="I34" s="260"/>
      <c r="J34" s="1876">
        <v>28.9</v>
      </c>
      <c r="K34" s="260"/>
      <c r="L34" s="1093">
        <v>16.5</v>
      </c>
      <c r="M34" s="260"/>
      <c r="N34" s="1740">
        <v>24.099999999999994</v>
      </c>
      <c r="O34" s="260"/>
      <c r="P34" s="1740">
        <v>19.400000000000006</v>
      </c>
      <c r="Q34" s="1111"/>
      <c r="R34" s="1740">
        <v>23.1</v>
      </c>
      <c r="S34" s="1111"/>
      <c r="T34" s="1740">
        <v>21.700000000000017</v>
      </c>
      <c r="U34" s="1111"/>
      <c r="V34" s="1740">
        <v>28.9</v>
      </c>
      <c r="W34" s="1111"/>
      <c r="X34" s="1740"/>
      <c r="Y34" s="1111"/>
      <c r="Z34" s="1740"/>
      <c r="AA34" s="365"/>
      <c r="AB34" s="237"/>
      <c r="AC34" s="260">
        <f t="shared" si="2"/>
        <v>226.2</v>
      </c>
      <c r="AD34" s="260"/>
      <c r="AE34" s="249"/>
      <c r="AF34" s="85">
        <v>227.4</v>
      </c>
      <c r="AG34" s="260"/>
      <c r="AH34" s="1212"/>
      <c r="AI34" s="1111">
        <f t="shared" si="0"/>
        <v>-1.2</v>
      </c>
      <c r="AJ34" s="1740"/>
      <c r="AK34" s="1700">
        <f t="shared" si="1"/>
        <v>-5.0000000000000001E-3</v>
      </c>
    </row>
    <row r="35" spans="1:37" ht="15" customHeight="1">
      <c r="A35" s="350"/>
      <c r="B35" s="1206" t="s">
        <v>1200</v>
      </c>
      <c r="C35" s="222"/>
      <c r="D35" s="1142">
        <v>0</v>
      </c>
      <c r="E35" s="1093"/>
      <c r="F35" s="1142">
        <v>0</v>
      </c>
      <c r="G35" s="1093"/>
      <c r="H35" s="1142">
        <v>0</v>
      </c>
      <c r="I35" s="260"/>
      <c r="J35" s="1876">
        <v>0</v>
      </c>
      <c r="K35" s="260"/>
      <c r="L35" s="1142">
        <v>0</v>
      </c>
      <c r="M35" s="260"/>
      <c r="N35" s="1740">
        <v>0</v>
      </c>
      <c r="O35" s="260"/>
      <c r="P35" s="1740">
        <v>0</v>
      </c>
      <c r="Q35" s="1111"/>
      <c r="R35" s="1740">
        <v>0</v>
      </c>
      <c r="S35" s="1111"/>
      <c r="T35" s="1740">
        <v>0</v>
      </c>
      <c r="U35" s="1111"/>
      <c r="V35" s="1740">
        <v>0</v>
      </c>
      <c r="W35" s="1111"/>
      <c r="X35" s="1740"/>
      <c r="Y35" s="1111"/>
      <c r="Z35" s="1740"/>
      <c r="AA35" s="365"/>
      <c r="AB35" s="237"/>
      <c r="AC35" s="260">
        <f t="shared" si="2"/>
        <v>0</v>
      </c>
      <c r="AD35" s="260"/>
      <c r="AE35" s="249"/>
      <c r="AF35" s="1876">
        <v>0</v>
      </c>
      <c r="AG35" s="260"/>
      <c r="AH35" s="1212"/>
      <c r="AI35" s="1111">
        <f t="shared" si="0"/>
        <v>0</v>
      </c>
      <c r="AJ35" s="1740"/>
      <c r="AK35" s="2582">
        <f t="shared" si="1"/>
        <v>0</v>
      </c>
    </row>
    <row r="36" spans="1:37" ht="15" customHeight="1">
      <c r="A36" s="350"/>
      <c r="B36" s="1946" t="s">
        <v>1201</v>
      </c>
      <c r="C36" s="222"/>
      <c r="D36" s="1142">
        <v>0</v>
      </c>
      <c r="E36" s="1093"/>
      <c r="F36" s="1142">
        <v>0</v>
      </c>
      <c r="G36" s="1093"/>
      <c r="H36" s="1142">
        <v>0</v>
      </c>
      <c r="I36" s="260"/>
      <c r="J36" s="1876">
        <v>0</v>
      </c>
      <c r="K36" s="260"/>
      <c r="L36" s="1142">
        <v>0</v>
      </c>
      <c r="M36" s="260"/>
      <c r="N36" s="1740">
        <v>0</v>
      </c>
      <c r="O36" s="260"/>
      <c r="P36" s="1740">
        <v>0</v>
      </c>
      <c r="Q36" s="1111"/>
      <c r="R36" s="1740">
        <v>0</v>
      </c>
      <c r="S36" s="1111"/>
      <c r="T36" s="1740">
        <v>0</v>
      </c>
      <c r="U36" s="1111"/>
      <c r="V36" s="1740">
        <v>0</v>
      </c>
      <c r="W36" s="1111"/>
      <c r="X36" s="1740"/>
      <c r="Y36" s="1111"/>
      <c r="Z36" s="1740"/>
      <c r="AA36" s="365"/>
      <c r="AB36" s="237"/>
      <c r="AC36" s="260">
        <f t="shared" si="2"/>
        <v>0</v>
      </c>
      <c r="AD36" s="260"/>
      <c r="AE36" s="249"/>
      <c r="AF36" s="1876">
        <v>0</v>
      </c>
      <c r="AG36" s="260"/>
      <c r="AH36" s="1212"/>
      <c r="AI36" s="1111">
        <f t="shared" si="0"/>
        <v>0</v>
      </c>
      <c r="AJ36" s="1740"/>
      <c r="AK36" s="1700">
        <f t="shared" si="1"/>
        <v>0</v>
      </c>
    </row>
    <row r="37" spans="1:37" s="419" customFormat="1" ht="15" customHeight="1">
      <c r="A37" s="1931"/>
      <c r="B37" s="583" t="s">
        <v>1194</v>
      </c>
      <c r="C37" s="410"/>
      <c r="D37" s="480">
        <f>ROUND(SUM(D30:D36),1)</f>
        <v>522</v>
      </c>
      <c r="E37" s="1719"/>
      <c r="F37" s="480">
        <f>ROUND(SUM(F30:F36),1)</f>
        <v>538.6</v>
      </c>
      <c r="G37" s="1719"/>
      <c r="H37" s="480">
        <f>ROUND(SUM(H30:H36),1)</f>
        <v>731.4</v>
      </c>
      <c r="I37" s="1719"/>
      <c r="J37" s="1219">
        <f>ROUND(SUM(J30:J36),1)</f>
        <v>582.1</v>
      </c>
      <c r="K37" s="1719"/>
      <c r="L37" s="480">
        <f>ROUND(SUM(L30:L36),1)</f>
        <v>566.70000000000005</v>
      </c>
      <c r="M37" s="1719"/>
      <c r="N37" s="480">
        <f>ROUND(SUM(N30:N36),1)</f>
        <v>737.2</v>
      </c>
      <c r="O37" s="1719"/>
      <c r="P37" s="480">
        <f>ROUND(SUM(P30:P36),1)</f>
        <v>570.5</v>
      </c>
      <c r="Q37" s="1719"/>
      <c r="R37" s="480">
        <f>ROUND(SUM(R30:R36),1)</f>
        <v>603.4</v>
      </c>
      <c r="S37" s="1719"/>
      <c r="T37" s="480">
        <f>ROUND(SUM(T30:T36),1)</f>
        <v>742.9</v>
      </c>
      <c r="U37" s="1719"/>
      <c r="V37" s="480">
        <f>ROUND(SUM(V30:V36),1)</f>
        <v>618.4</v>
      </c>
      <c r="W37" s="1719"/>
      <c r="X37" s="480">
        <f>ROUND(SUM(X30:X36),1)</f>
        <v>0</v>
      </c>
      <c r="Y37" s="1719"/>
      <c r="Z37" s="480">
        <f>ROUND(SUM(Z30:Z36),1)</f>
        <v>0</v>
      </c>
      <c r="AA37" s="407"/>
      <c r="AB37" s="481"/>
      <c r="AC37" s="480">
        <f>ROUND(SUM(AC30:AC36),1)</f>
        <v>6213.2</v>
      </c>
      <c r="AD37" s="1719"/>
      <c r="AE37" s="258"/>
      <c r="AF37" s="1219">
        <f>ROUND(SUM(AF30:AF36),1)</f>
        <v>5982.1</v>
      </c>
      <c r="AG37" s="1719"/>
      <c r="AH37" s="1214"/>
      <c r="AI37" s="480">
        <f>ROUND(SUM(AI30:AI36),1)</f>
        <v>231.1</v>
      </c>
      <c r="AJ37" s="272"/>
      <c r="AK37" s="1933">
        <f>ROUND(SUM(+AI37/AF37),3)</f>
        <v>3.9E-2</v>
      </c>
    </row>
    <row r="38" spans="1:37" s="419" customFormat="1" ht="15" customHeight="1">
      <c r="A38" s="1931"/>
      <c r="B38" s="1907" t="s">
        <v>1245</v>
      </c>
      <c r="C38" s="410"/>
      <c r="D38" s="272"/>
      <c r="E38" s="1719"/>
      <c r="F38" s="272"/>
      <c r="G38" s="1719"/>
      <c r="H38" s="272"/>
      <c r="I38" s="1719"/>
      <c r="J38" s="1876"/>
      <c r="K38" s="1719"/>
      <c r="L38" s="272"/>
      <c r="M38" s="1719"/>
      <c r="N38" s="272"/>
      <c r="O38" s="1719"/>
      <c r="P38" s="272"/>
      <c r="Q38" s="1719"/>
      <c r="R38" s="272"/>
      <c r="S38" s="1719"/>
      <c r="T38" s="272"/>
      <c r="U38" s="1719"/>
      <c r="V38" s="272"/>
      <c r="W38" s="1719"/>
      <c r="X38" s="272"/>
      <c r="Y38" s="1719"/>
      <c r="Z38" s="272"/>
      <c r="AA38" s="407"/>
      <c r="AB38" s="481"/>
      <c r="AC38" s="272"/>
      <c r="AD38" s="1719"/>
      <c r="AE38" s="258"/>
      <c r="AF38" s="313"/>
      <c r="AG38" s="1719"/>
      <c r="AH38" s="1214"/>
      <c r="AI38" s="272"/>
      <c r="AJ38" s="272"/>
      <c r="AK38" s="1905"/>
    </row>
    <row r="39" spans="1:37" s="419" customFormat="1" ht="15" customHeight="1">
      <c r="A39" s="1931"/>
      <c r="B39" s="1206" t="s">
        <v>1203</v>
      </c>
      <c r="C39" s="410"/>
      <c r="D39" s="1093">
        <v>346.4</v>
      </c>
      <c r="E39" s="1093"/>
      <c r="F39" s="1093">
        <v>90</v>
      </c>
      <c r="G39" s="1093"/>
      <c r="H39" s="1093">
        <v>393.9</v>
      </c>
      <c r="I39" s="1719"/>
      <c r="J39" s="1876">
        <v>36.1</v>
      </c>
      <c r="K39" s="1719"/>
      <c r="L39" s="1093">
        <v>105.1</v>
      </c>
      <c r="M39" s="1719"/>
      <c r="N39" s="1740">
        <v>392.29999999999995</v>
      </c>
      <c r="O39" s="1719"/>
      <c r="P39" s="1740">
        <v>-57.299999999999955</v>
      </c>
      <c r="Q39" s="1111"/>
      <c r="R39" s="1740">
        <v>9.5</v>
      </c>
      <c r="S39" s="1111"/>
      <c r="T39" s="1740">
        <v>634.70000000000005</v>
      </c>
      <c r="U39" s="1111"/>
      <c r="V39" s="1740">
        <v>-166.9</v>
      </c>
      <c r="W39" s="1111"/>
      <c r="X39" s="1740"/>
      <c r="Y39" s="1111"/>
      <c r="Z39" s="1740"/>
      <c r="AA39" s="407"/>
      <c r="AB39" s="481"/>
      <c r="AC39" s="260">
        <f>ROUND(SUM(D39:Z39),1)</f>
        <v>1783.8</v>
      </c>
      <c r="AD39" s="1719"/>
      <c r="AE39" s="258"/>
      <c r="AF39" s="85">
        <v>2071.6</v>
      </c>
      <c r="AG39" s="1719"/>
      <c r="AH39" s="1214"/>
      <c r="AI39" s="1111">
        <f>ROUND(SUM(+AC39-AF39),1)</f>
        <v>-287.8</v>
      </c>
      <c r="AJ39" s="272"/>
      <c r="AK39" s="2582">
        <f>ROUND(IF(AF39=0,0,AI39/ABS(AF39)),3)</f>
        <v>-0.13900000000000001</v>
      </c>
    </row>
    <row r="40" spans="1:37" s="419" customFormat="1" ht="15" customHeight="1">
      <c r="A40" s="1931"/>
      <c r="B40" s="1206" t="s">
        <v>1204</v>
      </c>
      <c r="C40" s="410"/>
      <c r="D40" s="1093">
        <v>30.4</v>
      </c>
      <c r="E40" s="1093"/>
      <c r="F40" s="1093">
        <v>29</v>
      </c>
      <c r="G40" s="1093"/>
      <c r="H40" s="1093">
        <v>92.2</v>
      </c>
      <c r="I40" s="1719"/>
      <c r="J40" s="1876">
        <v>7.4</v>
      </c>
      <c r="K40" s="1719"/>
      <c r="L40" s="1093">
        <v>3.0999999999999943</v>
      </c>
      <c r="M40" s="1719"/>
      <c r="N40" s="1740">
        <v>95.500000000000028</v>
      </c>
      <c r="O40" s="1719"/>
      <c r="P40" s="1740">
        <v>0.79999999999995453</v>
      </c>
      <c r="Q40" s="1111"/>
      <c r="R40" s="1740">
        <v>0.5</v>
      </c>
      <c r="S40" s="1111"/>
      <c r="T40" s="1740">
        <v>94.900000000000034</v>
      </c>
      <c r="U40" s="1111"/>
      <c r="V40" s="1740">
        <v>15.8</v>
      </c>
      <c r="W40" s="1111"/>
      <c r="X40" s="1740"/>
      <c r="Y40" s="1111"/>
      <c r="Z40" s="1740"/>
      <c r="AA40" s="407"/>
      <c r="AB40" s="481"/>
      <c r="AC40" s="260">
        <f>ROUND(SUM(D40:Z40),1)</f>
        <v>369.6</v>
      </c>
      <c r="AD40" s="1719"/>
      <c r="AE40" s="258"/>
      <c r="AF40" s="85">
        <v>359.3</v>
      </c>
      <c r="AG40" s="1719"/>
      <c r="AH40" s="1214"/>
      <c r="AI40" s="1111">
        <f>ROUND(SUM(+AC40-AF40),1)</f>
        <v>10.3</v>
      </c>
      <c r="AJ40" s="272"/>
      <c r="AK40" s="1700">
        <f>ROUND(IF(AF40=0,0,AI40/ABS(AF40)),3)</f>
        <v>2.9000000000000001E-2</v>
      </c>
    </row>
    <row r="41" spans="1:37" s="419" customFormat="1" ht="15" customHeight="1">
      <c r="A41" s="1931"/>
      <c r="B41" s="1206" t="s">
        <v>1205</v>
      </c>
      <c r="C41" s="410"/>
      <c r="D41" s="1093">
        <v>40.299999999999997</v>
      </c>
      <c r="E41" s="1093"/>
      <c r="F41" s="1093">
        <v>12.6</v>
      </c>
      <c r="G41" s="1093"/>
      <c r="H41" s="1093">
        <v>284.7</v>
      </c>
      <c r="I41" s="1719"/>
      <c r="J41" s="1876">
        <v>7</v>
      </c>
      <c r="K41" s="1719"/>
      <c r="L41" s="1093">
        <v>30.599999999999966</v>
      </c>
      <c r="M41" s="1719"/>
      <c r="N41" s="1740">
        <v>307.09999999999997</v>
      </c>
      <c r="O41" s="1719"/>
      <c r="P41" s="1740">
        <v>10.300000000000068</v>
      </c>
      <c r="Q41" s="1111"/>
      <c r="R41" s="1740">
        <v>4.1000000000000227</v>
      </c>
      <c r="S41" s="1111"/>
      <c r="T41" s="1740">
        <v>278.69999999999993</v>
      </c>
      <c r="U41" s="1111"/>
      <c r="V41" s="1740">
        <v>22.8</v>
      </c>
      <c r="W41" s="1111"/>
      <c r="X41" s="1740"/>
      <c r="Y41" s="1111"/>
      <c r="Z41" s="1740"/>
      <c r="AA41" s="407"/>
      <c r="AB41" s="481"/>
      <c r="AC41" s="260">
        <f>ROUND(SUM(D41:Z41),1)</f>
        <v>998.2</v>
      </c>
      <c r="AD41" s="1719"/>
      <c r="AE41" s="258"/>
      <c r="AF41" s="85">
        <v>891.1</v>
      </c>
      <c r="AG41" s="1719"/>
      <c r="AH41" s="1214"/>
      <c r="AI41" s="1111">
        <f>ROUND(SUM(+AC41-AF41),1)</f>
        <v>107.1</v>
      </c>
      <c r="AJ41" s="272"/>
      <c r="AK41" s="1700">
        <f>ROUND(IF(AF41=0,0,AI41/ABS(AF41)),3)</f>
        <v>0.12</v>
      </c>
    </row>
    <row r="42" spans="1:37" s="419" customFormat="1" ht="15" customHeight="1">
      <c r="A42" s="1931"/>
      <c r="B42" s="1206" t="s">
        <v>1206</v>
      </c>
      <c r="C42" s="410"/>
      <c r="D42" s="1093">
        <v>4.2</v>
      </c>
      <c r="E42" s="1093"/>
      <c r="F42" s="1093">
        <v>5.4</v>
      </c>
      <c r="G42" s="1093"/>
      <c r="H42" s="1093">
        <v>-0.9</v>
      </c>
      <c r="I42" s="1719"/>
      <c r="J42" s="1876">
        <v>3.9</v>
      </c>
      <c r="K42" s="1719"/>
      <c r="L42" s="1093">
        <v>237.3</v>
      </c>
      <c r="M42" s="1719"/>
      <c r="N42" s="1740">
        <v>-13.300000000000011</v>
      </c>
      <c r="O42" s="1719"/>
      <c r="P42" s="1740">
        <v>0.59999999999999432</v>
      </c>
      <c r="Q42" s="1111"/>
      <c r="R42" s="1740">
        <v>4.2</v>
      </c>
      <c r="S42" s="1111"/>
      <c r="T42" s="1740">
        <v>132.19999999999999</v>
      </c>
      <c r="U42" s="1111"/>
      <c r="V42" s="1740">
        <v>-7.4</v>
      </c>
      <c r="W42" s="1111"/>
      <c r="X42" s="1740"/>
      <c r="Y42" s="1111"/>
      <c r="Z42" s="1740"/>
      <c r="AA42" s="407"/>
      <c r="AB42" s="481"/>
      <c r="AC42" s="260">
        <f>ROUND(SUM(D42:Z42),1)</f>
        <v>366.2</v>
      </c>
      <c r="AD42" s="1719"/>
      <c r="AE42" s="258"/>
      <c r="AF42" s="85">
        <v>312.8</v>
      </c>
      <c r="AG42" s="1719"/>
      <c r="AH42" s="1214"/>
      <c r="AI42" s="1111">
        <f>ROUND(SUM(+AC42-AF42),1)</f>
        <v>53.4</v>
      </c>
      <c r="AJ42" s="272"/>
      <c r="AK42" s="2555">
        <f>ROUND(IF(AF42=0,0,AI42/ABS(AF42)),3)</f>
        <v>0.17100000000000001</v>
      </c>
    </row>
    <row r="43" spans="1:37" s="419" customFormat="1" ht="15" customHeight="1">
      <c r="A43" s="1931"/>
      <c r="B43" s="1206" t="s">
        <v>1207</v>
      </c>
      <c r="C43" s="410"/>
      <c r="D43" s="1142">
        <v>0</v>
      </c>
      <c r="E43" s="1093"/>
      <c r="F43" s="1142">
        <v>0</v>
      </c>
      <c r="G43" s="1093"/>
      <c r="H43" s="1142">
        <v>0</v>
      </c>
      <c r="I43" s="1719"/>
      <c r="J43" s="1876">
        <v>0</v>
      </c>
      <c r="K43" s="1719"/>
      <c r="L43" s="1142">
        <v>0</v>
      </c>
      <c r="M43" s="1719"/>
      <c r="N43" s="1740">
        <v>0</v>
      </c>
      <c r="O43" s="1719"/>
      <c r="P43" s="1740">
        <v>0</v>
      </c>
      <c r="Q43" s="1111"/>
      <c r="R43" s="1740">
        <v>0</v>
      </c>
      <c r="S43" s="1111"/>
      <c r="T43" s="1740">
        <v>0</v>
      </c>
      <c r="U43" s="1111"/>
      <c r="V43" s="1740">
        <v>0</v>
      </c>
      <c r="W43" s="1111"/>
      <c r="X43" s="1740"/>
      <c r="Y43" s="1111"/>
      <c r="Z43" s="1740"/>
      <c r="AA43" s="407"/>
      <c r="AB43" s="481"/>
      <c r="AC43" s="260">
        <f>ROUND(SUM(D43:Z43),1)</f>
        <v>0</v>
      </c>
      <c r="AD43" s="1719"/>
      <c r="AE43" s="258"/>
      <c r="AF43" s="2429">
        <v>0</v>
      </c>
      <c r="AG43" s="1719"/>
      <c r="AH43" s="1214"/>
      <c r="AI43" s="1111">
        <f>ROUND(SUM(+AC43-AF43),1)</f>
        <v>0</v>
      </c>
      <c r="AJ43" s="272"/>
      <c r="AK43" s="1700">
        <f>ROUND(IF(AF43=0,0,AI43/ABS(AF43)),3)</f>
        <v>0</v>
      </c>
    </row>
    <row r="44" spans="1:37" s="419" customFormat="1" ht="15" customHeight="1">
      <c r="A44" s="1931"/>
      <c r="B44" s="583" t="s">
        <v>1202</v>
      </c>
      <c r="C44" s="410"/>
      <c r="D44" s="1219">
        <f>ROUND(SUM(D39:D43),1)</f>
        <v>421.3</v>
      </c>
      <c r="E44" s="1719"/>
      <c r="F44" s="1219">
        <f>ROUND(SUM(F39:F43),1)</f>
        <v>137</v>
      </c>
      <c r="G44" s="1719"/>
      <c r="H44" s="1219">
        <f>ROUND(SUM(H39:H43),1)</f>
        <v>769.9</v>
      </c>
      <c r="I44" s="1719"/>
      <c r="J44" s="1219">
        <f>ROUND(SUM(J39:J43),1)</f>
        <v>54.4</v>
      </c>
      <c r="K44" s="1719"/>
      <c r="L44" s="1219">
        <f>ROUND(SUM(L39:L43),1)</f>
        <v>376.1</v>
      </c>
      <c r="M44" s="1719"/>
      <c r="N44" s="1219">
        <f>ROUND(SUM(N39:N43),1)</f>
        <v>781.6</v>
      </c>
      <c r="O44" s="1719"/>
      <c r="P44" s="1219">
        <f>ROUND(SUM(P39:P43),1)</f>
        <v>-45.6</v>
      </c>
      <c r="Q44" s="1719"/>
      <c r="R44" s="1219">
        <f>ROUND(SUM(R39:R43),1)</f>
        <v>18.3</v>
      </c>
      <c r="S44" s="1719"/>
      <c r="T44" s="1219">
        <f>ROUND(SUM(T39:T43),1)</f>
        <v>1140.5</v>
      </c>
      <c r="U44" s="1719"/>
      <c r="V44" s="1219">
        <f>ROUND(SUM(V39:V43),1)</f>
        <v>-135.69999999999999</v>
      </c>
      <c r="W44" s="1719"/>
      <c r="X44" s="1219">
        <f>ROUND(SUM(X39:X43),1)</f>
        <v>0</v>
      </c>
      <c r="Y44" s="1719"/>
      <c r="Z44" s="1219">
        <f>ROUND(SUM(Z39:Z43),1)</f>
        <v>0</v>
      </c>
      <c r="AA44" s="407"/>
      <c r="AB44" s="481"/>
      <c r="AC44" s="1219">
        <f>ROUND(SUM(AC39:AC43),1)</f>
        <v>3517.8</v>
      </c>
      <c r="AD44" s="1719"/>
      <c r="AE44" s="258"/>
      <c r="AF44" s="1219">
        <f>ROUND(SUM(AF39:AF43),1)</f>
        <v>3634.8</v>
      </c>
      <c r="AG44" s="1719"/>
      <c r="AH44" s="1214"/>
      <c r="AI44" s="1219">
        <f>ROUND(SUM(AI39:AI43),1)</f>
        <v>-117</v>
      </c>
      <c r="AJ44" s="272"/>
      <c r="AK44" s="1933">
        <f>ROUND(SUM(+AI44/AF44),3)</f>
        <v>-3.2000000000000001E-2</v>
      </c>
    </row>
    <row r="45" spans="1:37" s="419" customFormat="1" ht="15" customHeight="1">
      <c r="A45" s="1931"/>
      <c r="B45" s="1907" t="s">
        <v>1246</v>
      </c>
      <c r="C45" s="410"/>
      <c r="D45" s="272"/>
      <c r="E45" s="1719"/>
      <c r="F45" s="272"/>
      <c r="G45" s="1719"/>
      <c r="H45" s="272"/>
      <c r="I45" s="1719"/>
      <c r="J45" s="313"/>
      <c r="K45" s="1719"/>
      <c r="L45" s="272"/>
      <c r="M45" s="1719"/>
      <c r="N45" s="272"/>
      <c r="O45" s="1719"/>
      <c r="P45" s="272"/>
      <c r="Q45" s="1719"/>
      <c r="R45" s="272"/>
      <c r="S45" s="1719"/>
      <c r="T45" s="272"/>
      <c r="U45" s="1719"/>
      <c r="V45" s="272"/>
      <c r="W45" s="1719"/>
      <c r="X45" s="272"/>
      <c r="Y45" s="1719"/>
      <c r="Z45" s="272"/>
      <c r="AA45" s="407"/>
      <c r="AB45" s="481"/>
      <c r="AC45" s="272"/>
      <c r="AD45" s="1719"/>
      <c r="AE45" s="258"/>
      <c r="AF45" s="313"/>
      <c r="AG45" s="1719"/>
      <c r="AH45" s="1214"/>
      <c r="AI45" s="272"/>
      <c r="AJ45" s="272"/>
      <c r="AK45" s="1905"/>
    </row>
    <row r="46" spans="1:37" s="419" customFormat="1" ht="15" customHeight="1">
      <c r="A46" s="1931"/>
      <c r="B46" s="1206" t="s">
        <v>1210</v>
      </c>
      <c r="C46" s="410"/>
      <c r="D46" s="1142">
        <v>0</v>
      </c>
      <c r="E46" s="1093"/>
      <c r="F46" s="1142">
        <v>0</v>
      </c>
      <c r="G46" s="1093"/>
      <c r="H46" s="1142">
        <v>0</v>
      </c>
      <c r="I46" s="1719"/>
      <c r="J46" s="1876">
        <v>0</v>
      </c>
      <c r="K46" s="2800"/>
      <c r="L46" s="1142">
        <v>0</v>
      </c>
      <c r="M46" s="1719"/>
      <c r="N46" s="2815">
        <v>0</v>
      </c>
      <c r="O46" s="1719"/>
      <c r="P46" s="1740">
        <v>0</v>
      </c>
      <c r="Q46" s="1719"/>
      <c r="R46" s="1740">
        <v>0</v>
      </c>
      <c r="S46" s="1719"/>
      <c r="T46" s="1740">
        <v>0</v>
      </c>
      <c r="U46" s="2800"/>
      <c r="V46" s="1740">
        <v>0</v>
      </c>
      <c r="W46" s="2800"/>
      <c r="X46" s="1740"/>
      <c r="Y46" s="2800"/>
      <c r="Z46" s="1740"/>
      <c r="AA46" s="407"/>
      <c r="AB46" s="481"/>
      <c r="AC46" s="260">
        <f t="shared" ref="AC46:AC51" si="3">ROUND(SUM(D46:Z46),1)</f>
        <v>0</v>
      </c>
      <c r="AD46" s="1719"/>
      <c r="AE46" s="258"/>
      <c r="AF46" s="2428">
        <v>0.1</v>
      </c>
      <c r="AG46" s="1719"/>
      <c r="AH46" s="1214"/>
      <c r="AI46" s="1111">
        <f t="shared" ref="AI46:AI51" si="4">ROUND(SUM(+AC46-AF46),1)</f>
        <v>-0.1</v>
      </c>
      <c r="AJ46" s="272"/>
      <c r="AK46" s="2582">
        <f>ROUND(IF(AF46=0,0,AI46/ABS(AF46)),3)</f>
        <v>-1</v>
      </c>
    </row>
    <row r="47" spans="1:37" s="419" customFormat="1" ht="15" customHeight="1">
      <c r="A47" s="1931"/>
      <c r="B47" s="1206" t="s">
        <v>1211</v>
      </c>
      <c r="C47" s="410"/>
      <c r="D47" s="1093">
        <v>89.7</v>
      </c>
      <c r="E47" s="1093"/>
      <c r="F47" s="1093">
        <v>112.7</v>
      </c>
      <c r="G47" s="1093"/>
      <c r="H47" s="1093">
        <v>102</v>
      </c>
      <c r="I47" s="1719"/>
      <c r="J47" s="1876">
        <v>64.400000000000006</v>
      </c>
      <c r="K47" s="1719"/>
      <c r="L47" s="1093">
        <v>83.199999999999989</v>
      </c>
      <c r="M47" s="1719"/>
      <c r="N47" s="1740">
        <v>211.70000000000005</v>
      </c>
      <c r="O47" s="1719"/>
      <c r="P47" s="1740">
        <v>75.599999999999994</v>
      </c>
      <c r="Q47" s="1719"/>
      <c r="R47" s="1740">
        <v>70.600000000000023</v>
      </c>
      <c r="S47" s="1111"/>
      <c r="T47" s="1740">
        <v>152.89999999999998</v>
      </c>
      <c r="U47" s="1111"/>
      <c r="V47" s="1740">
        <v>173.5</v>
      </c>
      <c r="W47" s="1111"/>
      <c r="X47" s="1740"/>
      <c r="Y47" s="1111"/>
      <c r="Z47" s="1740"/>
      <c r="AA47" s="407"/>
      <c r="AB47" s="481"/>
      <c r="AC47" s="260">
        <f t="shared" si="3"/>
        <v>1136.3</v>
      </c>
      <c r="AD47" s="1719"/>
      <c r="AE47" s="258"/>
      <c r="AF47" s="85">
        <v>949.3</v>
      </c>
      <c r="AG47" s="1719"/>
      <c r="AH47" s="1214"/>
      <c r="AI47" s="1111">
        <f t="shared" si="4"/>
        <v>187</v>
      </c>
      <c r="AJ47" s="272"/>
      <c r="AK47" s="1700">
        <f t="shared" ref="AK47:AK51" si="5">ROUND(IF(AF47=0,0,AI47/ABS(AF47)),3)</f>
        <v>0.19700000000000001</v>
      </c>
    </row>
    <row r="48" spans="1:37" s="419" customFormat="1" ht="15" customHeight="1">
      <c r="A48" s="1931"/>
      <c r="B48" s="1206" t="s">
        <v>1212</v>
      </c>
      <c r="C48" s="410"/>
      <c r="D48" s="1093">
        <v>0.8</v>
      </c>
      <c r="E48" s="1093"/>
      <c r="F48" s="1093">
        <v>1.2</v>
      </c>
      <c r="G48" s="1093"/>
      <c r="H48" s="1093">
        <v>1.5</v>
      </c>
      <c r="I48" s="1719"/>
      <c r="J48" s="1876">
        <v>1.4</v>
      </c>
      <c r="K48" s="1719"/>
      <c r="L48" s="1093">
        <v>2.2999999999999998</v>
      </c>
      <c r="M48" s="1719"/>
      <c r="N48" s="1740">
        <v>2.2000000000000002</v>
      </c>
      <c r="O48" s="1719"/>
      <c r="P48" s="1740">
        <v>1.2</v>
      </c>
      <c r="Q48" s="1719"/>
      <c r="R48" s="1740">
        <v>1.0999999999999996</v>
      </c>
      <c r="S48" s="1111"/>
      <c r="T48" s="1740">
        <v>1.1000000000000014</v>
      </c>
      <c r="U48" s="1111"/>
      <c r="V48" s="1740">
        <v>0.7</v>
      </c>
      <c r="W48" s="1111"/>
      <c r="X48" s="1740"/>
      <c r="Y48" s="1111"/>
      <c r="Z48" s="1740"/>
      <c r="AA48" s="407"/>
      <c r="AB48" s="481"/>
      <c r="AC48" s="260">
        <f t="shared" si="3"/>
        <v>13.5</v>
      </c>
      <c r="AD48" s="1719"/>
      <c r="AE48" s="258"/>
      <c r="AF48" s="85">
        <v>13.6</v>
      </c>
      <c r="AG48" s="1719"/>
      <c r="AH48" s="1214"/>
      <c r="AI48" s="1111">
        <f t="shared" si="4"/>
        <v>-0.1</v>
      </c>
      <c r="AJ48" s="272"/>
      <c r="AK48" s="1700">
        <f t="shared" si="5"/>
        <v>-7.0000000000000001E-3</v>
      </c>
    </row>
    <row r="49" spans="1:37" s="419" customFormat="1" ht="15" customHeight="1">
      <c r="A49" s="1931"/>
      <c r="B49" s="1206" t="s">
        <v>1213</v>
      </c>
      <c r="C49" s="410"/>
      <c r="D49" s="1142">
        <v>0</v>
      </c>
      <c r="E49" s="1093"/>
      <c r="F49" s="1142">
        <v>0</v>
      </c>
      <c r="G49" s="1093"/>
      <c r="H49" s="1142">
        <v>0</v>
      </c>
      <c r="I49" s="1719"/>
      <c r="J49" s="1876">
        <v>0</v>
      </c>
      <c r="K49" s="1719"/>
      <c r="L49" s="1142">
        <v>0</v>
      </c>
      <c r="M49" s="1719"/>
      <c r="N49" s="1740">
        <v>0</v>
      </c>
      <c r="O49" s="1719"/>
      <c r="P49" s="1740">
        <v>0</v>
      </c>
      <c r="Q49" s="1719"/>
      <c r="R49" s="1740">
        <v>0</v>
      </c>
      <c r="S49" s="1719"/>
      <c r="T49" s="1740">
        <v>0</v>
      </c>
      <c r="U49" s="2800"/>
      <c r="V49" s="1740">
        <v>0</v>
      </c>
      <c r="W49" s="2800"/>
      <c r="X49" s="1740"/>
      <c r="Y49" s="2800"/>
      <c r="Z49" s="1740"/>
      <c r="AA49" s="407"/>
      <c r="AB49" s="481"/>
      <c r="AC49" s="260">
        <f t="shared" si="3"/>
        <v>0</v>
      </c>
      <c r="AD49" s="1719"/>
      <c r="AE49" s="258"/>
      <c r="AF49" s="2428">
        <v>0</v>
      </c>
      <c r="AG49" s="1719"/>
      <c r="AH49" s="1214"/>
      <c r="AI49" s="1111">
        <f t="shared" si="4"/>
        <v>0</v>
      </c>
      <c r="AJ49" s="272"/>
      <c r="AK49" s="2582">
        <f t="shared" si="5"/>
        <v>0</v>
      </c>
    </row>
    <row r="50" spans="1:37" s="419" customFormat="1" ht="15" customHeight="1">
      <c r="A50" s="1931"/>
      <c r="B50" s="1206" t="s">
        <v>1214</v>
      </c>
      <c r="C50" s="410"/>
      <c r="D50" s="1142">
        <v>0.4</v>
      </c>
      <c r="E50" s="1093"/>
      <c r="F50" s="1142">
        <v>0.1</v>
      </c>
      <c r="G50" s="1093"/>
      <c r="H50" s="1142">
        <v>0</v>
      </c>
      <c r="I50" s="1719"/>
      <c r="J50" s="1876">
        <v>0.2</v>
      </c>
      <c r="K50" s="1719"/>
      <c r="L50" s="1142">
        <v>0.5</v>
      </c>
      <c r="M50" s="1719"/>
      <c r="N50" s="1740">
        <v>0</v>
      </c>
      <c r="O50" s="1719"/>
      <c r="P50" s="1740">
        <v>0.3</v>
      </c>
      <c r="Q50" s="1719"/>
      <c r="R50" s="1740">
        <v>0.70000000000000018</v>
      </c>
      <c r="S50" s="1719"/>
      <c r="T50" s="1740">
        <v>0.1</v>
      </c>
      <c r="U50" s="1111"/>
      <c r="V50" s="1740">
        <v>0.1</v>
      </c>
      <c r="W50" s="1111"/>
      <c r="X50" s="1740"/>
      <c r="Y50" s="1719"/>
      <c r="Z50" s="1740"/>
      <c r="AA50" s="407"/>
      <c r="AB50" s="481"/>
      <c r="AC50" s="260">
        <f t="shared" si="3"/>
        <v>2.4</v>
      </c>
      <c r="AD50" s="1719"/>
      <c r="AE50" s="258"/>
      <c r="AF50" s="2430">
        <v>2.5</v>
      </c>
      <c r="AG50" s="1719"/>
      <c r="AH50" s="1214"/>
      <c r="AI50" s="1111">
        <f t="shared" si="4"/>
        <v>-0.1</v>
      </c>
      <c r="AJ50" s="272"/>
      <c r="AK50" s="2582">
        <f>ROUND(IF(AF50=0,1,AI50/ABS(AF50)),3)</f>
        <v>-0.04</v>
      </c>
    </row>
    <row r="51" spans="1:37" s="419" customFormat="1" ht="15" customHeight="1">
      <c r="A51" s="1931"/>
      <c r="B51" s="1946" t="s">
        <v>1309</v>
      </c>
      <c r="C51" s="410"/>
      <c r="D51" s="1142">
        <v>0</v>
      </c>
      <c r="E51" s="1093"/>
      <c r="F51" s="1142">
        <v>0</v>
      </c>
      <c r="G51" s="1093"/>
      <c r="H51" s="1142">
        <v>0</v>
      </c>
      <c r="I51" s="1719"/>
      <c r="J51" s="1876">
        <v>0</v>
      </c>
      <c r="K51" s="1719"/>
      <c r="L51" s="1142">
        <v>0</v>
      </c>
      <c r="M51" s="1719"/>
      <c r="N51" s="1740">
        <v>0</v>
      </c>
      <c r="O51" s="1719"/>
      <c r="P51" s="1740">
        <v>0</v>
      </c>
      <c r="Q51" s="1719"/>
      <c r="R51" s="1740">
        <v>0</v>
      </c>
      <c r="S51" s="1719"/>
      <c r="T51" s="1740">
        <v>0</v>
      </c>
      <c r="U51" s="2800"/>
      <c r="V51" s="1740">
        <v>0</v>
      </c>
      <c r="W51" s="2800"/>
      <c r="X51" s="1740"/>
      <c r="Y51" s="2800"/>
      <c r="Z51" s="1740"/>
      <c r="AA51" s="407"/>
      <c r="AB51" s="481"/>
      <c r="AC51" s="260">
        <f t="shared" si="3"/>
        <v>0</v>
      </c>
      <c r="AD51" s="1719"/>
      <c r="AE51" s="258"/>
      <c r="AF51" s="2429">
        <v>0</v>
      </c>
      <c r="AG51" s="1719"/>
      <c r="AH51" s="1214"/>
      <c r="AI51" s="1111">
        <f t="shared" si="4"/>
        <v>0</v>
      </c>
      <c r="AJ51" s="272"/>
      <c r="AK51" s="1700">
        <f t="shared" si="5"/>
        <v>0</v>
      </c>
    </row>
    <row r="52" spans="1:37" s="419" customFormat="1" ht="15" customHeight="1">
      <c r="A52" s="1931"/>
      <c r="B52" s="583" t="s">
        <v>1208</v>
      </c>
      <c r="C52" s="410"/>
      <c r="D52" s="1219">
        <f>ROUND(SUM(D46:D51),1)</f>
        <v>90.9</v>
      </c>
      <c r="E52" s="1719"/>
      <c r="F52" s="1219">
        <f>ROUND(SUM(F46:F51),1)</f>
        <v>114</v>
      </c>
      <c r="G52" s="1719"/>
      <c r="H52" s="1219">
        <f>ROUND(SUM(H46:H51),1)</f>
        <v>103.5</v>
      </c>
      <c r="I52" s="1719"/>
      <c r="J52" s="1219">
        <f>ROUND(SUM(J46:J51),1)</f>
        <v>66</v>
      </c>
      <c r="K52" s="1719"/>
      <c r="L52" s="1219">
        <f>ROUND(SUM(L46:L51),1)</f>
        <v>86</v>
      </c>
      <c r="M52" s="1719"/>
      <c r="N52" s="1219">
        <f>ROUND(SUM(N46:N51),1)</f>
        <v>213.9</v>
      </c>
      <c r="O52" s="1719"/>
      <c r="P52" s="1219">
        <f>ROUND(SUM(P46:P51),1)</f>
        <v>77.099999999999994</v>
      </c>
      <c r="Q52" s="1719"/>
      <c r="R52" s="1219">
        <f>ROUND(SUM(R46:R51),1)</f>
        <v>72.400000000000006</v>
      </c>
      <c r="S52" s="1719"/>
      <c r="T52" s="1219">
        <f>ROUND(SUM(T46:T51),1)</f>
        <v>154.1</v>
      </c>
      <c r="U52" s="1719"/>
      <c r="V52" s="1219">
        <f>ROUND(SUM(V46:V51),1)</f>
        <v>174.3</v>
      </c>
      <c r="W52" s="1719"/>
      <c r="X52" s="1219">
        <f>ROUND(SUM(X46:X51),1)</f>
        <v>0</v>
      </c>
      <c r="Y52" s="1719"/>
      <c r="Z52" s="1219">
        <f>ROUND(SUM(Z46:Z51),1)</f>
        <v>0</v>
      </c>
      <c r="AA52" s="407"/>
      <c r="AB52" s="481"/>
      <c r="AC52" s="2816">
        <f>ROUND(SUM(AC46:AC51),1)</f>
        <v>1152.2</v>
      </c>
      <c r="AD52" s="1719"/>
      <c r="AE52" s="258"/>
      <c r="AF52" s="1219">
        <f>ROUND(SUM(AF46:AF51),1)</f>
        <v>965.5</v>
      </c>
      <c r="AG52" s="1719"/>
      <c r="AH52" s="1214"/>
      <c r="AI52" s="1219">
        <f>ROUND(SUM(AI46:AI51),1)</f>
        <v>186.7</v>
      </c>
      <c r="AJ52" s="272"/>
      <c r="AK52" s="1933">
        <f>ROUND(SUM(+AI52/AF52),3)</f>
        <v>0.193</v>
      </c>
    </row>
    <row r="53" spans="1:37" s="419" customFormat="1" ht="15" customHeight="1">
      <c r="A53" s="1931"/>
      <c r="B53" s="583"/>
      <c r="C53" s="410"/>
      <c r="D53" s="272"/>
      <c r="E53" s="1719"/>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19"/>
      <c r="AE53" s="258"/>
      <c r="AF53" s="313"/>
      <c r="AG53" s="1719"/>
      <c r="AH53" s="1214"/>
      <c r="AI53" s="272"/>
      <c r="AJ53" s="272"/>
      <c r="AK53" s="1905"/>
    </row>
    <row r="54" spans="1:37" ht="15" customHeight="1">
      <c r="A54" s="350"/>
      <c r="B54" s="583" t="s">
        <v>1209</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2617.6999999999998</v>
      </c>
      <c r="Q54" s="260"/>
      <c r="R54" s="610">
        <f>ROUND(SUM(R28+R37+R44+R52),1)</f>
        <v>2476</v>
      </c>
      <c r="S54" s="260"/>
      <c r="T54" s="610">
        <f>ROUND(SUM(T28+T37+T44+T52),1)</f>
        <v>7028.4</v>
      </c>
      <c r="U54" s="260"/>
      <c r="V54" s="610">
        <f>ROUND(SUM(V28+V37+V44+V52),1)</f>
        <v>6665.4</v>
      </c>
      <c r="W54" s="260"/>
      <c r="X54" s="610">
        <f>ROUND(SUM(X28+X37+X44+X52),1)</f>
        <v>0</v>
      </c>
      <c r="Y54" s="260"/>
      <c r="Z54" s="610">
        <f>ROUND(SUM(Z28+Z37+Z44+Z52),1)</f>
        <v>0</v>
      </c>
      <c r="AA54" s="365"/>
      <c r="AB54" s="237"/>
      <c r="AC54" s="610">
        <f>ROUND(SUM(AC28+AC37+AC44+AC52),1)</f>
        <v>42253.5</v>
      </c>
      <c r="AD54" s="260"/>
      <c r="AE54" s="249"/>
      <c r="AF54" s="610">
        <f>ROUND(SUM(AF28+AF37+AF44+AF52),1)</f>
        <v>38041.199999999997</v>
      </c>
      <c r="AG54" s="260"/>
      <c r="AH54" s="1212"/>
      <c r="AI54" s="610">
        <f>ROUND(SUM(AI28+AI37+AI44+AI52),1)</f>
        <v>4212.3</v>
      </c>
      <c r="AJ54" s="1740"/>
      <c r="AK54" s="521">
        <f>ROUND(SUM(+AI54/AF54),3)</f>
        <v>0.111</v>
      </c>
    </row>
    <row r="55" spans="1:37" ht="8.25" customHeight="1">
      <c r="A55" s="350"/>
      <c r="B55" s="1279"/>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2"/>
      <c r="AI55" s="1111"/>
      <c r="AJ55" s="1740"/>
      <c r="AK55" s="1764"/>
    </row>
    <row r="56" spans="1:37" ht="15" customHeight="1">
      <c r="A56" s="350"/>
      <c r="B56" s="486" t="s">
        <v>1128</v>
      </c>
      <c r="C56" s="1667"/>
      <c r="D56" s="1111"/>
      <c r="E56" s="1113"/>
      <c r="F56" s="260"/>
      <c r="G56" s="1113"/>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2"/>
      <c r="AI56" s="1111"/>
      <c r="AJ56" s="1740"/>
      <c r="AK56" s="1764"/>
    </row>
    <row r="57" spans="1:37" ht="15" customHeight="1">
      <c r="A57" s="350"/>
      <c r="B57" s="1669" t="s">
        <v>1237</v>
      </c>
      <c r="C57" s="1667"/>
      <c r="D57" s="1111"/>
      <c r="E57" s="1113"/>
      <c r="F57" s="260"/>
      <c r="G57" s="1113"/>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72" t="s">
        <v>188</v>
      </c>
      <c r="AG57" s="260"/>
      <c r="AH57" s="1212"/>
      <c r="AI57" s="1111"/>
      <c r="AJ57" s="1740"/>
      <c r="AK57" s="1764"/>
    </row>
    <row r="58" spans="1:37" ht="15" customHeight="1">
      <c r="A58" s="350"/>
      <c r="B58" s="1669" t="s">
        <v>1387</v>
      </c>
      <c r="C58" s="1669"/>
      <c r="D58" s="1672">
        <v>0</v>
      </c>
      <c r="E58" s="1113"/>
      <c r="F58" s="1672">
        <v>-0.4</v>
      </c>
      <c r="G58" s="1113"/>
      <c r="H58" s="260">
        <v>0.4</v>
      </c>
      <c r="I58" s="260"/>
      <c r="J58" s="316">
        <v>0.2</v>
      </c>
      <c r="K58" s="260"/>
      <c r="L58" s="260">
        <v>0.9</v>
      </c>
      <c r="M58" s="260"/>
      <c r="N58" s="260">
        <v>64.5</v>
      </c>
      <c r="O58" s="260"/>
      <c r="P58" s="260">
        <v>5.4</v>
      </c>
      <c r="Q58" s="260"/>
      <c r="R58" s="260">
        <v>170.4</v>
      </c>
      <c r="S58" s="260"/>
      <c r="T58" s="260">
        <v>21.299999999999983</v>
      </c>
      <c r="U58" s="260"/>
      <c r="V58" s="260">
        <v>24.5</v>
      </c>
      <c r="W58" s="260"/>
      <c r="X58" s="260"/>
      <c r="Y58" s="260"/>
      <c r="Z58" s="260"/>
      <c r="AA58" s="365"/>
      <c r="AB58" s="237"/>
      <c r="AC58" s="260">
        <f t="shared" ref="AC58:AC90" si="6">ROUND(SUM(D58:Z58),1)</f>
        <v>287.2</v>
      </c>
      <c r="AD58" s="260"/>
      <c r="AE58" s="249"/>
      <c r="AF58" s="1672">
        <v>275.7</v>
      </c>
      <c r="AG58" s="260"/>
      <c r="AH58" s="1212"/>
      <c r="AI58" s="1111">
        <f>ROUND(SUM(+AC58-AF58),1)</f>
        <v>11.5</v>
      </c>
      <c r="AJ58" s="1740"/>
      <c r="AK58" s="2582">
        <f>ROUND(IF(AF58=0,1,AI58/ABS(AF58)),3)</f>
        <v>4.2000000000000003E-2</v>
      </c>
    </row>
    <row r="59" spans="1:37" ht="15" customHeight="1">
      <c r="A59" s="350"/>
      <c r="B59" s="1669" t="s">
        <v>1388</v>
      </c>
      <c r="C59" s="1669"/>
      <c r="D59" s="1672">
        <v>0.3</v>
      </c>
      <c r="E59" s="1113"/>
      <c r="F59" s="260">
        <v>0.5</v>
      </c>
      <c r="G59" s="1113"/>
      <c r="H59" s="316">
        <v>9.6999999999999993</v>
      </c>
      <c r="I59" s="260"/>
      <c r="J59" s="316">
        <v>0.6</v>
      </c>
      <c r="K59" s="260"/>
      <c r="L59" s="260">
        <v>0.2</v>
      </c>
      <c r="M59" s="260"/>
      <c r="N59" s="260">
        <v>36.200000000000003</v>
      </c>
      <c r="O59" s="260"/>
      <c r="P59" s="260">
        <v>1.2</v>
      </c>
      <c r="Q59" s="260"/>
      <c r="R59" s="260">
        <v>0.2</v>
      </c>
      <c r="S59" s="260"/>
      <c r="T59" s="260">
        <v>20.100000000000001</v>
      </c>
      <c r="U59" s="260"/>
      <c r="V59" s="260">
        <v>0.7</v>
      </c>
      <c r="W59" s="260"/>
      <c r="X59" s="260"/>
      <c r="Y59" s="260"/>
      <c r="Z59" s="260"/>
      <c r="AA59" s="365"/>
      <c r="AB59" s="237"/>
      <c r="AC59" s="316">
        <f t="shared" si="6"/>
        <v>69.7</v>
      </c>
      <c r="AD59" s="260"/>
      <c r="AE59" s="249"/>
      <c r="AF59" s="316">
        <v>66</v>
      </c>
      <c r="AG59" s="260"/>
      <c r="AH59" s="1212"/>
      <c r="AI59" s="1111">
        <f>ROUND(SUM(+AC59-AF59),1)</f>
        <v>3.7</v>
      </c>
      <c r="AJ59" s="1740"/>
      <c r="AK59" s="1700">
        <f>ROUND(IF(AF59=0,0,AI59/ABS(AF59)),3)</f>
        <v>5.6000000000000001E-2</v>
      </c>
    </row>
    <row r="60" spans="1:37" ht="15" customHeight="1">
      <c r="A60" s="350"/>
      <c r="B60" s="1669" t="s">
        <v>1238</v>
      </c>
      <c r="C60" s="1669"/>
      <c r="D60" s="1672"/>
      <c r="E60" s="1113"/>
      <c r="F60" s="260"/>
      <c r="G60" s="1113"/>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2"/>
      <c r="AI60" s="1111"/>
      <c r="AJ60" s="1740"/>
      <c r="AK60" s="1764"/>
    </row>
    <row r="61" spans="1:37" ht="15" customHeight="1">
      <c r="A61" s="350"/>
      <c r="B61" s="1669" t="s">
        <v>1389</v>
      </c>
      <c r="C61" s="1669"/>
      <c r="D61" s="1672">
        <v>0</v>
      </c>
      <c r="E61" s="1113"/>
      <c r="F61" s="260">
        <v>0</v>
      </c>
      <c r="G61" s="1113"/>
      <c r="H61" s="260">
        <v>0</v>
      </c>
      <c r="I61" s="260"/>
      <c r="J61" s="316">
        <v>0</v>
      </c>
      <c r="K61" s="260"/>
      <c r="L61" s="260">
        <v>0</v>
      </c>
      <c r="M61" s="260"/>
      <c r="N61" s="260">
        <v>0</v>
      </c>
      <c r="O61" s="260"/>
      <c r="P61" s="260">
        <v>0</v>
      </c>
      <c r="Q61" s="260"/>
      <c r="R61" s="260">
        <v>0</v>
      </c>
      <c r="S61" s="260"/>
      <c r="T61" s="260">
        <v>0</v>
      </c>
      <c r="U61" s="260"/>
      <c r="V61" s="260">
        <v>0</v>
      </c>
      <c r="W61" s="260"/>
      <c r="X61" s="260"/>
      <c r="Y61" s="260"/>
      <c r="Z61" s="260"/>
      <c r="AA61" s="365"/>
      <c r="AB61" s="237"/>
      <c r="AC61" s="316">
        <f t="shared" si="6"/>
        <v>0</v>
      </c>
      <c r="AD61" s="260"/>
      <c r="AE61" s="249"/>
      <c r="AF61" s="316">
        <v>250</v>
      </c>
      <c r="AG61" s="260"/>
      <c r="AH61" s="1212"/>
      <c r="AI61" s="1111">
        <f>ROUND(SUM(+AC61-AF61),1)</f>
        <v>-250</v>
      </c>
      <c r="AJ61" s="1740"/>
      <c r="AK61" s="1700">
        <f>ROUND(IF(AF61=0,0,AI61/ABS(AF61)),3)</f>
        <v>-1</v>
      </c>
    </row>
    <row r="62" spans="1:37" ht="15" customHeight="1">
      <c r="A62" s="350"/>
      <c r="B62" s="1669" t="s">
        <v>1390</v>
      </c>
      <c r="C62" s="1669"/>
      <c r="D62" s="1672">
        <v>1.8</v>
      </c>
      <c r="E62" s="1113"/>
      <c r="F62" s="260">
        <v>2.5</v>
      </c>
      <c r="G62" s="1113"/>
      <c r="H62" s="260">
        <v>4.3</v>
      </c>
      <c r="I62" s="260"/>
      <c r="J62" s="316">
        <v>3.6</v>
      </c>
      <c r="K62" s="260"/>
      <c r="L62" s="260">
        <v>3.1000000000000014</v>
      </c>
      <c r="M62" s="260"/>
      <c r="N62" s="260">
        <v>0</v>
      </c>
      <c r="O62" s="260"/>
      <c r="P62" s="260">
        <v>8.6</v>
      </c>
      <c r="Q62" s="260"/>
      <c r="R62" s="260">
        <v>4.5</v>
      </c>
      <c r="S62" s="260"/>
      <c r="T62" s="260">
        <v>5.7</v>
      </c>
      <c r="U62" s="260"/>
      <c r="V62" s="260">
        <v>3.7</v>
      </c>
      <c r="W62" s="260"/>
      <c r="X62" s="260"/>
      <c r="Y62" s="260"/>
      <c r="Z62" s="260"/>
      <c r="AA62" s="365"/>
      <c r="AB62" s="237"/>
      <c r="AC62" s="316">
        <f t="shared" si="6"/>
        <v>37.799999999999997</v>
      </c>
      <c r="AD62" s="260"/>
      <c r="AE62" s="249"/>
      <c r="AF62" s="316">
        <v>43.8</v>
      </c>
      <c r="AG62" s="260"/>
      <c r="AH62" s="1212"/>
      <c r="AI62" s="1111">
        <f>ROUND(SUM(+AC62-AF62),1)</f>
        <v>-6</v>
      </c>
      <c r="AJ62" s="1740"/>
      <c r="AK62" s="1700">
        <f>ROUND(IF(AF62=0,0,AI62/ABS(AF62)),3)</f>
        <v>-0.13700000000000001</v>
      </c>
    </row>
    <row r="63" spans="1:37" ht="15" customHeight="1">
      <c r="A63" s="350"/>
      <c r="B63" s="1669" t="s">
        <v>1391</v>
      </c>
      <c r="C63" s="1669"/>
      <c r="D63" s="1672">
        <v>0</v>
      </c>
      <c r="E63" s="1113"/>
      <c r="F63" s="1111">
        <v>0</v>
      </c>
      <c r="G63" s="1113"/>
      <c r="H63" s="260">
        <v>0</v>
      </c>
      <c r="I63" s="260"/>
      <c r="J63" s="316">
        <v>0</v>
      </c>
      <c r="K63" s="260"/>
      <c r="L63" s="260">
        <v>0</v>
      </c>
      <c r="M63" s="260"/>
      <c r="N63" s="260">
        <v>0</v>
      </c>
      <c r="O63" s="260"/>
      <c r="P63" s="260">
        <v>0</v>
      </c>
      <c r="Q63" s="260"/>
      <c r="R63" s="260">
        <v>0</v>
      </c>
      <c r="S63" s="260"/>
      <c r="T63" s="260">
        <v>0</v>
      </c>
      <c r="U63" s="260"/>
      <c r="V63" s="2800">
        <v>0</v>
      </c>
      <c r="W63" s="260"/>
      <c r="X63" s="260"/>
      <c r="Y63" s="260"/>
      <c r="Z63" s="260"/>
      <c r="AA63" s="365"/>
      <c r="AB63" s="237"/>
      <c r="AC63" s="316">
        <f t="shared" si="6"/>
        <v>0</v>
      </c>
      <c r="AD63" s="260"/>
      <c r="AE63" s="249"/>
      <c r="AF63" s="2480">
        <v>58.2</v>
      </c>
      <c r="AG63" s="260"/>
      <c r="AH63" s="1212"/>
      <c r="AI63" s="1111">
        <f>ROUND(SUM(+AC63-AF63),1)</f>
        <v>-58.2</v>
      </c>
      <c r="AJ63" s="1740"/>
      <c r="AK63" s="1700">
        <f>ROUND(IF(AF63=0,0,AI63/ABS(AF63)),3)</f>
        <v>-1</v>
      </c>
    </row>
    <row r="64" spans="1:37" ht="15" customHeight="1">
      <c r="A64" s="350"/>
      <c r="B64" s="1669" t="s">
        <v>1392</v>
      </c>
      <c r="C64" s="1669"/>
      <c r="D64" s="1672">
        <v>0</v>
      </c>
      <c r="E64" s="1113"/>
      <c r="F64" s="260">
        <v>0.1</v>
      </c>
      <c r="G64" s="1113"/>
      <c r="H64" s="260">
        <v>0.1</v>
      </c>
      <c r="I64" s="260"/>
      <c r="J64" s="316">
        <v>0</v>
      </c>
      <c r="K64" s="260"/>
      <c r="L64" s="260">
        <v>0</v>
      </c>
      <c r="M64" s="260"/>
      <c r="N64" s="260">
        <v>0.2</v>
      </c>
      <c r="O64" s="260"/>
      <c r="P64" s="260">
        <v>0.1</v>
      </c>
      <c r="Q64" s="260"/>
      <c r="R64" s="260">
        <v>0.1</v>
      </c>
      <c r="S64" s="260"/>
      <c r="T64" s="260">
        <v>0</v>
      </c>
      <c r="U64" s="260"/>
      <c r="V64" s="260">
        <v>0.2</v>
      </c>
      <c r="W64" s="260"/>
      <c r="X64" s="260"/>
      <c r="Y64" s="260"/>
      <c r="Z64" s="260"/>
      <c r="AA64" s="365"/>
      <c r="AB64" s="237"/>
      <c r="AC64" s="316">
        <f t="shared" si="6"/>
        <v>0.8</v>
      </c>
      <c r="AD64" s="260"/>
      <c r="AE64" s="249"/>
      <c r="AF64" s="316">
        <v>0.5</v>
      </c>
      <c r="AG64" s="260"/>
      <c r="AH64" s="1212"/>
      <c r="AI64" s="1111">
        <f>ROUND(SUM(+AC64-AF64),1)</f>
        <v>0.3</v>
      </c>
      <c r="AJ64" s="1740"/>
      <c r="AK64" s="2582">
        <f>ROUND(IF(AF64=0,1,AI64/ABS(AF64)),3)</f>
        <v>0.6</v>
      </c>
    </row>
    <row r="65" spans="1:37" ht="15" customHeight="1">
      <c r="A65" s="350"/>
      <c r="B65" s="1669" t="s">
        <v>1242</v>
      </c>
      <c r="C65" s="1669"/>
      <c r="D65" s="1672"/>
      <c r="E65" s="1113"/>
      <c r="F65" s="260"/>
      <c r="G65" s="1113"/>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2"/>
      <c r="AI65" s="1111"/>
      <c r="AJ65" s="1740"/>
      <c r="AK65" s="2574"/>
    </row>
    <row r="66" spans="1:37" ht="15" customHeight="1">
      <c r="A66" s="350"/>
      <c r="B66" s="1669" t="s">
        <v>1393</v>
      </c>
      <c r="C66" s="1669"/>
      <c r="D66" s="1672">
        <v>6.1</v>
      </c>
      <c r="E66" s="1113"/>
      <c r="F66" s="260">
        <v>6.4</v>
      </c>
      <c r="G66" s="1113"/>
      <c r="H66" s="260">
        <v>5.9</v>
      </c>
      <c r="I66" s="260"/>
      <c r="J66" s="316">
        <v>5.4</v>
      </c>
      <c r="K66" s="260"/>
      <c r="L66" s="260">
        <v>6.1</v>
      </c>
      <c r="M66" s="260"/>
      <c r="N66" s="260">
        <v>5.7000000000000028</v>
      </c>
      <c r="O66" s="260"/>
      <c r="P66" s="260">
        <v>6.5</v>
      </c>
      <c r="Q66" s="260"/>
      <c r="R66" s="260">
        <v>4.4000000000000004</v>
      </c>
      <c r="S66" s="260"/>
      <c r="T66" s="260">
        <v>4.5</v>
      </c>
      <c r="U66" s="260"/>
      <c r="V66" s="260">
        <v>5.6</v>
      </c>
      <c r="W66" s="260"/>
      <c r="X66" s="260"/>
      <c r="Y66" s="260"/>
      <c r="Z66" s="260"/>
      <c r="AA66" s="365"/>
      <c r="AB66" s="237"/>
      <c r="AC66" s="316">
        <f t="shared" si="6"/>
        <v>56.6</v>
      </c>
      <c r="AD66" s="260"/>
      <c r="AE66" s="249"/>
      <c r="AF66" s="316">
        <v>50.2</v>
      </c>
      <c r="AG66" s="260"/>
      <c r="AH66" s="1212"/>
      <c r="AI66" s="1111">
        <f t="shared" ref="AI66:AI73" si="7">ROUND(SUM(+AC66-AF66),1)</f>
        <v>6.4</v>
      </c>
      <c r="AJ66" s="1740"/>
      <c r="AK66" s="1700">
        <f>ROUND(IF(AF66=0,0,AI66/ABS(AF66)),3)</f>
        <v>0.127</v>
      </c>
    </row>
    <row r="67" spans="1:37" ht="15" customHeight="1">
      <c r="A67" s="350"/>
      <c r="B67" s="1669" t="s">
        <v>1411</v>
      </c>
      <c r="C67" s="1669"/>
      <c r="D67" s="1672">
        <v>0</v>
      </c>
      <c r="E67" s="1113"/>
      <c r="F67" s="260">
        <v>0</v>
      </c>
      <c r="G67" s="1113"/>
      <c r="H67" s="260">
        <v>0</v>
      </c>
      <c r="I67" s="260"/>
      <c r="J67" s="316">
        <v>0</v>
      </c>
      <c r="K67" s="260"/>
      <c r="L67" s="260">
        <v>0</v>
      </c>
      <c r="M67" s="260"/>
      <c r="N67" s="260">
        <v>0</v>
      </c>
      <c r="O67" s="260"/>
      <c r="P67" s="260">
        <v>0</v>
      </c>
      <c r="Q67" s="260"/>
      <c r="R67" s="260">
        <v>0</v>
      </c>
      <c r="S67" s="260"/>
      <c r="T67" s="260">
        <v>0</v>
      </c>
      <c r="U67" s="260"/>
      <c r="V67" s="260">
        <v>0</v>
      </c>
      <c r="W67" s="260"/>
      <c r="X67" s="260"/>
      <c r="Y67" s="260"/>
      <c r="Z67" s="260"/>
      <c r="AA67" s="365"/>
      <c r="AB67" s="237"/>
      <c r="AC67" s="316">
        <f t="shared" ref="AC67" si="8">ROUND(SUM(D67:Z67),1)</f>
        <v>0</v>
      </c>
      <c r="AD67" s="260"/>
      <c r="AE67" s="249"/>
      <c r="AF67" s="316">
        <v>0</v>
      </c>
      <c r="AG67" s="260"/>
      <c r="AH67" s="1212"/>
      <c r="AI67" s="2800">
        <f t="shared" ref="AI67" si="9">ROUND(SUM(+AC67-AF67),1)</f>
        <v>0</v>
      </c>
      <c r="AJ67" s="1740"/>
      <c r="AK67" s="2582">
        <f>ROUND(IF(AF67=0,0,AI67/ABS(AF67)),3)</f>
        <v>0</v>
      </c>
    </row>
    <row r="68" spans="1:37" ht="15" customHeight="1">
      <c r="A68" s="350"/>
      <c r="B68" s="1669" t="s">
        <v>1394</v>
      </c>
      <c r="C68" s="1669"/>
      <c r="D68" s="1111">
        <v>1.5</v>
      </c>
      <c r="E68" s="1113"/>
      <c r="F68" s="260">
        <v>15.6</v>
      </c>
      <c r="G68" s="1113"/>
      <c r="H68" s="260">
        <v>21.9</v>
      </c>
      <c r="I68" s="260"/>
      <c r="J68" s="316">
        <v>8.8000000000000007</v>
      </c>
      <c r="K68" s="260"/>
      <c r="L68" s="260">
        <v>5.4000000000000057</v>
      </c>
      <c r="M68" s="260"/>
      <c r="N68" s="260">
        <v>28.799999999999997</v>
      </c>
      <c r="O68" s="260"/>
      <c r="P68" s="260">
        <v>20.100000000000001</v>
      </c>
      <c r="Q68" s="260"/>
      <c r="R68" s="260">
        <v>7.7000000000000028</v>
      </c>
      <c r="S68" s="260"/>
      <c r="T68" s="260">
        <v>38.799999999999997</v>
      </c>
      <c r="U68" s="260"/>
      <c r="V68" s="260">
        <v>28.3</v>
      </c>
      <c r="W68" s="260"/>
      <c r="X68" s="260"/>
      <c r="Y68" s="260"/>
      <c r="Z68" s="260"/>
      <c r="AA68" s="365"/>
      <c r="AB68" s="237"/>
      <c r="AC68" s="316">
        <f t="shared" si="6"/>
        <v>176.9</v>
      </c>
      <c r="AD68" s="260"/>
      <c r="AE68" s="249"/>
      <c r="AF68" s="316">
        <v>180.6</v>
      </c>
      <c r="AG68" s="260"/>
      <c r="AH68" s="1212"/>
      <c r="AI68" s="1111">
        <f t="shared" si="7"/>
        <v>-3.7</v>
      </c>
      <c r="AJ68" s="1740"/>
      <c r="AK68" s="1700">
        <f>ROUND(IF(AF68=0,0,AI68/ABS(AF68)),3)</f>
        <v>-0.02</v>
      </c>
    </row>
    <row r="69" spans="1:37" ht="15" customHeight="1">
      <c r="A69" s="350"/>
      <c r="B69" s="1669" t="s">
        <v>1395</v>
      </c>
      <c r="C69" s="1669"/>
      <c r="D69" s="1111">
        <v>17.399999999999999</v>
      </c>
      <c r="E69" s="1113"/>
      <c r="F69" s="260">
        <v>13.3</v>
      </c>
      <c r="G69" s="1113"/>
      <c r="H69" s="260">
        <v>11.6</v>
      </c>
      <c r="I69" s="260"/>
      <c r="J69" s="316">
        <v>38.9</v>
      </c>
      <c r="K69" s="260"/>
      <c r="L69" s="260">
        <v>7.0999999999999943</v>
      </c>
      <c r="M69" s="260"/>
      <c r="N69" s="260">
        <v>21.2</v>
      </c>
      <c r="O69" s="260"/>
      <c r="P69" s="260">
        <v>28.599999999999994</v>
      </c>
      <c r="Q69" s="260"/>
      <c r="R69" s="260">
        <v>16.5</v>
      </c>
      <c r="S69" s="260"/>
      <c r="T69" s="260">
        <v>16.5</v>
      </c>
      <c r="U69" s="260"/>
      <c r="V69" s="260">
        <v>13.4</v>
      </c>
      <c r="W69" s="260"/>
      <c r="X69" s="260"/>
      <c r="Y69" s="260"/>
      <c r="Z69" s="260"/>
      <c r="AA69" s="365"/>
      <c r="AB69" s="237"/>
      <c r="AC69" s="316">
        <f t="shared" si="6"/>
        <v>184.5</v>
      </c>
      <c r="AD69" s="260"/>
      <c r="AE69" s="249"/>
      <c r="AF69" s="316">
        <v>179.9</v>
      </c>
      <c r="AG69" s="260"/>
      <c r="AH69" s="1212"/>
      <c r="AI69" s="1111">
        <f t="shared" si="7"/>
        <v>4.5999999999999996</v>
      </c>
      <c r="AJ69" s="1740"/>
      <c r="AK69" s="1700">
        <f>ROUND(IF(AF69=0,0,AI69/ABS(AF69)),3)</f>
        <v>2.5999999999999999E-2</v>
      </c>
    </row>
    <row r="70" spans="1:37" ht="15" customHeight="1">
      <c r="A70" s="350"/>
      <c r="B70" s="1669" t="s">
        <v>1396</v>
      </c>
      <c r="C70" s="1669"/>
      <c r="D70" s="1111">
        <v>0.2</v>
      </c>
      <c r="E70" s="1113"/>
      <c r="F70" s="260">
        <v>0.1</v>
      </c>
      <c r="G70" s="1113"/>
      <c r="H70" s="260">
        <v>0.1</v>
      </c>
      <c r="I70" s="260"/>
      <c r="J70" s="316">
        <v>0.2</v>
      </c>
      <c r="K70" s="260"/>
      <c r="L70" s="260">
        <v>0.1</v>
      </c>
      <c r="M70" s="260"/>
      <c r="N70" s="260">
        <v>0.2</v>
      </c>
      <c r="O70" s="260"/>
      <c r="P70" s="260">
        <v>0.2</v>
      </c>
      <c r="Q70" s="260"/>
      <c r="R70" s="260">
        <v>0.1</v>
      </c>
      <c r="S70" s="260"/>
      <c r="T70" s="260">
        <v>0.1</v>
      </c>
      <c r="U70" s="260"/>
      <c r="V70" s="260">
        <v>0.1</v>
      </c>
      <c r="W70" s="260"/>
      <c r="X70" s="260"/>
      <c r="Y70" s="260"/>
      <c r="Z70" s="260"/>
      <c r="AA70" s="365"/>
      <c r="AB70" s="237"/>
      <c r="AC70" s="316">
        <f t="shared" si="6"/>
        <v>1.4</v>
      </c>
      <c r="AD70" s="260"/>
      <c r="AE70" s="249"/>
      <c r="AF70" s="316">
        <v>0.5</v>
      </c>
      <c r="AG70" s="260"/>
      <c r="AH70" s="1212"/>
      <c r="AI70" s="1111">
        <f t="shared" si="7"/>
        <v>0.9</v>
      </c>
      <c r="AJ70" s="1740"/>
      <c r="AK70" s="2582">
        <f>ROUND(IF(AF70=0,1,AI70/ABS(AF70)),3)</f>
        <v>1.8</v>
      </c>
    </row>
    <row r="71" spans="1:37" ht="15" customHeight="1">
      <c r="A71" s="350"/>
      <c r="B71" s="1669" t="s">
        <v>1408</v>
      </c>
      <c r="C71" s="1669"/>
      <c r="D71" s="1111">
        <v>35.700000000000003</v>
      </c>
      <c r="E71" s="1113"/>
      <c r="F71" s="2800">
        <v>29.5</v>
      </c>
      <c r="G71" s="1113"/>
      <c r="H71" s="260">
        <v>30.9</v>
      </c>
      <c r="I71" s="260"/>
      <c r="J71" s="316">
        <v>-5.2</v>
      </c>
      <c r="K71" s="260"/>
      <c r="L71" s="260">
        <v>34.399999999999991</v>
      </c>
      <c r="M71" s="260"/>
      <c r="N71" s="260">
        <v>7.2000000000000028</v>
      </c>
      <c r="O71" s="260"/>
      <c r="P71" s="260">
        <v>17.900000000000006</v>
      </c>
      <c r="Q71" s="260"/>
      <c r="R71" s="260">
        <v>16.5</v>
      </c>
      <c r="S71" s="260"/>
      <c r="T71" s="260">
        <v>4.9000000000000057</v>
      </c>
      <c r="U71" s="260"/>
      <c r="V71" s="260">
        <v>14.6</v>
      </c>
      <c r="W71" s="260"/>
      <c r="X71" s="260"/>
      <c r="Y71" s="260"/>
      <c r="Z71" s="260"/>
      <c r="AA71" s="365"/>
      <c r="AB71" s="237"/>
      <c r="AC71" s="316">
        <f>ROUND(SUM(D71:Z71),1)</f>
        <v>186.4</v>
      </c>
      <c r="AD71" s="260"/>
      <c r="AE71" s="249"/>
      <c r="AF71" s="316">
        <v>135.5</v>
      </c>
      <c r="AG71" s="260"/>
      <c r="AH71" s="1212"/>
      <c r="AI71" s="1111">
        <f t="shared" si="7"/>
        <v>50.9</v>
      </c>
      <c r="AJ71" s="1740"/>
      <c r="AK71" s="2636">
        <f>ROUND(IF(AF71=0,1,AI71/ABS(AF71)),3)</f>
        <v>0.376</v>
      </c>
    </row>
    <row r="72" spans="1:37" ht="15" customHeight="1">
      <c r="A72" s="350"/>
      <c r="B72" s="1669" t="s">
        <v>1409</v>
      </c>
      <c r="C72" s="1669"/>
      <c r="D72" s="1111">
        <v>1.1000000000000001</v>
      </c>
      <c r="E72" s="1113"/>
      <c r="F72" s="260">
        <v>1.4</v>
      </c>
      <c r="G72" s="1113"/>
      <c r="H72" s="260">
        <v>0.7</v>
      </c>
      <c r="I72" s="260"/>
      <c r="J72" s="316">
        <v>1.6</v>
      </c>
      <c r="K72" s="260"/>
      <c r="L72" s="260">
        <v>2</v>
      </c>
      <c r="M72" s="260"/>
      <c r="N72" s="260">
        <v>1.1000000000000001</v>
      </c>
      <c r="O72" s="260"/>
      <c r="P72" s="260">
        <v>1.2</v>
      </c>
      <c r="Q72" s="260"/>
      <c r="R72" s="260">
        <v>1.7</v>
      </c>
      <c r="S72" s="260"/>
      <c r="T72" s="260">
        <v>1.0999999999999996</v>
      </c>
      <c r="U72" s="260"/>
      <c r="V72" s="260">
        <v>1.2</v>
      </c>
      <c r="W72" s="260"/>
      <c r="X72" s="260"/>
      <c r="Y72" s="260"/>
      <c r="Z72" s="260"/>
      <c r="AA72" s="365"/>
      <c r="AB72" s="237"/>
      <c r="AC72" s="316">
        <f t="shared" si="6"/>
        <v>13.1</v>
      </c>
      <c r="AD72" s="260"/>
      <c r="AE72" s="249"/>
      <c r="AF72" s="1672">
        <v>12.2</v>
      </c>
      <c r="AG72" s="260"/>
      <c r="AH72" s="1212"/>
      <c r="AI72" s="1111">
        <f t="shared" si="7"/>
        <v>0.9</v>
      </c>
      <c r="AJ72" s="1740"/>
      <c r="AK72" s="1700">
        <f>ROUND(IF(AF72=0,0,AI72/ABS(AF72)),3)</f>
        <v>7.3999999999999996E-2</v>
      </c>
    </row>
    <row r="73" spans="1:37" ht="15" customHeight="1">
      <c r="A73" s="350"/>
      <c r="B73" s="1669" t="s">
        <v>1129</v>
      </c>
      <c r="C73" s="1669"/>
      <c r="D73" s="1111">
        <v>6.6</v>
      </c>
      <c r="E73" s="1113"/>
      <c r="F73" s="260">
        <v>393</v>
      </c>
      <c r="G73" s="1113"/>
      <c r="H73" s="260">
        <v>22.2</v>
      </c>
      <c r="I73" s="260"/>
      <c r="J73" s="1672">
        <v>1.6</v>
      </c>
      <c r="K73" s="260"/>
      <c r="L73" s="260">
        <v>21.700000000000045</v>
      </c>
      <c r="M73" s="260"/>
      <c r="N73" s="260">
        <v>276.79999999999995</v>
      </c>
      <c r="O73" s="260"/>
      <c r="P73" s="260">
        <v>15.5</v>
      </c>
      <c r="Q73" s="260"/>
      <c r="R73" s="260">
        <v>149.20000000000005</v>
      </c>
      <c r="S73" s="260"/>
      <c r="T73" s="260">
        <v>47.799999999999955</v>
      </c>
      <c r="U73" s="260"/>
      <c r="V73" s="260">
        <v>80.599999999999994</v>
      </c>
      <c r="W73" s="260"/>
      <c r="X73" s="260"/>
      <c r="Y73" s="260"/>
      <c r="Z73" s="260"/>
      <c r="AA73" s="365"/>
      <c r="AB73" s="237"/>
      <c r="AC73" s="316">
        <f t="shared" si="6"/>
        <v>1015</v>
      </c>
      <c r="AD73" s="260"/>
      <c r="AE73" s="249"/>
      <c r="AF73" s="316">
        <v>923.5</v>
      </c>
      <c r="AG73" s="260"/>
      <c r="AH73" s="1212"/>
      <c r="AI73" s="1111">
        <f t="shared" si="7"/>
        <v>91.5</v>
      </c>
      <c r="AJ73" s="1740"/>
      <c r="AK73" s="1700">
        <f>ROUND(IF(AF73=0,0,AI73/ABS(AF73)),3)</f>
        <v>9.9000000000000005E-2</v>
      </c>
    </row>
    <row r="74" spans="1:37" ht="15" customHeight="1">
      <c r="A74" s="350"/>
      <c r="B74" s="1669" t="s">
        <v>1130</v>
      </c>
      <c r="C74" s="1669"/>
      <c r="D74" s="1111">
        <v>3.8</v>
      </c>
      <c r="E74" s="1113"/>
      <c r="F74" s="260">
        <v>1.1000000000000001</v>
      </c>
      <c r="G74" s="1113"/>
      <c r="H74" s="260">
        <v>2</v>
      </c>
      <c r="I74" s="260"/>
      <c r="J74" s="316">
        <v>0.9</v>
      </c>
      <c r="K74" s="260"/>
      <c r="L74" s="260">
        <v>1.7</v>
      </c>
      <c r="M74" s="260"/>
      <c r="N74" s="260">
        <v>2.4000000000000004</v>
      </c>
      <c r="O74" s="260"/>
      <c r="P74" s="260">
        <v>3.5999999999999996</v>
      </c>
      <c r="Q74" s="260"/>
      <c r="R74" s="260">
        <v>3.8000000000000007</v>
      </c>
      <c r="S74" s="260"/>
      <c r="T74" s="260">
        <v>3.1</v>
      </c>
      <c r="U74" s="260"/>
      <c r="V74" s="260">
        <v>3.9</v>
      </c>
      <c r="W74" s="260"/>
      <c r="X74" s="260"/>
      <c r="Y74" s="260"/>
      <c r="Z74" s="260"/>
      <c r="AA74" s="365"/>
      <c r="AB74" s="237"/>
      <c r="AC74" s="316">
        <f t="shared" si="6"/>
        <v>26.3</v>
      </c>
      <c r="AD74" s="260"/>
      <c r="AE74" s="249"/>
      <c r="AF74" s="316">
        <v>16</v>
      </c>
      <c r="AG74" s="260"/>
      <c r="AH74" s="1212"/>
      <c r="AI74" s="1111">
        <f>ROUND(SUM(+AC74-AF74),1)</f>
        <v>10.3</v>
      </c>
      <c r="AJ74" s="1740"/>
      <c r="AK74" s="2555">
        <f>ROUND(IF(AF74=0,1,AI74/ABS(AF74)),3)</f>
        <v>0.64400000000000002</v>
      </c>
    </row>
    <row r="75" spans="1:37" ht="15" customHeight="1">
      <c r="A75" s="350"/>
      <c r="B75" s="1669" t="s">
        <v>1240</v>
      </c>
      <c r="C75" s="1669"/>
      <c r="D75" s="1111"/>
      <c r="E75" s="1113"/>
      <c r="F75" s="260"/>
      <c r="G75" s="1113"/>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2"/>
      <c r="AI75" s="1111"/>
      <c r="AJ75" s="1740"/>
      <c r="AK75" s="2574"/>
    </row>
    <row r="76" spans="1:37" ht="15" customHeight="1">
      <c r="A76" s="350"/>
      <c r="B76" s="1669" t="s">
        <v>1397</v>
      </c>
      <c r="C76" s="1669"/>
      <c r="D76" s="1111">
        <v>0</v>
      </c>
      <c r="E76" s="1113"/>
      <c r="F76" s="260">
        <v>0</v>
      </c>
      <c r="G76" s="1113"/>
      <c r="H76" s="260">
        <v>0</v>
      </c>
      <c r="I76" s="260"/>
      <c r="J76" s="316">
        <v>0</v>
      </c>
      <c r="K76" s="260"/>
      <c r="L76" s="260">
        <v>2.2000000000000002</v>
      </c>
      <c r="M76" s="260"/>
      <c r="N76" s="260">
        <v>8.6000000000000014</v>
      </c>
      <c r="O76" s="260"/>
      <c r="P76" s="260">
        <v>0</v>
      </c>
      <c r="Q76" s="260"/>
      <c r="R76" s="260">
        <v>6.8000000000000007</v>
      </c>
      <c r="S76" s="260"/>
      <c r="T76" s="260">
        <v>0</v>
      </c>
      <c r="U76" s="260"/>
      <c r="V76" s="260">
        <v>0.1</v>
      </c>
      <c r="W76" s="260"/>
      <c r="X76" s="260"/>
      <c r="Y76" s="260"/>
      <c r="Z76" s="260"/>
      <c r="AA76" s="365"/>
      <c r="AB76" s="237"/>
      <c r="AC76" s="260">
        <f t="shared" si="6"/>
        <v>17.7</v>
      </c>
      <c r="AD76" s="260"/>
      <c r="AE76" s="249"/>
      <c r="AF76" s="316">
        <v>12.8</v>
      </c>
      <c r="AG76" s="260"/>
      <c r="AH76" s="1212"/>
      <c r="AI76" s="1111">
        <f>ROUND(SUM(+AC76-AF76),1)</f>
        <v>4.9000000000000004</v>
      </c>
      <c r="AJ76" s="1740"/>
      <c r="AK76" s="1700">
        <f>ROUND(IF(AF76=0,0,AI76/ABS(AF76)),3)</f>
        <v>0.38300000000000001</v>
      </c>
    </row>
    <row r="77" spans="1:37" ht="15" customHeight="1">
      <c r="A77" s="350"/>
      <c r="B77" s="1669" t="s">
        <v>1398</v>
      </c>
      <c r="C77" s="1669"/>
      <c r="D77" s="1111">
        <v>0</v>
      </c>
      <c r="E77" s="1113"/>
      <c r="F77" s="260">
        <v>9.6999999999999993</v>
      </c>
      <c r="G77" s="1113"/>
      <c r="H77" s="260">
        <v>1.2</v>
      </c>
      <c r="I77" s="260"/>
      <c r="J77" s="316">
        <v>29.1</v>
      </c>
      <c r="K77" s="260"/>
      <c r="L77" s="260">
        <v>1.3</v>
      </c>
      <c r="M77" s="260"/>
      <c r="N77" s="260">
        <v>0.3</v>
      </c>
      <c r="O77" s="260"/>
      <c r="P77" s="260">
        <v>14.7</v>
      </c>
      <c r="Q77" s="260"/>
      <c r="R77" s="2800">
        <v>4</v>
      </c>
      <c r="S77" s="260"/>
      <c r="T77" s="260">
        <v>18.3</v>
      </c>
      <c r="U77" s="260"/>
      <c r="V77" s="260">
        <v>5.2</v>
      </c>
      <c r="W77" s="260"/>
      <c r="X77" s="260"/>
      <c r="Y77" s="260"/>
      <c r="Z77" s="260"/>
      <c r="AA77" s="365"/>
      <c r="AB77" s="237"/>
      <c r="AC77" s="260">
        <f t="shared" si="6"/>
        <v>83.8</v>
      </c>
      <c r="AD77" s="260"/>
      <c r="AE77" s="249"/>
      <c r="AF77" s="316">
        <v>72.8</v>
      </c>
      <c r="AG77" s="260"/>
      <c r="AH77" s="1212"/>
      <c r="AI77" s="1111">
        <f>ROUND(SUM(+AC77-AF77),1)</f>
        <v>11</v>
      </c>
      <c r="AJ77" s="1740"/>
      <c r="AK77" s="1700">
        <f>ROUND(IF(AF77=0,1,AI77/ABS(AF77)),3)</f>
        <v>0.151</v>
      </c>
    </row>
    <row r="78" spans="1:37" ht="15" customHeight="1">
      <c r="A78" s="350"/>
      <c r="B78" s="1669" t="s">
        <v>1399</v>
      </c>
      <c r="C78" s="1669"/>
      <c r="D78" s="1111">
        <v>0</v>
      </c>
      <c r="E78" s="1113"/>
      <c r="F78" s="260">
        <v>0.1</v>
      </c>
      <c r="G78" s="1113"/>
      <c r="H78" s="260">
        <v>0</v>
      </c>
      <c r="I78" s="260"/>
      <c r="J78" s="316">
        <v>0</v>
      </c>
      <c r="K78" s="260"/>
      <c r="L78" s="260">
        <v>0</v>
      </c>
      <c r="M78" s="260"/>
      <c r="N78" s="260">
        <v>24.1</v>
      </c>
      <c r="O78" s="260"/>
      <c r="P78" s="260">
        <v>0</v>
      </c>
      <c r="Q78" s="260"/>
      <c r="R78" s="260">
        <v>0</v>
      </c>
      <c r="S78" s="260"/>
      <c r="T78" s="260">
        <v>0</v>
      </c>
      <c r="U78" s="260"/>
      <c r="V78" s="260">
        <v>0</v>
      </c>
      <c r="W78" s="260"/>
      <c r="X78" s="260"/>
      <c r="Y78" s="260"/>
      <c r="Z78" s="260"/>
      <c r="AA78" s="365"/>
      <c r="AB78" s="237"/>
      <c r="AC78" s="260">
        <f t="shared" si="6"/>
        <v>24.2</v>
      </c>
      <c r="AD78" s="260"/>
      <c r="AE78" s="249"/>
      <c r="AF78" s="316">
        <v>44.3</v>
      </c>
      <c r="AG78" s="260"/>
      <c r="AH78" s="1212"/>
      <c r="AI78" s="1111">
        <f>ROUND(SUM(+AC78-AF78),1)</f>
        <v>-20.100000000000001</v>
      </c>
      <c r="AJ78" s="1740"/>
      <c r="AK78" s="2555">
        <f>ROUND(IF(AF78=0,0,AI78/ABS(AF78)),3)</f>
        <v>-0.45400000000000001</v>
      </c>
    </row>
    <row r="79" spans="1:37" ht="15" customHeight="1">
      <c r="A79" s="350"/>
      <c r="B79" s="1669" t="s">
        <v>1141</v>
      </c>
      <c r="C79" s="1669"/>
      <c r="D79" s="1111">
        <v>16.7</v>
      </c>
      <c r="E79" s="1113"/>
      <c r="F79" s="260">
        <v>16.7</v>
      </c>
      <c r="G79" s="1113"/>
      <c r="H79" s="260">
        <v>16.600000000000001</v>
      </c>
      <c r="I79" s="260"/>
      <c r="J79" s="316">
        <v>16.7</v>
      </c>
      <c r="K79" s="260"/>
      <c r="L79" s="260">
        <v>16.700000000000003</v>
      </c>
      <c r="M79" s="260"/>
      <c r="N79" s="260">
        <v>16.699999999999989</v>
      </c>
      <c r="O79" s="260"/>
      <c r="P79" s="260">
        <v>16.600000000000001</v>
      </c>
      <c r="Q79" s="260"/>
      <c r="R79" s="260">
        <v>16.700000000000003</v>
      </c>
      <c r="S79" s="260"/>
      <c r="T79" s="260">
        <v>16.699999999999989</v>
      </c>
      <c r="U79" s="260"/>
      <c r="V79" s="260">
        <v>16.7</v>
      </c>
      <c r="W79" s="260"/>
      <c r="X79" s="260"/>
      <c r="Y79" s="260"/>
      <c r="Z79" s="260"/>
      <c r="AA79" s="365"/>
      <c r="AB79" s="237"/>
      <c r="AC79" s="260">
        <f t="shared" si="6"/>
        <v>166.8</v>
      </c>
      <c r="AD79" s="260"/>
      <c r="AE79" s="249"/>
      <c r="AF79" s="316">
        <v>150.1</v>
      </c>
      <c r="AG79" s="260"/>
      <c r="AH79" s="1212"/>
      <c r="AI79" s="1111">
        <f>ROUND(SUM(+AC79-AF79),1)</f>
        <v>16.7</v>
      </c>
      <c r="AJ79" s="1740"/>
      <c r="AK79" s="2582">
        <f>ROUND(IF(AF79=0,1,AI79/ABS(AF79)),3)</f>
        <v>0.111</v>
      </c>
    </row>
    <row r="80" spans="1:37" ht="15" customHeight="1">
      <c r="A80" s="350"/>
      <c r="B80" s="1669" t="s">
        <v>1142</v>
      </c>
      <c r="C80" s="1669"/>
      <c r="D80" s="1111">
        <v>0.8</v>
      </c>
      <c r="E80" s="1113"/>
      <c r="F80" s="260">
        <v>0.8</v>
      </c>
      <c r="G80" s="1113"/>
      <c r="H80" s="260">
        <v>0.1</v>
      </c>
      <c r="I80" s="260"/>
      <c r="J80" s="316">
        <v>0.4</v>
      </c>
      <c r="K80" s="260"/>
      <c r="L80" s="260">
        <v>0.1</v>
      </c>
      <c r="M80" s="260"/>
      <c r="N80" s="260">
        <v>0</v>
      </c>
      <c r="O80" s="260"/>
      <c r="P80" s="260">
        <v>0.3</v>
      </c>
      <c r="Q80" s="260"/>
      <c r="R80" s="260">
        <v>0.4</v>
      </c>
      <c r="S80" s="260"/>
      <c r="T80" s="260">
        <v>2.4</v>
      </c>
      <c r="U80" s="260"/>
      <c r="V80" s="260">
        <v>0.1</v>
      </c>
      <c r="W80" s="260"/>
      <c r="X80" s="260"/>
      <c r="Y80" s="260"/>
      <c r="Z80" s="260"/>
      <c r="AA80" s="365"/>
      <c r="AB80" s="237"/>
      <c r="AC80" s="260">
        <f t="shared" si="6"/>
        <v>5.4</v>
      </c>
      <c r="AD80" s="260"/>
      <c r="AE80" s="249"/>
      <c r="AF80" s="316">
        <v>2.6</v>
      </c>
      <c r="AG80" s="260"/>
      <c r="AH80" s="1212"/>
      <c r="AI80" s="1111">
        <f>ROUND(SUM(+AC80-AF80),1)</f>
        <v>2.8</v>
      </c>
      <c r="AJ80" s="1740"/>
      <c r="AK80" s="2555">
        <f>ROUND(IF(AF80=0,0,AI80/ABS(AF80)),3)</f>
        <v>1.077</v>
      </c>
    </row>
    <row r="81" spans="1:37" ht="15" customHeight="1">
      <c r="A81" s="350"/>
      <c r="B81" s="1669" t="s">
        <v>1241</v>
      </c>
      <c r="C81" s="1669"/>
      <c r="D81" s="1111"/>
      <c r="E81" s="1113"/>
      <c r="F81" s="260"/>
      <c r="G81" s="1113"/>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2"/>
      <c r="AI81" s="1111"/>
      <c r="AJ81" s="1740"/>
      <c r="AK81" s="2574"/>
    </row>
    <row r="82" spans="1:37" ht="15" customHeight="1">
      <c r="A82" s="350"/>
      <c r="B82" s="1669" t="s">
        <v>1400</v>
      </c>
      <c r="C82" s="1669"/>
      <c r="D82" s="1111">
        <v>0</v>
      </c>
      <c r="E82" s="1113"/>
      <c r="F82" s="260">
        <v>0.2</v>
      </c>
      <c r="G82" s="1113"/>
      <c r="H82" s="260">
        <v>24.7</v>
      </c>
      <c r="I82" s="260"/>
      <c r="J82" s="316">
        <v>0.7</v>
      </c>
      <c r="K82" s="260"/>
      <c r="L82" s="260">
        <v>1.1000000000000001</v>
      </c>
      <c r="M82" s="260"/>
      <c r="N82" s="260">
        <v>17.000000000000004</v>
      </c>
      <c r="O82" s="260"/>
      <c r="P82" s="1111">
        <v>1.3999999999999986</v>
      </c>
      <c r="Q82" s="260"/>
      <c r="R82" s="260">
        <v>0.4</v>
      </c>
      <c r="S82" s="260"/>
      <c r="T82" s="1111">
        <v>19.299999999999997</v>
      </c>
      <c r="U82" s="260"/>
      <c r="V82" s="260">
        <v>0.4</v>
      </c>
      <c r="W82" s="260"/>
      <c r="X82" s="260"/>
      <c r="Y82" s="260"/>
      <c r="Z82" s="260"/>
      <c r="AA82" s="365"/>
      <c r="AB82" s="237"/>
      <c r="AC82" s="260">
        <f t="shared" si="6"/>
        <v>65.2</v>
      </c>
      <c r="AD82" s="260"/>
      <c r="AE82" s="249"/>
      <c r="AF82" s="316">
        <v>66.5</v>
      </c>
      <c r="AG82" s="260"/>
      <c r="AH82" s="1212"/>
      <c r="AI82" s="1111">
        <f t="shared" ref="AI82:AI90" si="10">ROUND(SUM(+AC82-AF82),1)</f>
        <v>-1.3</v>
      </c>
      <c r="AJ82" s="1740"/>
      <c r="AK82" s="2582">
        <f t="shared" ref="AK82:AK83" si="11">ROUND(IF(AF82=0,1,AI82/ABS(AF82)),3)</f>
        <v>-0.02</v>
      </c>
    </row>
    <row r="83" spans="1:37" ht="15" customHeight="1">
      <c r="A83" s="350"/>
      <c r="B83" s="1669" t="s">
        <v>1401</v>
      </c>
      <c r="C83" s="1669"/>
      <c r="D83" s="2800">
        <v>0</v>
      </c>
      <c r="E83" s="1113"/>
      <c r="F83" s="260">
        <v>0.1</v>
      </c>
      <c r="G83" s="1113"/>
      <c r="H83" s="260">
        <v>0.1</v>
      </c>
      <c r="I83" s="260"/>
      <c r="J83" s="316">
        <v>0</v>
      </c>
      <c r="K83" s="260"/>
      <c r="L83" s="260">
        <v>0</v>
      </c>
      <c r="M83" s="260"/>
      <c r="N83" s="260">
        <v>0</v>
      </c>
      <c r="O83" s="260"/>
      <c r="P83" s="2800">
        <v>0</v>
      </c>
      <c r="Q83" s="260"/>
      <c r="R83" s="260">
        <v>0</v>
      </c>
      <c r="S83" s="260"/>
      <c r="T83" s="2800">
        <v>0</v>
      </c>
      <c r="U83" s="260"/>
      <c r="V83" s="260">
        <v>0</v>
      </c>
      <c r="W83" s="260"/>
      <c r="X83" s="260"/>
      <c r="Y83" s="260"/>
      <c r="Z83" s="260"/>
      <c r="AA83" s="365"/>
      <c r="AB83" s="237"/>
      <c r="AC83" s="260">
        <f t="shared" ref="AC83" si="12">ROUND(SUM(D83:Z83),1)</f>
        <v>0.2</v>
      </c>
      <c r="AD83" s="260"/>
      <c r="AE83" s="249"/>
      <c r="AF83" s="316">
        <v>0.2</v>
      </c>
      <c r="AG83" s="260"/>
      <c r="AH83" s="1212"/>
      <c r="AI83" s="2800">
        <f t="shared" ref="AI83" si="13">ROUND(SUM(+AC83-AF83),1)</f>
        <v>0</v>
      </c>
      <c r="AJ83" s="1740"/>
      <c r="AK83" s="2582">
        <f t="shared" si="11"/>
        <v>0</v>
      </c>
    </row>
    <row r="84" spans="1:37" ht="15" customHeight="1">
      <c r="A84" s="350"/>
      <c r="B84" s="1669" t="s">
        <v>1402</v>
      </c>
      <c r="C84" s="1669"/>
      <c r="D84" s="1111">
        <v>0.1</v>
      </c>
      <c r="E84" s="1113"/>
      <c r="F84" s="260">
        <v>0</v>
      </c>
      <c r="G84" s="1113"/>
      <c r="H84" s="260">
        <v>0</v>
      </c>
      <c r="I84" s="260"/>
      <c r="J84" s="316">
        <v>0</v>
      </c>
      <c r="K84" s="260"/>
      <c r="L84" s="260">
        <v>0</v>
      </c>
      <c r="M84" s="260"/>
      <c r="N84" s="260">
        <v>0</v>
      </c>
      <c r="O84" s="260"/>
      <c r="P84" s="260">
        <v>0</v>
      </c>
      <c r="Q84" s="260"/>
      <c r="R84" s="260">
        <v>0</v>
      </c>
      <c r="S84" s="260"/>
      <c r="T84" s="260">
        <v>0.1</v>
      </c>
      <c r="U84" s="260"/>
      <c r="V84" s="260">
        <v>0</v>
      </c>
      <c r="W84" s="260"/>
      <c r="X84" s="260"/>
      <c r="Y84" s="260"/>
      <c r="Z84" s="260"/>
      <c r="AA84" s="365"/>
      <c r="AB84" s="237"/>
      <c r="AC84" s="260">
        <f t="shared" si="6"/>
        <v>0.2</v>
      </c>
      <c r="AD84" s="260"/>
      <c r="AE84" s="249"/>
      <c r="AF84" s="316">
        <v>0</v>
      </c>
      <c r="AG84" s="260"/>
      <c r="AH84" s="1212"/>
      <c r="AI84" s="1111">
        <f t="shared" si="10"/>
        <v>0.2</v>
      </c>
      <c r="AJ84" s="1740"/>
      <c r="AK84" s="2582">
        <f>ROUND(IF(AF84=0,1,AI84/ABS(AF84)),3)</f>
        <v>1</v>
      </c>
    </row>
    <row r="85" spans="1:37" ht="15" customHeight="1">
      <c r="A85" s="350"/>
      <c r="B85" s="1669" t="s">
        <v>1403</v>
      </c>
      <c r="C85" s="1669"/>
      <c r="D85" s="1111">
        <v>0.9</v>
      </c>
      <c r="E85" s="1113"/>
      <c r="F85" s="260">
        <v>13.4</v>
      </c>
      <c r="G85" s="1113"/>
      <c r="H85" s="260">
        <v>11.4</v>
      </c>
      <c r="I85" s="260"/>
      <c r="J85" s="316">
        <v>7.2</v>
      </c>
      <c r="K85" s="260"/>
      <c r="L85" s="260">
        <v>20.800000000000004</v>
      </c>
      <c r="M85" s="260"/>
      <c r="N85" s="260">
        <v>4.6999999999999957</v>
      </c>
      <c r="O85" s="260"/>
      <c r="P85" s="260">
        <v>8.1000000000000014</v>
      </c>
      <c r="Q85" s="260"/>
      <c r="R85" s="260">
        <v>20.299999999999997</v>
      </c>
      <c r="S85" s="260"/>
      <c r="T85" s="260">
        <v>2.2999999999999972</v>
      </c>
      <c r="U85" s="260"/>
      <c r="V85" s="260">
        <v>13.3</v>
      </c>
      <c r="W85" s="260"/>
      <c r="X85" s="260"/>
      <c r="Y85" s="260"/>
      <c r="Z85" s="260"/>
      <c r="AA85" s="365"/>
      <c r="AB85" s="237"/>
      <c r="AC85" s="260">
        <f t="shared" si="6"/>
        <v>102.4</v>
      </c>
      <c r="AD85" s="260"/>
      <c r="AE85" s="249"/>
      <c r="AF85" s="316">
        <v>87.6</v>
      </c>
      <c r="AG85" s="260"/>
      <c r="AH85" s="1212"/>
      <c r="AI85" s="1111">
        <f t="shared" si="10"/>
        <v>14.8</v>
      </c>
      <c r="AJ85" s="1740"/>
      <c r="AK85" s="1700">
        <f>ROUND(IF(AF85=0,1,AI85/ABS(AF85)),3)</f>
        <v>0.16900000000000001</v>
      </c>
    </row>
    <row r="86" spans="1:37" ht="15" customHeight="1">
      <c r="A86" s="350"/>
      <c r="B86" s="1669" t="s">
        <v>1404</v>
      </c>
      <c r="C86" s="1669"/>
      <c r="D86" s="1111">
        <v>-0.9</v>
      </c>
      <c r="E86" s="1113"/>
      <c r="F86" s="260">
        <v>-0.2</v>
      </c>
      <c r="G86" s="1113"/>
      <c r="H86" s="260">
        <v>-0.7</v>
      </c>
      <c r="I86" s="260"/>
      <c r="J86" s="316">
        <v>0</v>
      </c>
      <c r="K86" s="260"/>
      <c r="L86" s="260">
        <v>-1.5999999999999999</v>
      </c>
      <c r="M86" s="260"/>
      <c r="N86" s="260">
        <v>2.7</v>
      </c>
      <c r="O86" s="260"/>
      <c r="P86" s="260">
        <v>0</v>
      </c>
      <c r="Q86" s="260"/>
      <c r="R86" s="260">
        <v>0</v>
      </c>
      <c r="S86" s="260"/>
      <c r="T86" s="2800">
        <v>2.6</v>
      </c>
      <c r="U86" s="260"/>
      <c r="V86" s="260">
        <v>-0.9</v>
      </c>
      <c r="W86" s="260"/>
      <c r="X86" s="260"/>
      <c r="Y86" s="260"/>
      <c r="Z86" s="1111"/>
      <c r="AA86" s="365"/>
      <c r="AB86" s="237"/>
      <c r="AC86" s="260">
        <f t="shared" si="6"/>
        <v>1</v>
      </c>
      <c r="AD86" s="260"/>
      <c r="AE86" s="249"/>
      <c r="AF86" s="316">
        <v>1.3</v>
      </c>
      <c r="AG86" s="260"/>
      <c r="AH86" s="1212"/>
      <c r="AI86" s="1111">
        <f t="shared" si="10"/>
        <v>-0.3</v>
      </c>
      <c r="AJ86" s="1740"/>
      <c r="AK86" s="2582">
        <f>ROUND(IF(AF86=0,1,AI86/ABS(AF86)),3)</f>
        <v>-0.23100000000000001</v>
      </c>
    </row>
    <row r="87" spans="1:37" ht="15" customHeight="1">
      <c r="A87" s="350"/>
      <c r="B87" s="1669" t="s">
        <v>1405</v>
      </c>
      <c r="C87" s="1669"/>
      <c r="D87" s="1111">
        <v>0.1</v>
      </c>
      <c r="E87" s="1113"/>
      <c r="F87" s="260">
        <v>7.9</v>
      </c>
      <c r="G87" s="1113"/>
      <c r="H87" s="260">
        <v>0</v>
      </c>
      <c r="I87" s="260"/>
      <c r="J87" s="316">
        <v>1.1000000000000001</v>
      </c>
      <c r="K87" s="260"/>
      <c r="L87" s="260">
        <v>0</v>
      </c>
      <c r="M87" s="260"/>
      <c r="N87" s="260">
        <v>0.5</v>
      </c>
      <c r="O87" s="260"/>
      <c r="P87" s="260">
        <v>0.2</v>
      </c>
      <c r="Q87" s="260"/>
      <c r="R87" s="260">
        <v>0</v>
      </c>
      <c r="S87" s="260"/>
      <c r="T87" s="260">
        <v>0.5</v>
      </c>
      <c r="U87" s="260"/>
      <c r="V87" s="260">
        <v>0.6</v>
      </c>
      <c r="W87" s="260"/>
      <c r="X87" s="260"/>
      <c r="Y87" s="260"/>
      <c r="Z87" s="260"/>
      <c r="AA87" s="365"/>
      <c r="AB87" s="237"/>
      <c r="AC87" s="260">
        <f t="shared" si="6"/>
        <v>10.9</v>
      </c>
      <c r="AD87" s="260"/>
      <c r="AE87" s="249"/>
      <c r="AF87" s="316">
        <v>157.69999999999999</v>
      </c>
      <c r="AG87" s="260"/>
      <c r="AH87" s="1212"/>
      <c r="AI87" s="1111">
        <f t="shared" si="10"/>
        <v>-146.80000000000001</v>
      </c>
      <c r="AJ87" s="1740"/>
      <c r="AK87" s="2636">
        <f>ROUND(IF(AF87=0,1,AI87/ABS(AF87)),3)</f>
        <v>-0.93100000000000005</v>
      </c>
    </row>
    <row r="88" spans="1:37" ht="15" customHeight="1">
      <c r="A88" s="350"/>
      <c r="B88" s="1669" t="s">
        <v>1406</v>
      </c>
      <c r="C88" s="1669"/>
      <c r="D88" s="1111">
        <v>0</v>
      </c>
      <c r="E88" s="1113"/>
      <c r="F88" s="260">
        <v>0</v>
      </c>
      <c r="G88" s="1113"/>
      <c r="H88" s="260">
        <v>0</v>
      </c>
      <c r="I88" s="260"/>
      <c r="J88" s="316">
        <v>0</v>
      </c>
      <c r="K88" s="260"/>
      <c r="L88" s="260">
        <v>0</v>
      </c>
      <c r="M88" s="260"/>
      <c r="N88" s="260">
        <v>0</v>
      </c>
      <c r="O88" s="260"/>
      <c r="P88" s="260">
        <v>0</v>
      </c>
      <c r="Q88" s="260"/>
      <c r="R88" s="260">
        <v>0</v>
      </c>
      <c r="S88" s="260"/>
      <c r="T88" s="260">
        <v>0</v>
      </c>
      <c r="U88" s="260"/>
      <c r="V88" s="260">
        <v>0</v>
      </c>
      <c r="W88" s="260"/>
      <c r="X88" s="260"/>
      <c r="Y88" s="260"/>
      <c r="Z88" s="260"/>
      <c r="AA88" s="365"/>
      <c r="AB88" s="237"/>
      <c r="AC88" s="260">
        <f t="shared" si="6"/>
        <v>0</v>
      </c>
      <c r="AD88" s="260"/>
      <c r="AE88" s="249"/>
      <c r="AF88" s="316">
        <v>0</v>
      </c>
      <c r="AG88" s="260"/>
      <c r="AH88" s="1212"/>
      <c r="AI88" s="1111">
        <f t="shared" si="10"/>
        <v>0</v>
      </c>
      <c r="AJ88" s="1740"/>
      <c r="AK88" s="1700">
        <f>ROUND(IF(AF88=0,0,AI88/ABS(AF88)),3)</f>
        <v>0</v>
      </c>
    </row>
    <row r="89" spans="1:37" ht="15" customHeight="1">
      <c r="A89" s="350"/>
      <c r="B89" s="1669" t="s">
        <v>1407</v>
      </c>
      <c r="C89" s="1669"/>
      <c r="D89" s="1111">
        <v>1.9</v>
      </c>
      <c r="E89" s="1113"/>
      <c r="F89" s="260">
        <v>1.6</v>
      </c>
      <c r="G89" s="1113"/>
      <c r="H89" s="260">
        <v>1.1000000000000001</v>
      </c>
      <c r="I89" s="260"/>
      <c r="J89" s="316">
        <v>0.2</v>
      </c>
      <c r="K89" s="260"/>
      <c r="L89" s="260">
        <v>3.5</v>
      </c>
      <c r="M89" s="260"/>
      <c r="N89" s="260">
        <v>1.5999999999999996</v>
      </c>
      <c r="O89" s="260"/>
      <c r="P89" s="2800">
        <v>1.5</v>
      </c>
      <c r="Q89" s="260"/>
      <c r="R89" s="260">
        <v>7.1</v>
      </c>
      <c r="S89" s="260"/>
      <c r="T89" s="2800">
        <v>0.60000000000000142</v>
      </c>
      <c r="U89" s="260"/>
      <c r="V89" s="260">
        <v>9</v>
      </c>
      <c r="W89" s="260"/>
      <c r="X89" s="260"/>
      <c r="Y89" s="260"/>
      <c r="Z89" s="260"/>
      <c r="AA89" s="365"/>
      <c r="AB89" s="237"/>
      <c r="AC89" s="316">
        <f>ROUND(SUM(D89:Z89),1)</f>
        <v>28.1</v>
      </c>
      <c r="AD89" s="260"/>
      <c r="AE89" s="249"/>
      <c r="AF89" s="316">
        <v>22.1</v>
      </c>
      <c r="AG89" s="260"/>
      <c r="AH89" s="1212"/>
      <c r="AI89" s="1111">
        <f t="shared" si="10"/>
        <v>6</v>
      </c>
      <c r="AJ89" s="1740"/>
      <c r="AK89" s="3348">
        <f>ROUND(IF(AF89=0,0,AI89/ABS(AF89)),3)</f>
        <v>0.27100000000000002</v>
      </c>
    </row>
    <row r="90" spans="1:37" ht="15" customHeight="1">
      <c r="A90" s="350"/>
      <c r="B90" s="1669" t="s">
        <v>1143</v>
      </c>
      <c r="C90" s="1669"/>
      <c r="D90" s="1111">
        <v>0</v>
      </c>
      <c r="E90" s="1113"/>
      <c r="F90" s="260">
        <v>0</v>
      </c>
      <c r="G90" s="1113"/>
      <c r="H90" s="260">
        <v>0</v>
      </c>
      <c r="I90" s="260"/>
      <c r="J90" s="316">
        <v>0</v>
      </c>
      <c r="K90" s="260"/>
      <c r="L90" s="260">
        <v>0</v>
      </c>
      <c r="M90" s="260"/>
      <c r="N90" s="260">
        <v>0</v>
      </c>
      <c r="O90" s="260"/>
      <c r="P90" s="260">
        <v>0</v>
      </c>
      <c r="Q90" s="260"/>
      <c r="R90" s="260">
        <v>0</v>
      </c>
      <c r="S90" s="260"/>
      <c r="T90" s="260">
        <v>2.1</v>
      </c>
      <c r="U90" s="260"/>
      <c r="V90" s="260">
        <v>0</v>
      </c>
      <c r="W90" s="260"/>
      <c r="X90" s="260"/>
      <c r="Y90" s="260"/>
      <c r="Z90" s="260"/>
      <c r="AA90" s="365"/>
      <c r="AB90" s="237"/>
      <c r="AC90" s="260">
        <f t="shared" si="6"/>
        <v>2.1</v>
      </c>
      <c r="AD90" s="260"/>
      <c r="AE90" s="249"/>
      <c r="AF90" s="316">
        <v>0.1</v>
      </c>
      <c r="AG90" s="260"/>
      <c r="AH90" s="1212"/>
      <c r="AI90" s="1111">
        <f t="shared" si="10"/>
        <v>2</v>
      </c>
      <c r="AJ90" s="1740"/>
      <c r="AK90" s="3508">
        <f>ROUND(IF(AF90=0,0,AI90/ABS(AF90)),3)</f>
        <v>20</v>
      </c>
    </row>
    <row r="91" spans="1:37" s="419" customFormat="1" ht="15" customHeight="1">
      <c r="A91" s="1931"/>
      <c r="B91" s="583" t="s">
        <v>1179</v>
      </c>
      <c r="C91" s="410"/>
      <c r="D91" s="2816">
        <f>ROUND(SUM(D58:D90),1)</f>
        <v>94.1</v>
      </c>
      <c r="E91" s="1932"/>
      <c r="F91" s="480">
        <f>ROUND(SUM(F58:F90),1)</f>
        <v>513.4</v>
      </c>
      <c r="G91" s="1932"/>
      <c r="H91" s="480">
        <f>ROUND(SUM(H58:H90),1)</f>
        <v>164.3</v>
      </c>
      <c r="I91" s="1719"/>
      <c r="J91" s="1219">
        <f>ROUND(SUM(J58:J90),1)</f>
        <v>112</v>
      </c>
      <c r="K91" s="1719"/>
      <c r="L91" s="480">
        <f>ROUND(SUM(L58:L90),1)</f>
        <v>126.8</v>
      </c>
      <c r="M91" s="1719"/>
      <c r="N91" s="480">
        <f>ROUND(SUM(N58:N90),1)</f>
        <v>520.5</v>
      </c>
      <c r="O91" s="1719"/>
      <c r="P91" s="480">
        <f>ROUND(SUM(P58:P90),1)</f>
        <v>151.69999999999999</v>
      </c>
      <c r="Q91" s="1719"/>
      <c r="R91" s="480">
        <f>ROUND(SUM(R58:R90),1)</f>
        <v>430.8</v>
      </c>
      <c r="S91" s="1719"/>
      <c r="T91" s="480">
        <f>ROUND(SUM(T58:T90),1)</f>
        <v>228.8</v>
      </c>
      <c r="U91" s="1719"/>
      <c r="V91" s="480">
        <f>ROUND(SUM(V58:V90),1)</f>
        <v>221.3</v>
      </c>
      <c r="W91" s="1719"/>
      <c r="X91" s="480">
        <f>ROUND(SUM(X58:X90),1)</f>
        <v>0</v>
      </c>
      <c r="Y91" s="1719"/>
      <c r="Z91" s="480">
        <f>ROUND(SUM(Z58:Z90),1)</f>
        <v>0</v>
      </c>
      <c r="AA91" s="407"/>
      <c r="AB91" s="481"/>
      <c r="AC91" s="480">
        <f>ROUND(SUM(AC58:AC90),1)</f>
        <v>2563.6999999999998</v>
      </c>
      <c r="AD91" s="1719"/>
      <c r="AE91" s="258"/>
      <c r="AF91" s="1219">
        <f>ROUND(SUM(AF58:AF90),1)</f>
        <v>2810.7</v>
      </c>
      <c r="AG91" s="1719"/>
      <c r="AH91" s="1214"/>
      <c r="AI91" s="480">
        <f>ROUND(SUM(AI58:AI90),1)</f>
        <v>-247</v>
      </c>
      <c r="AJ91" s="272"/>
      <c r="AK91" s="1933">
        <f>ROUND(SUM(+AI91/AF91),3)</f>
        <v>-8.7999999999999995E-2</v>
      </c>
    </row>
    <row r="92" spans="1:37" s="419" customFormat="1" ht="8.25" customHeight="1">
      <c r="A92" s="1931"/>
      <c r="B92" s="221"/>
      <c r="C92" s="410"/>
      <c r="D92" s="1719"/>
      <c r="E92" s="1932"/>
      <c r="F92" s="1719"/>
      <c r="G92" s="1932"/>
      <c r="H92" s="1719"/>
      <c r="I92" s="1719"/>
      <c r="J92" s="310"/>
      <c r="K92" s="1719"/>
      <c r="L92" s="1719"/>
      <c r="M92" s="1719"/>
      <c r="N92" s="1719"/>
      <c r="O92" s="1719"/>
      <c r="P92" s="1719"/>
      <c r="Q92" s="1719"/>
      <c r="R92" s="1719"/>
      <c r="S92" s="1719"/>
      <c r="T92" s="1719"/>
      <c r="U92" s="1719"/>
      <c r="V92" s="1719"/>
      <c r="W92" s="1719"/>
      <c r="X92" s="1719"/>
      <c r="Y92" s="1719"/>
      <c r="Z92" s="1719"/>
      <c r="AA92" s="407"/>
      <c r="AB92" s="475"/>
      <c r="AC92" s="1719"/>
      <c r="AD92" s="1719"/>
      <c r="AE92" s="258"/>
      <c r="AF92" s="310"/>
      <c r="AG92" s="1719"/>
      <c r="AH92" s="1214"/>
      <c r="AI92" s="1719"/>
      <c r="AJ92" s="272"/>
      <c r="AK92" s="509"/>
    </row>
    <row r="93" spans="1:37" ht="15" customHeight="1">
      <c r="A93" s="350"/>
      <c r="B93" s="1279" t="s">
        <v>1349</v>
      </c>
      <c r="C93" s="222"/>
      <c r="D93" s="1112">
        <v>0</v>
      </c>
      <c r="E93" s="260"/>
      <c r="F93" s="1112">
        <v>0</v>
      </c>
      <c r="G93" s="260"/>
      <c r="H93" s="2425">
        <v>0</v>
      </c>
      <c r="I93" s="260"/>
      <c r="J93" s="1966">
        <v>0</v>
      </c>
      <c r="K93" s="260"/>
      <c r="L93" s="1112">
        <v>0</v>
      </c>
      <c r="M93" s="260"/>
      <c r="N93" s="1112">
        <v>0</v>
      </c>
      <c r="O93" s="260"/>
      <c r="P93" s="1114">
        <v>0.1</v>
      </c>
      <c r="Q93" s="260"/>
      <c r="R93" s="1112">
        <v>0.1</v>
      </c>
      <c r="S93" s="260"/>
      <c r="T93" s="1112">
        <v>0</v>
      </c>
      <c r="U93" s="260"/>
      <c r="V93" s="1112">
        <v>0</v>
      </c>
      <c r="W93" s="260"/>
      <c r="X93" s="512"/>
      <c r="Y93" s="260"/>
      <c r="Z93" s="260"/>
      <c r="AA93" s="471"/>
      <c r="AB93" s="228"/>
      <c r="AC93" s="316">
        <f>ROUND(SUM(D93:Z93),1)</f>
        <v>0.2</v>
      </c>
      <c r="AD93" s="260"/>
      <c r="AE93" s="249"/>
      <c r="AF93" s="1213">
        <v>0.4</v>
      </c>
      <c r="AG93" s="248"/>
      <c r="AH93" s="1212"/>
      <c r="AI93" s="2534">
        <f>ROUND(SUM(+AC93-AF93),1)</f>
        <v>-0.2</v>
      </c>
      <c r="AJ93" s="1740"/>
      <c r="AK93" s="2652">
        <f>ROUND(IF(AF93=0,0,AI93/ABS(AF93)),3)</f>
        <v>-0.5</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2"/>
      <c r="AI94" s="1111"/>
      <c r="AJ94" s="1740"/>
      <c r="AK94" s="1764"/>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19">
        <f>ROUND(SUM(L93+L91+L54),1)</f>
        <v>3446.9</v>
      </c>
      <c r="M95" s="256"/>
      <c r="N95" s="270">
        <f>ROUND(SUM(N93+N91+N54),1)</f>
        <v>5790</v>
      </c>
      <c r="O95" s="1719"/>
      <c r="P95" s="270">
        <f>ROUND(SUM(P93+P91+P54),1)</f>
        <v>2769.5</v>
      </c>
      <c r="Q95" s="1719"/>
      <c r="R95" s="270">
        <f>ROUND(SUM(R93+R91+R54),1)</f>
        <v>2906.9</v>
      </c>
      <c r="S95" s="1719"/>
      <c r="T95" s="270">
        <f>ROUND(SUM(T93+T91+T54),1)</f>
        <v>7257.2</v>
      </c>
      <c r="U95" s="1719"/>
      <c r="V95" s="270">
        <f>ROUND(SUM(V93+V91+V54),1)</f>
        <v>6886.7</v>
      </c>
      <c r="W95" s="1719"/>
      <c r="X95" s="270">
        <f>ROUND(SUM(X93+X91+X54),1)</f>
        <v>0</v>
      </c>
      <c r="Y95" s="1719"/>
      <c r="Z95" s="270">
        <f>ROUND(SUM(Z93+Z91+Z54),1)</f>
        <v>0</v>
      </c>
      <c r="AA95" s="474"/>
      <c r="AB95" s="475"/>
      <c r="AC95" s="311">
        <f>ROUND(SUM(AC93+AC91+AC54),1)</f>
        <v>44817.4</v>
      </c>
      <c r="AD95" s="256"/>
      <c r="AE95" s="258"/>
      <c r="AF95" s="311">
        <f>ROUND(SUM(AF93+AF91+AF54),1)</f>
        <v>40852.300000000003</v>
      </c>
      <c r="AG95" s="272"/>
      <c r="AH95" s="1214"/>
      <c r="AI95" s="270">
        <f>ROUND(SUM(AI93+AI91+AI54),1)</f>
        <v>3965.1</v>
      </c>
      <c r="AJ95" s="272"/>
      <c r="AK95" s="521">
        <f>ROUND(SUM(+AI95/AF95),3)</f>
        <v>9.7000000000000003E-2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2"/>
      <c r="AI96" s="1111"/>
      <c r="AJ96" s="1740"/>
      <c r="AK96" s="1764"/>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2"/>
      <c r="AI97" s="1111"/>
      <c r="AJ97" s="1740"/>
      <c r="AK97" s="1764"/>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77"/>
      <c r="AG98" s="1216"/>
      <c r="AH98" s="1212"/>
      <c r="AI98" s="1111"/>
      <c r="AJ98" s="1740"/>
      <c r="AK98" s="1764"/>
    </row>
    <row r="99" spans="1:37" ht="15" customHeight="1">
      <c r="A99" s="350"/>
      <c r="B99" s="379" t="s">
        <v>25</v>
      </c>
      <c r="C99" s="222"/>
      <c r="D99" s="263">
        <v>984.1</v>
      </c>
      <c r="E99" s="248"/>
      <c r="F99" s="248">
        <v>3902.4</v>
      </c>
      <c r="G99" s="248"/>
      <c r="H99" s="248">
        <v>2878.7</v>
      </c>
      <c r="I99" s="248"/>
      <c r="J99" s="1977">
        <v>409.6</v>
      </c>
      <c r="K99" s="248"/>
      <c r="L99" s="1740">
        <v>755.80000000000018</v>
      </c>
      <c r="M99" s="248"/>
      <c r="N99" s="248">
        <v>1983.6999999999989</v>
      </c>
      <c r="O99" s="248"/>
      <c r="P99" s="248">
        <v>931.40000000000146</v>
      </c>
      <c r="Q99" s="248"/>
      <c r="R99" s="263">
        <f>13861.6-11845.7</f>
        <v>2015.8999999999996</v>
      </c>
      <c r="S99" s="248"/>
      <c r="T99" s="248">
        <v>2102.1999999999998</v>
      </c>
      <c r="U99" s="248"/>
      <c r="V99" s="263">
        <v>606.4</v>
      </c>
      <c r="W99" s="248"/>
      <c r="X99" s="248"/>
      <c r="Y99" s="248"/>
      <c r="Z99" s="248"/>
      <c r="AA99" s="365"/>
      <c r="AB99" s="237"/>
      <c r="AC99" s="260">
        <f>ROUND(SUM(D99:Z99),1)</f>
        <v>16570.2</v>
      </c>
      <c r="AD99" s="260"/>
      <c r="AE99" s="249"/>
      <c r="AF99" s="1809">
        <v>15903.6</v>
      </c>
      <c r="AG99" s="1216"/>
      <c r="AH99" s="1212"/>
      <c r="AI99" s="1111">
        <f>ROUND(SUM(+AC99-AF99),1)</f>
        <v>666.6</v>
      </c>
      <c r="AJ99" s="1740"/>
      <c r="AK99" s="1700">
        <f>ROUND(IF(AF99=0,0,AI99/ABS(AF99)),3)</f>
        <v>4.2000000000000003E-2</v>
      </c>
    </row>
    <row r="100" spans="1:37" ht="15" customHeight="1">
      <c r="A100" s="350"/>
      <c r="B100" s="379" t="s">
        <v>26</v>
      </c>
      <c r="C100" s="222"/>
      <c r="D100" s="263">
        <v>0</v>
      </c>
      <c r="E100" s="260"/>
      <c r="F100" s="260">
        <v>1.1000000000000001</v>
      </c>
      <c r="G100" s="260"/>
      <c r="H100" s="260">
        <v>0.5</v>
      </c>
      <c r="I100" s="260"/>
      <c r="J100" s="316">
        <v>0.2</v>
      </c>
      <c r="K100" s="260"/>
      <c r="L100" s="1111">
        <v>0.3</v>
      </c>
      <c r="M100" s="260"/>
      <c r="N100" s="260">
        <v>0.1</v>
      </c>
      <c r="O100" s="260"/>
      <c r="P100" s="316">
        <v>0.2</v>
      </c>
      <c r="Q100" s="260"/>
      <c r="R100" s="1112">
        <v>0.1</v>
      </c>
      <c r="S100" s="260"/>
      <c r="T100" s="1112">
        <v>1</v>
      </c>
      <c r="U100" s="260"/>
      <c r="V100" s="260">
        <v>0.1</v>
      </c>
      <c r="W100" s="260"/>
      <c r="X100" s="260"/>
      <c r="Y100" s="260"/>
      <c r="Z100" s="260"/>
      <c r="AA100" s="365"/>
      <c r="AB100" s="237"/>
      <c r="AC100" s="260">
        <f t="shared" ref="AC100:AC107" si="14">ROUND(SUM(D100:Z100),1)</f>
        <v>3.6</v>
      </c>
      <c r="AD100" s="260"/>
      <c r="AE100" s="249"/>
      <c r="AF100" s="2800">
        <v>4.3</v>
      </c>
      <c r="AG100" s="260"/>
      <c r="AH100" s="1212"/>
      <c r="AI100" s="1111">
        <f t="shared" ref="AI100:AI108" si="15">ROUND(SUM(+AC100-AF100),1)</f>
        <v>-0.7</v>
      </c>
      <c r="AJ100" s="1740"/>
      <c r="AK100" s="1700">
        <f>ROUND(IF(AF100=0,1,AI100/ABS(AF100)),3)</f>
        <v>-0.16300000000000001</v>
      </c>
    </row>
    <row r="101" spans="1:37" ht="15" customHeight="1">
      <c r="A101" s="350"/>
      <c r="B101" s="379" t="s">
        <v>27</v>
      </c>
      <c r="C101" s="222"/>
      <c r="D101" s="263">
        <v>1.4</v>
      </c>
      <c r="E101" s="260"/>
      <c r="F101" s="260">
        <v>12.8</v>
      </c>
      <c r="G101" s="260"/>
      <c r="H101" s="260">
        <v>560.20000000000005</v>
      </c>
      <c r="I101" s="260"/>
      <c r="J101" s="316">
        <v>4.4000000000000004</v>
      </c>
      <c r="K101" s="260"/>
      <c r="L101" s="1111">
        <v>33.700000000000045</v>
      </c>
      <c r="M101" s="260"/>
      <c r="N101" s="260">
        <v>104.20000000000005</v>
      </c>
      <c r="O101" s="260"/>
      <c r="P101" s="260">
        <v>8.1</v>
      </c>
      <c r="Q101" s="260"/>
      <c r="R101" s="260">
        <v>3.2</v>
      </c>
      <c r="S101" s="260"/>
      <c r="T101" s="260">
        <v>183</v>
      </c>
      <c r="U101" s="260"/>
      <c r="V101" s="260">
        <v>3.1</v>
      </c>
      <c r="W101" s="260"/>
      <c r="X101" s="260"/>
      <c r="Y101" s="260"/>
      <c r="Z101" s="260"/>
      <c r="AA101" s="365"/>
      <c r="AB101" s="237"/>
      <c r="AC101" s="316">
        <f t="shared" si="14"/>
        <v>914.1</v>
      </c>
      <c r="AD101" s="260"/>
      <c r="AE101" s="249"/>
      <c r="AF101" s="1672">
        <v>917.2</v>
      </c>
      <c r="AG101" s="260"/>
      <c r="AH101" s="1212"/>
      <c r="AI101" s="1111">
        <f t="shared" si="15"/>
        <v>-3.1</v>
      </c>
      <c r="AJ101" s="1740"/>
      <c r="AK101" s="1700">
        <f>ROUND(IF(AF101=0,0,AI101/ABS(AF101)),3)</f>
        <v>-3.0000000000000001E-3</v>
      </c>
    </row>
    <row r="102" spans="1:37" ht="15" customHeight="1">
      <c r="A102" s="350"/>
      <c r="B102" s="379" t="s">
        <v>28</v>
      </c>
      <c r="C102" s="222"/>
      <c r="D102" s="263"/>
      <c r="E102" s="260"/>
      <c r="F102" s="260"/>
      <c r="G102" s="260"/>
      <c r="H102" s="260"/>
      <c r="I102" s="260"/>
      <c r="J102" s="316"/>
      <c r="K102" s="260"/>
      <c r="L102" s="1111"/>
      <c r="M102" s="260"/>
      <c r="N102" s="260"/>
      <c r="O102" s="260"/>
      <c r="P102" s="260"/>
      <c r="Q102" s="260"/>
      <c r="R102" s="260"/>
      <c r="S102" s="260"/>
      <c r="T102" s="260"/>
      <c r="U102" s="260"/>
      <c r="V102" s="260"/>
      <c r="W102" s="260"/>
      <c r="X102" s="260"/>
      <c r="Y102" s="260"/>
      <c r="Z102" s="260"/>
      <c r="AA102" s="365"/>
      <c r="AB102" s="237"/>
      <c r="AC102" s="1111" t="s">
        <v>15</v>
      </c>
      <c r="AD102" s="260"/>
      <c r="AE102" s="249"/>
      <c r="AF102" s="1672"/>
      <c r="AG102" s="260"/>
      <c r="AH102" s="1212"/>
      <c r="AI102" s="1111" t="s">
        <v>15</v>
      </c>
      <c r="AJ102" s="1740"/>
      <c r="AK102" s="1764" t="s">
        <v>15</v>
      </c>
    </row>
    <row r="103" spans="1:37" ht="15" customHeight="1">
      <c r="A103" s="350"/>
      <c r="B103" s="1567" t="s">
        <v>29</v>
      </c>
      <c r="C103" s="222"/>
      <c r="D103" s="263">
        <v>1366.9</v>
      </c>
      <c r="E103" s="2800" t="s">
        <v>15</v>
      </c>
      <c r="F103" s="260">
        <v>1380.9</v>
      </c>
      <c r="G103" s="260"/>
      <c r="H103" s="260">
        <v>1376.4</v>
      </c>
      <c r="I103" s="260"/>
      <c r="J103" s="316">
        <v>1164.8</v>
      </c>
      <c r="K103" s="260"/>
      <c r="L103" s="1111">
        <v>1229.3000000000002</v>
      </c>
      <c r="M103" s="260"/>
      <c r="N103" s="260">
        <v>1360.8000000000002</v>
      </c>
      <c r="O103" s="260"/>
      <c r="P103" s="260">
        <v>1222.8999999999996</v>
      </c>
      <c r="Q103" s="260"/>
      <c r="R103" s="260">
        <f>10503.6-9102</f>
        <v>1401.6000000000004</v>
      </c>
      <c r="S103" s="260"/>
      <c r="T103" s="260">
        <v>1006.6999999999989</v>
      </c>
      <c r="U103" s="260"/>
      <c r="V103" s="260">
        <v>1321.2</v>
      </c>
      <c r="W103" s="260"/>
      <c r="X103" s="260"/>
      <c r="Y103" s="260"/>
      <c r="Z103" s="260"/>
      <c r="AA103" s="365"/>
      <c r="AB103" s="237"/>
      <c r="AC103" s="316">
        <f t="shared" si="14"/>
        <v>12831.5</v>
      </c>
      <c r="AD103" s="260"/>
      <c r="AE103" s="249"/>
      <c r="AF103" s="1672">
        <v>11687.6</v>
      </c>
      <c r="AG103" s="260"/>
      <c r="AH103" s="1212"/>
      <c r="AI103" s="1111">
        <f t="shared" si="15"/>
        <v>1143.9000000000001</v>
      </c>
      <c r="AJ103" s="1740"/>
      <c r="AK103" s="1700">
        <f t="shared" ref="AK103:AK108" si="16">ROUND(IF(AF103=0,0,AI103/ABS(AF103)),3)</f>
        <v>9.8000000000000004E-2</v>
      </c>
    </row>
    <row r="104" spans="1:37" ht="15" customHeight="1">
      <c r="A104" s="350"/>
      <c r="B104" s="379" t="s">
        <v>30</v>
      </c>
      <c r="C104" s="222"/>
      <c r="D104" s="263">
        <v>73.599999999999994</v>
      </c>
      <c r="E104" s="260"/>
      <c r="F104" s="260">
        <v>181.6</v>
      </c>
      <c r="G104" s="260"/>
      <c r="H104" s="260">
        <v>143.30000000000001</v>
      </c>
      <c r="I104" s="260"/>
      <c r="J104" s="316">
        <v>69.3</v>
      </c>
      <c r="K104" s="260"/>
      <c r="L104" s="1111">
        <v>61.699999999999989</v>
      </c>
      <c r="M104" s="260"/>
      <c r="N104" s="260">
        <v>45.100000000000023</v>
      </c>
      <c r="O104" s="260"/>
      <c r="P104" s="260">
        <v>42.399999999999977</v>
      </c>
      <c r="Q104" s="260"/>
      <c r="R104" s="260">
        <f>665.9-617</f>
        <v>48.899999999999977</v>
      </c>
      <c r="S104" s="260"/>
      <c r="T104" s="260">
        <v>42.300000000000068</v>
      </c>
      <c r="U104" s="260"/>
      <c r="V104" s="260">
        <v>20.100000000000001</v>
      </c>
      <c r="W104" s="260"/>
      <c r="X104" s="260"/>
      <c r="Y104" s="260"/>
      <c r="Z104" s="260"/>
      <c r="AA104" s="365"/>
      <c r="AB104" s="237"/>
      <c r="AC104" s="316">
        <f t="shared" si="14"/>
        <v>728.3</v>
      </c>
      <c r="AD104" s="260"/>
      <c r="AE104" s="249"/>
      <c r="AF104" s="1672">
        <v>1191.5999999999999</v>
      </c>
      <c r="AG104" s="260"/>
      <c r="AH104" s="1212"/>
      <c r="AI104" s="1111">
        <f t="shared" si="15"/>
        <v>-463.3</v>
      </c>
      <c r="AJ104" s="1740"/>
      <c r="AK104" s="1700">
        <f t="shared" si="16"/>
        <v>-0.38900000000000001</v>
      </c>
    </row>
    <row r="105" spans="1:37" ht="15" customHeight="1">
      <c r="A105" s="350"/>
      <c r="B105" s="379" t="s">
        <v>31</v>
      </c>
      <c r="C105" s="222"/>
      <c r="D105" s="263">
        <v>3.7</v>
      </c>
      <c r="E105" s="260"/>
      <c r="F105" s="260">
        <v>9.5</v>
      </c>
      <c r="G105" s="260"/>
      <c r="H105" s="260">
        <v>9.5</v>
      </c>
      <c r="I105" s="260"/>
      <c r="J105" s="316">
        <v>16.7</v>
      </c>
      <c r="K105" s="260"/>
      <c r="L105" s="1111">
        <v>10.200000000000003</v>
      </c>
      <c r="M105" s="260"/>
      <c r="N105" s="260">
        <v>21.1</v>
      </c>
      <c r="O105" s="260"/>
      <c r="P105" s="260">
        <v>10.399999999999991</v>
      </c>
      <c r="Q105" s="260"/>
      <c r="R105" s="260">
        <f>97.4-81.1</f>
        <v>16.300000000000011</v>
      </c>
      <c r="S105" s="260"/>
      <c r="T105" s="260">
        <v>22.5</v>
      </c>
      <c r="U105" s="260"/>
      <c r="V105" s="260">
        <v>15.9</v>
      </c>
      <c r="W105" s="260"/>
      <c r="X105" s="260"/>
      <c r="Y105" s="260"/>
      <c r="Z105" s="260"/>
      <c r="AA105" s="365"/>
      <c r="AB105" s="237"/>
      <c r="AC105" s="260">
        <f t="shared" si="14"/>
        <v>135.80000000000001</v>
      </c>
      <c r="AD105" s="260"/>
      <c r="AE105" s="249"/>
      <c r="AF105" s="1111">
        <v>123.9</v>
      </c>
      <c r="AG105" s="260"/>
      <c r="AH105" s="1212" t="s">
        <v>15</v>
      </c>
      <c r="AI105" s="1111">
        <f t="shared" si="15"/>
        <v>11.9</v>
      </c>
      <c r="AJ105" s="1740"/>
      <c r="AK105" s="1700">
        <f t="shared" si="16"/>
        <v>9.6000000000000002E-2</v>
      </c>
    </row>
    <row r="106" spans="1:37" ht="15" customHeight="1">
      <c r="A106" s="350"/>
      <c r="B106" s="379" t="s">
        <v>32</v>
      </c>
      <c r="C106" s="222"/>
      <c r="D106" s="263">
        <v>131.6</v>
      </c>
      <c r="E106" s="260"/>
      <c r="F106" s="260">
        <v>214.2</v>
      </c>
      <c r="G106" s="260"/>
      <c r="H106" s="260">
        <v>331.7</v>
      </c>
      <c r="I106" s="260"/>
      <c r="J106" s="316">
        <v>165</v>
      </c>
      <c r="K106" s="260"/>
      <c r="L106" s="1111">
        <v>118.60000000000002</v>
      </c>
      <c r="M106" s="260"/>
      <c r="N106" s="260">
        <v>194.49999999999989</v>
      </c>
      <c r="O106" s="260"/>
      <c r="P106" s="260">
        <v>135</v>
      </c>
      <c r="Q106" s="260"/>
      <c r="R106" s="260">
        <f>1431.9-1290.6</f>
        <v>141.30000000000018</v>
      </c>
      <c r="S106" s="260"/>
      <c r="T106" s="260">
        <v>224.5</v>
      </c>
      <c r="U106" s="260"/>
      <c r="V106" s="260">
        <v>112.3</v>
      </c>
      <c r="W106" s="260"/>
      <c r="X106" s="260"/>
      <c r="Y106" s="260"/>
      <c r="Z106" s="260"/>
      <c r="AA106" s="365"/>
      <c r="AB106" s="237"/>
      <c r="AC106" s="260">
        <f t="shared" si="14"/>
        <v>1768.7</v>
      </c>
      <c r="AD106" s="260"/>
      <c r="AE106" s="249"/>
      <c r="AF106" s="1111">
        <v>2293.8000000000002</v>
      </c>
      <c r="AG106" s="260"/>
      <c r="AH106" s="1212"/>
      <c r="AI106" s="1111">
        <f t="shared" si="15"/>
        <v>-525.1</v>
      </c>
      <c r="AJ106" s="1740"/>
      <c r="AK106" s="1700">
        <f t="shared" si="16"/>
        <v>-0.22900000000000001</v>
      </c>
    </row>
    <row r="107" spans="1:37" ht="15" customHeight="1">
      <c r="A107" s="350"/>
      <c r="B107" s="379" t="s">
        <v>33</v>
      </c>
      <c r="C107" s="222"/>
      <c r="D107" s="253">
        <v>8.4</v>
      </c>
      <c r="E107" s="260"/>
      <c r="F107" s="513">
        <v>5</v>
      </c>
      <c r="G107" s="260"/>
      <c r="H107" s="260">
        <v>25.2</v>
      </c>
      <c r="I107" s="260"/>
      <c r="J107" s="316">
        <v>9.4</v>
      </c>
      <c r="K107" s="260"/>
      <c r="L107" s="1111">
        <v>28.200000000000003</v>
      </c>
      <c r="M107" s="260"/>
      <c r="N107" s="512">
        <v>9.3999999999999915</v>
      </c>
      <c r="O107" s="260"/>
      <c r="P107" s="260">
        <v>14.400000000000006</v>
      </c>
      <c r="Q107" s="260"/>
      <c r="R107" s="260">
        <v>30.1</v>
      </c>
      <c r="S107" s="260"/>
      <c r="T107" s="260">
        <v>8.0999999999999943</v>
      </c>
      <c r="U107" s="260"/>
      <c r="V107" s="512">
        <v>11</v>
      </c>
      <c r="W107" s="260"/>
      <c r="X107" s="260"/>
      <c r="Y107" s="260"/>
      <c r="Z107" s="260"/>
      <c r="AA107" s="365"/>
      <c r="AB107" s="237"/>
      <c r="AC107" s="260">
        <f t="shared" si="14"/>
        <v>149.19999999999999</v>
      </c>
      <c r="AD107" s="260"/>
      <c r="AE107" s="249"/>
      <c r="AF107" s="1809">
        <v>152.19999999999999</v>
      </c>
      <c r="AG107" s="260"/>
      <c r="AH107" s="1212"/>
      <c r="AI107" s="1111">
        <f t="shared" si="15"/>
        <v>-3</v>
      </c>
      <c r="AJ107" s="1740"/>
      <c r="AK107" s="1700">
        <f t="shared" si="16"/>
        <v>-0.02</v>
      </c>
    </row>
    <row r="108" spans="1:37" ht="15" customHeight="1">
      <c r="A108" s="350"/>
      <c r="B108" s="379" t="s">
        <v>34</v>
      </c>
      <c r="C108" s="222"/>
      <c r="D108" s="1112">
        <v>0</v>
      </c>
      <c r="E108" s="260"/>
      <c r="F108" s="513">
        <v>25.1</v>
      </c>
      <c r="G108" s="260"/>
      <c r="H108" s="260">
        <v>13.9</v>
      </c>
      <c r="I108" s="260"/>
      <c r="J108" s="1978">
        <v>0</v>
      </c>
      <c r="K108" s="260"/>
      <c r="L108" s="1111">
        <v>25.299999999999997</v>
      </c>
      <c r="M108" s="260"/>
      <c r="N108" s="260">
        <v>0</v>
      </c>
      <c r="O108" s="260"/>
      <c r="P108" s="1112">
        <v>0</v>
      </c>
      <c r="Q108" s="260"/>
      <c r="R108" s="260">
        <f>88.6-64.3</f>
        <v>24.299999999999997</v>
      </c>
      <c r="S108" s="260"/>
      <c r="T108" s="260">
        <v>11.200000000000003</v>
      </c>
      <c r="U108" s="260"/>
      <c r="V108" s="260">
        <v>0.1</v>
      </c>
      <c r="W108" s="260"/>
      <c r="X108" s="260"/>
      <c r="Y108" s="260"/>
      <c r="Z108" s="260"/>
      <c r="AA108" s="365"/>
      <c r="AB108" s="237"/>
      <c r="AC108" s="316">
        <f>ROUND(SUM(D108:Z108),1)</f>
        <v>99.9</v>
      </c>
      <c r="AD108" s="265"/>
      <c r="AE108" s="1217"/>
      <c r="AF108" s="1276">
        <v>91.9</v>
      </c>
      <c r="AG108" s="265"/>
      <c r="AH108" s="1218"/>
      <c r="AI108" s="1111">
        <f t="shared" si="15"/>
        <v>8</v>
      </c>
      <c r="AJ108" s="2185"/>
      <c r="AK108" s="1700">
        <f t="shared" si="16"/>
        <v>8.6999999999999994E-2</v>
      </c>
    </row>
    <row r="109" spans="1:37" ht="15" customHeight="1">
      <c r="A109" s="350"/>
      <c r="B109" s="1279" t="s">
        <v>1083</v>
      </c>
      <c r="C109" s="222"/>
      <c r="D109" s="480">
        <f>ROUND(SUM(D99:D108),1)</f>
        <v>2569.6999999999998</v>
      </c>
      <c r="E109" s="256"/>
      <c r="F109" s="480">
        <f>ROUND(SUM(F99:F108),1)</f>
        <v>5732.6</v>
      </c>
      <c r="G109" s="256"/>
      <c r="H109" s="480">
        <f>ROUND(SUM(H99:H108),1)</f>
        <v>5339.4</v>
      </c>
      <c r="I109" s="272" t="s">
        <v>15</v>
      </c>
      <c r="J109" s="1219">
        <f>ROUND(SUM(J99:J108),1)</f>
        <v>1839.4</v>
      </c>
      <c r="K109" s="272" t="s">
        <v>15</v>
      </c>
      <c r="L109" s="480">
        <f>ROUND(SUM(L99:L108),1)</f>
        <v>2263.1</v>
      </c>
      <c r="M109" s="272" t="s">
        <v>15</v>
      </c>
      <c r="N109" s="480">
        <f>ROUND(SUM(N99:N108),1)</f>
        <v>3718.9</v>
      </c>
      <c r="O109" s="272" t="s">
        <v>15</v>
      </c>
      <c r="P109" s="480">
        <f>ROUND(SUM(P99:P108),1)</f>
        <v>2364.8000000000002</v>
      </c>
      <c r="Q109" s="272" t="s">
        <v>15</v>
      </c>
      <c r="R109" s="480">
        <f>ROUND(SUM(R99:R108),1)</f>
        <v>3681.7</v>
      </c>
      <c r="S109" s="272" t="s">
        <v>15</v>
      </c>
      <c r="T109" s="480">
        <f>ROUND(SUM(T99:T108),1)</f>
        <v>3601.5</v>
      </c>
      <c r="U109" s="272" t="s">
        <v>15</v>
      </c>
      <c r="V109" s="480">
        <f>ROUND(SUM(V99:V108),1)</f>
        <v>2090.1999999999998</v>
      </c>
      <c r="W109" s="272" t="s">
        <v>15</v>
      </c>
      <c r="X109" s="480">
        <f>ROUND(SUM(X99:X108),1)</f>
        <v>0</v>
      </c>
      <c r="Y109" s="272" t="s">
        <v>15</v>
      </c>
      <c r="Z109" s="480">
        <f>ROUND(SUM(Z99:Z108),1)</f>
        <v>0</v>
      </c>
      <c r="AA109" s="366" t="s">
        <v>15</v>
      </c>
      <c r="AB109" s="481"/>
      <c r="AC109" s="2816">
        <f>SUM(AC99:AC108)</f>
        <v>33201.299999999996</v>
      </c>
      <c r="AD109" s="256"/>
      <c r="AE109" s="258"/>
      <c r="AF109" s="1219">
        <f>ROUND(SUM(AF99:AF108),1)</f>
        <v>32366.1</v>
      </c>
      <c r="AG109" s="272"/>
      <c r="AH109" s="1214"/>
      <c r="AI109" s="480">
        <f>ROUND(SUM(+AC109-AF109),1)</f>
        <v>835.2</v>
      </c>
      <c r="AJ109" s="272"/>
      <c r="AK109" s="2535">
        <f>ROUND(SUM(AI109/AF109),3)</f>
        <v>2.5999999999999999E-2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72" t="s">
        <v>15</v>
      </c>
      <c r="AG110" s="260"/>
      <c r="AH110" s="1212"/>
      <c r="AI110" s="1111"/>
      <c r="AJ110" s="1740"/>
      <c r="AK110" s="1764"/>
    </row>
    <row r="111" spans="1:37" ht="15" customHeight="1">
      <c r="A111" s="350"/>
      <c r="B111" s="223" t="s">
        <v>157</v>
      </c>
      <c r="C111" s="222"/>
      <c r="D111" s="260">
        <v>484.8</v>
      </c>
      <c r="E111" s="260"/>
      <c r="F111" s="260">
        <v>641.70000000000005</v>
      </c>
      <c r="G111" s="260"/>
      <c r="H111" s="260">
        <v>475.5</v>
      </c>
      <c r="I111" s="260"/>
      <c r="J111" s="316">
        <v>465.6</v>
      </c>
      <c r="K111" s="260"/>
      <c r="L111" s="1111">
        <v>564.9</v>
      </c>
      <c r="M111" s="260"/>
      <c r="N111" s="260">
        <v>477.4</v>
      </c>
      <c r="O111" s="260"/>
      <c r="P111" s="260">
        <v>498.2</v>
      </c>
      <c r="Q111" s="260"/>
      <c r="R111" s="260">
        <v>621.6</v>
      </c>
      <c r="S111" s="260"/>
      <c r="T111" s="260">
        <v>488</v>
      </c>
      <c r="U111" s="260"/>
      <c r="V111" s="260">
        <v>445.8</v>
      </c>
      <c r="W111" s="260"/>
      <c r="X111" s="260"/>
      <c r="Y111" s="260"/>
      <c r="Z111" s="260"/>
      <c r="AA111" s="365"/>
      <c r="AB111" s="237"/>
      <c r="AC111" s="316">
        <f>ROUND(SUM(D111:Z111),1)</f>
        <v>5163.5</v>
      </c>
      <c r="AD111" s="260"/>
      <c r="AE111" s="249"/>
      <c r="AF111" s="1111">
        <v>5113.3999999999996</v>
      </c>
      <c r="AG111" s="260"/>
      <c r="AH111" s="1212"/>
      <c r="AI111" s="1111">
        <f>ROUND(SUM(+AC111-AF111),1)</f>
        <v>50.1</v>
      </c>
      <c r="AJ111" s="1740"/>
      <c r="AK111" s="1700">
        <f>ROUND(IF(AF111=0,0,AI111/ABS(AF111)),3)</f>
        <v>0.01</v>
      </c>
    </row>
    <row r="112" spans="1:37" ht="15" customHeight="1">
      <c r="A112" s="350"/>
      <c r="B112" s="246" t="s">
        <v>158</v>
      </c>
      <c r="C112" s="222"/>
      <c r="D112" s="260">
        <v>90.8</v>
      </c>
      <c r="E112" s="260"/>
      <c r="F112" s="260">
        <v>226.6</v>
      </c>
      <c r="G112" s="260"/>
      <c r="H112" s="260">
        <v>185</v>
      </c>
      <c r="I112" s="260"/>
      <c r="J112" s="316">
        <v>142.30000000000001</v>
      </c>
      <c r="K112" s="260"/>
      <c r="L112" s="1111">
        <v>211.19999999999993</v>
      </c>
      <c r="M112" s="260"/>
      <c r="N112" s="260">
        <v>179.30000000000007</v>
      </c>
      <c r="O112" s="260"/>
      <c r="P112" s="260">
        <v>181</v>
      </c>
      <c r="Q112" s="260"/>
      <c r="R112" s="260">
        <v>182</v>
      </c>
      <c r="S112" s="260"/>
      <c r="T112" s="260">
        <v>128</v>
      </c>
      <c r="U112" s="260"/>
      <c r="V112" s="260">
        <v>221.5</v>
      </c>
      <c r="W112" s="260"/>
      <c r="X112" s="260"/>
      <c r="Y112" s="260"/>
      <c r="Z112" s="260"/>
      <c r="AA112" s="365"/>
      <c r="AB112" s="237"/>
      <c r="AC112" s="316">
        <f>ROUND(SUM(D112:Z112),1)</f>
        <v>1747.7</v>
      </c>
      <c r="AD112" s="260"/>
      <c r="AE112" s="249"/>
      <c r="AF112" s="1111">
        <v>1594.7</v>
      </c>
      <c r="AG112" s="260"/>
      <c r="AH112" s="1212"/>
      <c r="AI112" s="1111">
        <f>ROUND(SUM(+AC112-AF112),1)</f>
        <v>153</v>
      </c>
      <c r="AJ112" s="1740"/>
      <c r="AK112" s="1700">
        <f>ROUND(IF(AF112=0,0,AI112/ABS(AF112)),3)</f>
        <v>9.6000000000000002E-2</v>
      </c>
    </row>
    <row r="113" spans="1:37" ht="15" customHeight="1">
      <c r="A113" s="350"/>
      <c r="B113" s="246" t="s">
        <v>159</v>
      </c>
      <c r="C113" s="222"/>
      <c r="D113" s="260">
        <v>2398.1</v>
      </c>
      <c r="E113" s="1113"/>
      <c r="F113" s="260">
        <v>291.5</v>
      </c>
      <c r="G113" s="1113"/>
      <c r="H113" s="260">
        <v>409.5</v>
      </c>
      <c r="I113" s="260"/>
      <c r="J113" s="316">
        <v>347.2</v>
      </c>
      <c r="K113" s="260"/>
      <c r="L113" s="1111">
        <v>40.799999999999727</v>
      </c>
      <c r="M113" s="260"/>
      <c r="N113" s="260">
        <v>513.5</v>
      </c>
      <c r="O113" s="260"/>
      <c r="P113" s="260">
        <v>396.20000000000027</v>
      </c>
      <c r="Q113" s="260"/>
      <c r="R113" s="485">
        <f>4483-4396.8</f>
        <v>86.199999999999818</v>
      </c>
      <c r="S113" s="260"/>
      <c r="T113" s="260">
        <v>404</v>
      </c>
      <c r="U113" s="260"/>
      <c r="V113" s="260">
        <v>224.8</v>
      </c>
      <c r="W113" s="260"/>
      <c r="X113" s="260"/>
      <c r="Y113" s="260"/>
      <c r="Z113" s="260"/>
      <c r="AA113" s="482"/>
      <c r="AB113" s="228"/>
      <c r="AC113" s="316">
        <f>ROUND(SUM(D113:Z113),1)</f>
        <v>5111.8</v>
      </c>
      <c r="AD113" s="260"/>
      <c r="AE113" s="249"/>
      <c r="AF113" s="1111">
        <v>5026.2</v>
      </c>
      <c r="AG113" s="248"/>
      <c r="AH113" s="1212"/>
      <c r="AI113" s="2534">
        <f>ROUND(SUM(+AC113-AF113),1)</f>
        <v>85.6</v>
      </c>
      <c r="AJ113" s="1740"/>
      <c r="AK113" s="2418">
        <f>ROUND(IF(AF113=0,0,AI113/ABS(AF113)),3)</f>
        <v>1.7000000000000001E-2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2"/>
      <c r="AI114" s="1111"/>
      <c r="AJ114" s="1740"/>
      <c r="AK114" s="1764"/>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19">
        <f>ROUND(SUM(N109:N113),1)</f>
        <v>4889.1000000000004</v>
      </c>
      <c r="O115" s="1719"/>
      <c r="P115" s="1719">
        <f>ROUND(SUM(P109:P113),1)</f>
        <v>3440.2</v>
      </c>
      <c r="Q115" s="1719"/>
      <c r="R115" s="1719">
        <f>ROUND(SUM(R109:R113),1)</f>
        <v>4571.5</v>
      </c>
      <c r="S115" s="1719"/>
      <c r="T115" s="1719">
        <f>ROUND(SUM(T109:T113),1)</f>
        <v>4621.5</v>
      </c>
      <c r="U115" s="1719"/>
      <c r="V115" s="1719">
        <f>ROUND(SUM(V109:V113),1)</f>
        <v>2982.3</v>
      </c>
      <c r="W115" s="1719"/>
      <c r="X115" s="1719">
        <f>ROUND(SUM(X109:X113),1)</f>
        <v>0</v>
      </c>
      <c r="Y115" s="1719"/>
      <c r="Z115" s="1719">
        <f>ROUND(SUM(Z109:Z113),1)</f>
        <v>0</v>
      </c>
      <c r="AA115" s="474"/>
      <c r="AB115" s="475"/>
      <c r="AC115" s="310">
        <f>ROUND(SUM(AC109:AC113),1)</f>
        <v>45224.3</v>
      </c>
      <c r="AD115" s="256"/>
      <c r="AE115" s="258"/>
      <c r="AF115" s="310">
        <f>ROUND(SUM(AF109:AF113),1)</f>
        <v>44100.4</v>
      </c>
      <c r="AG115" s="272"/>
      <c r="AH115" s="1214"/>
      <c r="AI115" s="2018">
        <f>ROUND(SUM(AI109:AI113),1)</f>
        <v>1123.9000000000001</v>
      </c>
      <c r="AJ115" s="272"/>
      <c r="AK115" s="2536">
        <f>ROUND(SUM(AI115/AF115),3)</f>
        <v>2.5000000000000001E-2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2"/>
      <c r="AI116" s="1111"/>
      <c r="AJ116" s="1740"/>
      <c r="AK116" s="1764"/>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72" t="s">
        <v>162</v>
      </c>
      <c r="AD117" s="260"/>
      <c r="AE117" s="249"/>
      <c r="AF117" s="316"/>
      <c r="AG117" s="260"/>
      <c r="AH117" s="1212"/>
      <c r="AI117" s="1111"/>
      <c r="AJ117" s="1740"/>
      <c r="AK117" s="1764"/>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19">
        <f>ROUND(SUM(N95-N115),1)</f>
        <v>900.9</v>
      </c>
      <c r="O118" s="1719"/>
      <c r="P118" s="1719">
        <f>ROUND(SUM(P95-P115),1)</f>
        <v>-670.7</v>
      </c>
      <c r="Q118" s="1719"/>
      <c r="R118" s="1719">
        <f>ROUND(SUM(R95-R115),1)</f>
        <v>-1664.6</v>
      </c>
      <c r="S118" s="1719"/>
      <c r="T118" s="1719">
        <f>ROUND(SUM(T95-T115),1)</f>
        <v>2635.7</v>
      </c>
      <c r="U118" s="1719"/>
      <c r="V118" s="1719">
        <f>ROUND(SUM(V95-V115),1)</f>
        <v>3904.4</v>
      </c>
      <c r="W118" s="1719"/>
      <c r="X118" s="1719">
        <f>ROUND(SUM(X95-X115),1)</f>
        <v>0</v>
      </c>
      <c r="Y118" s="1719"/>
      <c r="Z118" s="1719">
        <f>ROUND(SUM(Z95-Z115),1)</f>
        <v>0</v>
      </c>
      <c r="AA118" s="474"/>
      <c r="AB118" s="475"/>
      <c r="AC118" s="310">
        <f>ROUND(SUM(AC95-AC115),1)</f>
        <v>-406.9</v>
      </c>
      <c r="AD118" s="256"/>
      <c r="AE118" s="258"/>
      <c r="AF118" s="310">
        <f>ROUND(SUM(AF95-AF115),1)</f>
        <v>-3248.1</v>
      </c>
      <c r="AG118" s="256"/>
      <c r="AH118" s="1214"/>
      <c r="AI118" s="270">
        <f>ROUND(SUM(+AC118-AF118),1)</f>
        <v>2841.2</v>
      </c>
      <c r="AJ118" s="272"/>
      <c r="AK118" s="3040">
        <f>-ROUND(SUM(AI118/AF118),3)</f>
        <v>0.875</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2"/>
      <c r="AI119" s="1111"/>
      <c r="AJ119" s="1740"/>
      <c r="AK119" s="1764"/>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800"/>
      <c r="Y120" s="260"/>
      <c r="Z120" s="260"/>
      <c r="AA120" s="365"/>
      <c r="AB120" s="237"/>
      <c r="AC120" s="316"/>
      <c r="AD120" s="260"/>
      <c r="AE120" s="249"/>
      <c r="AF120" s="316"/>
      <c r="AG120" s="260"/>
      <c r="AH120" s="1212"/>
      <c r="AI120" s="1111"/>
      <c r="AJ120" s="1740"/>
      <c r="AK120" s="1764"/>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2"/>
      <c r="AI121" s="1111"/>
      <c r="AJ121" s="1740"/>
      <c r="AK121" s="1764"/>
    </row>
    <row r="122" spans="1:37" ht="15" customHeight="1">
      <c r="A122" s="350"/>
      <c r="B122" s="1692" t="s">
        <v>1095</v>
      </c>
      <c r="C122" s="304"/>
      <c r="D122" s="260">
        <v>1248.9000000000001</v>
      </c>
      <c r="E122" s="316"/>
      <c r="F122" s="273">
        <v>509.1</v>
      </c>
      <c r="G122" s="316"/>
      <c r="H122" s="273">
        <v>1162.4000000000001</v>
      </c>
      <c r="I122" s="316"/>
      <c r="J122" s="317">
        <v>455.3</v>
      </c>
      <c r="K122" s="316"/>
      <c r="L122" s="1111">
        <v>356</v>
      </c>
      <c r="M122" s="316"/>
      <c r="N122" s="260">
        <v>1400.1000000000004</v>
      </c>
      <c r="O122" s="316"/>
      <c r="P122" s="260">
        <v>673.5</v>
      </c>
      <c r="Q122" s="316"/>
      <c r="R122" s="260">
        <v>396.39999999999964</v>
      </c>
      <c r="S122" s="316"/>
      <c r="T122" s="260">
        <v>1686.9000000000005</v>
      </c>
      <c r="U122" s="316"/>
      <c r="V122" s="260">
        <v>965.5</v>
      </c>
      <c r="W122" s="316"/>
      <c r="X122" s="260"/>
      <c r="Y122" s="316"/>
      <c r="Z122" s="260"/>
      <c r="AA122" s="365"/>
      <c r="AB122" s="484"/>
      <c r="AC122" s="316">
        <f>ROUND(SUM(D122:Z122),1)</f>
        <v>8854.1</v>
      </c>
      <c r="AD122" s="316"/>
      <c r="AE122" s="1220"/>
      <c r="AF122" s="1672">
        <v>8124</v>
      </c>
      <c r="AG122" s="316"/>
      <c r="AH122" s="1212"/>
      <c r="AI122" s="1111">
        <f>ROUND(SUM(+AC122-AF122),1)</f>
        <v>730.1</v>
      </c>
      <c r="AJ122" s="1740"/>
      <c r="AK122" s="1700">
        <f t="shared" ref="AK122:AK127" si="17">ROUND(IF(AF122=0,0,AI122/ABS(AF122)),3)</f>
        <v>0.09</v>
      </c>
    </row>
    <row r="123" spans="1:37" ht="15" customHeight="1">
      <c r="A123" s="350"/>
      <c r="B123" s="1692" t="s">
        <v>1119</v>
      </c>
      <c r="C123" s="304"/>
      <c r="D123" s="260">
        <v>412.7</v>
      </c>
      <c r="E123" s="316"/>
      <c r="F123" s="273">
        <v>240.2</v>
      </c>
      <c r="G123" s="316"/>
      <c r="H123" s="273">
        <v>788.3</v>
      </c>
      <c r="I123" s="316"/>
      <c r="J123" s="317">
        <v>468.4</v>
      </c>
      <c r="K123" s="316"/>
      <c r="L123" s="1111">
        <v>436.20000000000027</v>
      </c>
      <c r="M123" s="316"/>
      <c r="N123" s="260">
        <v>651.29999999999973</v>
      </c>
      <c r="O123" s="316"/>
      <c r="P123" s="260">
        <v>455.80000000000018</v>
      </c>
      <c r="Q123" s="316"/>
      <c r="R123" s="260">
        <v>485.40000000000009</v>
      </c>
      <c r="S123" s="316"/>
      <c r="T123" s="260">
        <v>628.39999999999964</v>
      </c>
      <c r="U123" s="316"/>
      <c r="V123" s="260">
        <v>495.6</v>
      </c>
      <c r="W123" s="316"/>
      <c r="X123" s="260"/>
      <c r="Y123" s="316"/>
      <c r="Z123" s="260"/>
      <c r="AA123" s="260"/>
      <c r="AB123" s="1220"/>
      <c r="AC123" s="316">
        <f t="shared" ref="AC123:AC129" si="18">ROUND(SUM(D123:Z123),1)</f>
        <v>5062.3</v>
      </c>
      <c r="AD123" s="316"/>
      <c r="AE123" s="1220"/>
      <c r="AF123" s="1672">
        <v>4883.3999999999996</v>
      </c>
      <c r="AG123" s="316"/>
      <c r="AH123" s="1212"/>
      <c r="AI123" s="1111">
        <f>ROUND(SUM(+AC123-AF123),1)</f>
        <v>178.9</v>
      </c>
      <c r="AJ123" s="1740"/>
      <c r="AK123" s="1700">
        <f t="shared" si="17"/>
        <v>3.6999999999999998E-2</v>
      </c>
    </row>
    <row r="124" spans="1:37" ht="15" customHeight="1">
      <c r="A124" s="350"/>
      <c r="B124" s="1692" t="s">
        <v>1096</v>
      </c>
      <c r="C124" s="304"/>
      <c r="D124" s="260">
        <v>81</v>
      </c>
      <c r="E124" s="316"/>
      <c r="F124" s="273">
        <v>94.6</v>
      </c>
      <c r="G124" s="316"/>
      <c r="H124" s="273">
        <v>89.1</v>
      </c>
      <c r="I124" s="316"/>
      <c r="J124" s="317">
        <v>84.3</v>
      </c>
      <c r="K124" s="316"/>
      <c r="L124" s="1111">
        <v>86.300000000000011</v>
      </c>
      <c r="M124" s="316"/>
      <c r="N124" s="260">
        <v>93.199999999999989</v>
      </c>
      <c r="O124" s="316"/>
      <c r="P124" s="260">
        <v>64.899999999999977</v>
      </c>
      <c r="Q124" s="316"/>
      <c r="R124" s="260">
        <v>79.900000000000006</v>
      </c>
      <c r="S124" s="316"/>
      <c r="T124" s="260">
        <v>61.900000000000091</v>
      </c>
      <c r="U124" s="316"/>
      <c r="V124" s="260">
        <v>77.8</v>
      </c>
      <c r="W124" s="316"/>
      <c r="X124" s="260"/>
      <c r="Y124" s="316"/>
      <c r="Z124" s="260"/>
      <c r="AA124" s="260"/>
      <c r="AB124" s="1220"/>
      <c r="AC124" s="316">
        <f t="shared" si="18"/>
        <v>813</v>
      </c>
      <c r="AD124" s="316"/>
      <c r="AE124" s="1220"/>
      <c r="AF124" s="1672">
        <v>807.9</v>
      </c>
      <c r="AG124" s="316"/>
      <c r="AH124" s="1212"/>
      <c r="AI124" s="1111">
        <f>ROUND(SUM(+AC124-AF124),1)</f>
        <v>5.0999999999999996</v>
      </c>
      <c r="AJ124" s="1740"/>
      <c r="AK124" s="1700">
        <f t="shared" si="17"/>
        <v>6.0000000000000001E-3</v>
      </c>
    </row>
    <row r="125" spans="1:37" ht="15" customHeight="1">
      <c r="A125" s="350"/>
      <c r="B125" s="483" t="s">
        <v>163</v>
      </c>
      <c r="C125" s="304"/>
      <c r="D125" s="260">
        <v>10.3</v>
      </c>
      <c r="E125" s="316"/>
      <c r="F125" s="273">
        <v>2.1</v>
      </c>
      <c r="G125" s="316"/>
      <c r="H125" s="273">
        <v>2.5</v>
      </c>
      <c r="I125" s="316"/>
      <c r="J125" s="317">
        <v>4.8</v>
      </c>
      <c r="K125" s="316"/>
      <c r="L125" s="1111">
        <v>4.6999999999999993</v>
      </c>
      <c r="M125" s="316"/>
      <c r="N125" s="260">
        <v>92.800000000000011</v>
      </c>
      <c r="O125" s="316"/>
      <c r="P125" s="260">
        <v>13.1</v>
      </c>
      <c r="Q125" s="316"/>
      <c r="R125" s="260">
        <v>39.9</v>
      </c>
      <c r="S125" s="316"/>
      <c r="T125" s="260">
        <v>93.6</v>
      </c>
      <c r="U125" s="316"/>
      <c r="V125" s="260">
        <v>82.4</v>
      </c>
      <c r="W125" s="316"/>
      <c r="X125" s="260"/>
      <c r="Y125" s="316"/>
      <c r="Z125" s="260"/>
      <c r="AA125" s="260"/>
      <c r="AB125" s="1220"/>
      <c r="AC125" s="316">
        <f>ROUND(SUM(D125:Z125),1)</f>
        <v>346.2</v>
      </c>
      <c r="AD125" s="316"/>
      <c r="AE125" s="1220"/>
      <c r="AF125" s="1672">
        <v>271.60000000000002</v>
      </c>
      <c r="AG125" s="316"/>
      <c r="AH125" s="1212"/>
      <c r="AI125" s="1111">
        <f>ROUND(SUM(+AC125-AF125),1)</f>
        <v>74.599999999999994</v>
      </c>
      <c r="AJ125" s="1740"/>
      <c r="AK125" s="1700">
        <f t="shared" si="17"/>
        <v>0.27500000000000002</v>
      </c>
    </row>
    <row r="126" spans="1:37" ht="15" customHeight="1">
      <c r="A126" s="350" t="s">
        <v>15</v>
      </c>
      <c r="B126" s="223" t="s">
        <v>164</v>
      </c>
      <c r="C126" s="222"/>
      <c r="D126" s="260">
        <v>-259.7</v>
      </c>
      <c r="E126" s="260"/>
      <c r="F126" s="260">
        <v>-168.1</v>
      </c>
      <c r="G126" s="260"/>
      <c r="H126" s="260">
        <v>-266</v>
      </c>
      <c r="I126" s="260"/>
      <c r="J126" s="317">
        <v>677.2</v>
      </c>
      <c r="K126" s="260"/>
      <c r="L126" s="1111">
        <v>-419.59999999999997</v>
      </c>
      <c r="M126" s="260"/>
      <c r="N126" s="260">
        <v>-270.59999999999997</v>
      </c>
      <c r="O126" s="260"/>
      <c r="P126" s="260">
        <v>351.99999999999994</v>
      </c>
      <c r="Q126" s="260"/>
      <c r="R126" s="260">
        <v>-280.40000000000003</v>
      </c>
      <c r="S126" s="260"/>
      <c r="T126" s="260">
        <v>1002.6</v>
      </c>
      <c r="U126" s="260"/>
      <c r="V126" s="260">
        <v>-247</v>
      </c>
      <c r="W126" s="260"/>
      <c r="X126" s="260"/>
      <c r="Y126" s="260"/>
      <c r="Z126" s="260"/>
      <c r="AA126" s="365"/>
      <c r="AB126" s="237"/>
      <c r="AC126" s="316">
        <f t="shared" si="18"/>
        <v>120.4</v>
      </c>
      <c r="AD126" s="260"/>
      <c r="AE126" s="249"/>
      <c r="AF126" s="1111">
        <v>-1663.9</v>
      </c>
      <c r="AG126" s="260"/>
      <c r="AH126" s="1212"/>
      <c r="AI126" s="1111">
        <f>ROUND(SUM(+AC126-AF126)*-1,1)</f>
        <v>-1784.3</v>
      </c>
      <c r="AJ126" s="1740"/>
      <c r="AK126" s="2636">
        <f t="shared" si="17"/>
        <v>-1.0720000000000001</v>
      </c>
    </row>
    <row r="127" spans="1:37" ht="15" customHeight="1">
      <c r="A127" s="350"/>
      <c r="B127" s="223" t="s">
        <v>165</v>
      </c>
      <c r="C127" s="222"/>
      <c r="D127" s="1112">
        <v>0</v>
      </c>
      <c r="E127" s="260"/>
      <c r="F127" s="1112">
        <v>0</v>
      </c>
      <c r="G127" s="260"/>
      <c r="H127" s="1112">
        <v>0</v>
      </c>
      <c r="I127" s="260"/>
      <c r="J127" s="1978">
        <v>0</v>
      </c>
      <c r="K127" s="260"/>
      <c r="L127" s="2425">
        <v>0</v>
      </c>
      <c r="M127" s="260"/>
      <c r="N127" s="1112">
        <v>0</v>
      </c>
      <c r="O127" s="260"/>
      <c r="P127" s="1112">
        <v>0</v>
      </c>
      <c r="Q127" s="260"/>
      <c r="R127" s="1112">
        <v>0</v>
      </c>
      <c r="S127" s="260"/>
      <c r="T127" s="1112">
        <v>0</v>
      </c>
      <c r="U127" s="260"/>
      <c r="V127" s="1112">
        <v>0</v>
      </c>
      <c r="W127" s="260"/>
      <c r="X127" s="1112"/>
      <c r="Y127" s="260"/>
      <c r="Z127" s="370"/>
      <c r="AA127" s="365"/>
      <c r="AB127" s="237"/>
      <c r="AC127" s="260">
        <f t="shared" si="18"/>
        <v>0</v>
      </c>
      <c r="AD127" s="260"/>
      <c r="AE127" s="249"/>
      <c r="AF127" s="2425">
        <v>0</v>
      </c>
      <c r="AG127" s="260"/>
      <c r="AH127" s="1212"/>
      <c r="AI127" s="2800">
        <f>ROUND(SUM(+AC127-AF127)*-1,1)</f>
        <v>0</v>
      </c>
      <c r="AJ127" s="1740"/>
      <c r="AK127" s="2582">
        <f t="shared" si="17"/>
        <v>0</v>
      </c>
    </row>
    <row r="128" spans="1:37" ht="15" customHeight="1">
      <c r="A128" s="350"/>
      <c r="B128" s="1279" t="s">
        <v>1346</v>
      </c>
      <c r="C128" s="222"/>
      <c r="D128" s="1112">
        <v>-50</v>
      </c>
      <c r="E128" s="260"/>
      <c r="F128" s="1112">
        <v>-100</v>
      </c>
      <c r="G128" s="260"/>
      <c r="H128" s="1112">
        <v>-171.5</v>
      </c>
      <c r="I128" s="260"/>
      <c r="J128" s="1978">
        <v>-75</v>
      </c>
      <c r="K128" s="260"/>
      <c r="L128" s="2425">
        <v>-75</v>
      </c>
      <c r="M128" s="260"/>
      <c r="N128" s="1112">
        <v>-166.5</v>
      </c>
      <c r="O128" s="260"/>
      <c r="P128" s="1112">
        <v>-81.7</v>
      </c>
      <c r="Q128" s="260"/>
      <c r="R128" s="1112">
        <v>-90</v>
      </c>
      <c r="S128" s="260"/>
      <c r="T128" s="1112">
        <v>-211.69999999999993</v>
      </c>
      <c r="U128" s="260"/>
      <c r="V128" s="1112">
        <v>0</v>
      </c>
      <c r="W128" s="260"/>
      <c r="X128" s="1112"/>
      <c r="Y128" s="260"/>
      <c r="Z128" s="370"/>
      <c r="AA128" s="365"/>
      <c r="AB128" s="237"/>
      <c r="AC128" s="260">
        <f t="shared" si="18"/>
        <v>-1021.4</v>
      </c>
      <c r="AD128" s="260"/>
      <c r="AE128" s="249"/>
      <c r="AF128" s="2425">
        <v>-715.9</v>
      </c>
      <c r="AG128" s="260"/>
      <c r="AH128" s="1212"/>
      <c r="AI128" s="2800">
        <f>ROUND(SUM(+AC128-AF128)*-1,1)</f>
        <v>305.5</v>
      </c>
      <c r="AJ128" s="1740"/>
      <c r="AK128" s="2636">
        <f>ROUND(IF(AF128=0,1,AI128/ABS(AF128)),3)</f>
        <v>0.42699999999999999</v>
      </c>
    </row>
    <row r="129" spans="1:37" ht="15" customHeight="1">
      <c r="A129" s="350"/>
      <c r="B129" s="223" t="s">
        <v>166</v>
      </c>
      <c r="C129" s="222"/>
      <c r="D129" s="260">
        <v>-274.39999999999998</v>
      </c>
      <c r="E129" s="260"/>
      <c r="F129" s="260">
        <v>1.2</v>
      </c>
      <c r="G129" s="260"/>
      <c r="H129" s="260">
        <v>-1.8</v>
      </c>
      <c r="I129" s="260"/>
      <c r="J129" s="317">
        <v>-147.9</v>
      </c>
      <c r="K129" s="260"/>
      <c r="L129" s="1111">
        <v>-14.100000000000023</v>
      </c>
      <c r="M129" s="260"/>
      <c r="N129" s="260">
        <v>86.600000000000023</v>
      </c>
      <c r="O129" s="260"/>
      <c r="P129" s="260">
        <v>-361.9</v>
      </c>
      <c r="Q129" s="260"/>
      <c r="R129" s="260">
        <v>2.7999999999999545</v>
      </c>
      <c r="S129" s="260"/>
      <c r="T129" s="260">
        <v>0.2</v>
      </c>
      <c r="U129" s="260"/>
      <c r="V129" s="260">
        <v>-305.8</v>
      </c>
      <c r="W129" s="260"/>
      <c r="X129" s="260"/>
      <c r="Y129" s="260"/>
      <c r="Z129" s="260"/>
      <c r="AA129" s="365"/>
      <c r="AB129" s="237"/>
      <c r="AC129" s="260">
        <f t="shared" si="18"/>
        <v>-1015.1</v>
      </c>
      <c r="AD129" s="260"/>
      <c r="AE129" s="249"/>
      <c r="AF129" s="1111">
        <v>-754</v>
      </c>
      <c r="AG129" s="260"/>
      <c r="AH129" s="1212"/>
      <c r="AI129" s="1111">
        <f>ROUND(SUM(+AC129-AF129)*-1,1)</f>
        <v>261.10000000000002</v>
      </c>
      <c r="AJ129" s="1740"/>
      <c r="AK129" s="1700">
        <f>ROUND(IF(AF129=0,0,AI129/ABS(AF129)),3)</f>
        <v>0.34599999999999997</v>
      </c>
    </row>
    <row r="130" spans="1:37" ht="15" customHeight="1">
      <c r="A130" s="350"/>
      <c r="B130" s="305" t="s">
        <v>167</v>
      </c>
      <c r="C130" s="304"/>
      <c r="D130" s="260">
        <v>-848.8</v>
      </c>
      <c r="E130" s="316"/>
      <c r="F130" s="260">
        <v>-830.6</v>
      </c>
      <c r="G130" s="316"/>
      <c r="H130" s="260">
        <v>-518.79999999999995</v>
      </c>
      <c r="I130" s="316"/>
      <c r="J130" s="317">
        <v>-715.2</v>
      </c>
      <c r="K130" s="316"/>
      <c r="L130" s="1111">
        <v>-632.5</v>
      </c>
      <c r="M130" s="316"/>
      <c r="N130" s="260">
        <v>-147.19999999999982</v>
      </c>
      <c r="O130" s="316"/>
      <c r="P130" s="260">
        <v>-605.20000000000005</v>
      </c>
      <c r="Q130" s="316"/>
      <c r="R130" s="260">
        <v>-823.89999999999964</v>
      </c>
      <c r="S130" s="316"/>
      <c r="T130" s="260">
        <v>-260.89999999999998</v>
      </c>
      <c r="U130" s="316"/>
      <c r="V130" s="260">
        <v>-254</v>
      </c>
      <c r="W130" s="316"/>
      <c r="X130" s="260"/>
      <c r="Y130" s="316"/>
      <c r="Z130" s="260"/>
      <c r="AA130" s="482"/>
      <c r="AB130" s="307"/>
      <c r="AC130" s="316">
        <f>ROUND(SUM(D130:Z130),1)</f>
        <v>-5637.1</v>
      </c>
      <c r="AD130" s="316"/>
      <c r="AE130" s="1220"/>
      <c r="AF130" s="1672">
        <v>-5553</v>
      </c>
      <c r="AG130" s="261"/>
      <c r="AH130" s="1212"/>
      <c r="AI130" s="2534">
        <f>ROUND(SUM(+AC130-AF130)*-1,1)</f>
        <v>84.1</v>
      </c>
      <c r="AJ130" s="1740"/>
      <c r="AK130" s="2418">
        <f>ROUND(IF(AF130=0,0,AI130/ABS(AF130)),3)</f>
        <v>1.4999999999999999E-2</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0"/>
      <c r="AF131" s="325"/>
      <c r="AG131" s="261"/>
      <c r="AH131" s="1212"/>
      <c r="AI131" s="1111"/>
      <c r="AJ131" s="1740"/>
      <c r="AK131" s="1764"/>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2"/>
      <c r="AI132" s="1111"/>
      <c r="AJ132" s="1740"/>
      <c r="AK132" s="1764"/>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510.5</v>
      </c>
      <c r="Q133" s="256"/>
      <c r="R133" s="256">
        <f>ROUND(SUM(R122:R130),1)</f>
        <v>-189.9</v>
      </c>
      <c r="S133" s="256"/>
      <c r="T133" s="256">
        <f>ROUND(SUM(T122:T130),1)</f>
        <v>3001</v>
      </c>
      <c r="U133" s="256"/>
      <c r="V133" s="256">
        <f>ROUND(SUM(V122:V130),1)</f>
        <v>814.5</v>
      </c>
      <c r="W133" s="256"/>
      <c r="X133" s="256">
        <f>ROUND(SUM(X122:X130),1)</f>
        <v>0</v>
      </c>
      <c r="Y133" s="407"/>
      <c r="Z133" s="256">
        <f>ROUND(SUM(Z122:Z130),1)</f>
        <v>0</v>
      </c>
      <c r="AA133" s="474"/>
      <c r="AB133" s="475"/>
      <c r="AC133" s="256">
        <f>ROUND(SUM(AC122:AC130),1)</f>
        <v>7522.4</v>
      </c>
      <c r="AD133" s="256"/>
      <c r="AE133" s="258"/>
      <c r="AF133" s="310">
        <f>ROUND(SUM(AF122:AF130),1)</f>
        <v>5400.1</v>
      </c>
      <c r="AG133" s="272"/>
      <c r="AH133" s="1214"/>
      <c r="AI133" s="270">
        <f>ROUND(SUM(+AC133-AF133),1)</f>
        <v>2122.3000000000002</v>
      </c>
      <c r="AJ133" s="272"/>
      <c r="AK133" s="521">
        <f>ROUND(SUM(+AI133/AF133),3)</f>
        <v>0.39300000000000002</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2"/>
      <c r="AI134" s="1283"/>
      <c r="AJ134" s="1467"/>
      <c r="AK134" s="1460"/>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2"/>
      <c r="AI135" s="1283"/>
      <c r="AJ135" s="1467"/>
      <c r="AK135" s="1460"/>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2"/>
      <c r="AI136" s="1283"/>
      <c r="AJ136" s="1467"/>
      <c r="AK136" s="1460"/>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-160.19999999999999</v>
      </c>
      <c r="Q137" s="256"/>
      <c r="R137" s="256">
        <f>ROUND(SUM(R118+R133),1)</f>
        <v>-1854.5</v>
      </c>
      <c r="S137" s="260"/>
      <c r="T137" s="256">
        <f>ROUND(SUM(T118+T133),1)</f>
        <v>5636.7</v>
      </c>
      <c r="U137" s="260"/>
      <c r="V137" s="256">
        <f>ROUND(SUM(V118+V133),1)</f>
        <v>4718.8999999999996</v>
      </c>
      <c r="W137" s="260"/>
      <c r="X137" s="256">
        <f>ROUND(SUM(X118+X133),1)</f>
        <v>0</v>
      </c>
      <c r="Y137" s="365"/>
      <c r="Z137" s="270">
        <f>ROUND(SUM(Z118+Z133),1)</f>
        <v>0</v>
      </c>
      <c r="AA137" s="252"/>
      <c r="AB137" s="237"/>
      <c r="AC137" s="256">
        <f>ROUND(SUM(AC118+AC133),1)</f>
        <v>7115.5</v>
      </c>
      <c r="AD137" s="256"/>
      <c r="AE137" s="258"/>
      <c r="AF137" s="310">
        <f>ROUND(SUM(AF118+AF133),1)</f>
        <v>2152</v>
      </c>
      <c r="AG137" s="272"/>
      <c r="AH137" s="1214"/>
      <c r="AI137" s="270">
        <f>ROUND(SUM(+AC137-AF137),1)</f>
        <v>4963.5</v>
      </c>
      <c r="AJ137" s="2537"/>
      <c r="AK137" s="3040">
        <f>ROUND(SUM(AI137/AF137),3)</f>
        <v>2.306</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2"/>
      <c r="AI138" s="1277"/>
      <c r="AJ138" s="1467"/>
      <c r="AK138" s="2538"/>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6363</v>
      </c>
      <c r="Q139" s="489"/>
      <c r="R139" s="487">
        <f>ROUND(SUM(R14+R137),1)</f>
        <v>4508.5</v>
      </c>
      <c r="S139" s="489"/>
      <c r="T139" s="487">
        <f>ROUND(SUM(T14+T137),1)</f>
        <v>10145.200000000001</v>
      </c>
      <c r="U139" s="489"/>
      <c r="V139" s="487">
        <f>ROUND(SUM(V14+V137),1)</f>
        <v>14864.1</v>
      </c>
      <c r="W139" s="489"/>
      <c r="X139" s="487">
        <f>ROUND(SUM(X14+X137),1)</f>
        <v>0</v>
      </c>
      <c r="Y139" s="489"/>
      <c r="Z139" s="487">
        <f>ROUND(SUM(Z14+Z137),1)</f>
        <v>0</v>
      </c>
      <c r="AA139" s="488"/>
      <c r="AB139" s="490"/>
      <c r="AC139" s="487">
        <f>ROUND(SUM(AC14+AC137),1)</f>
        <v>14864.1</v>
      </c>
      <c r="AD139" s="310"/>
      <c r="AE139" s="1221"/>
      <c r="AF139" s="487">
        <f>ROUND(SUM(AF14+AF137),1)</f>
        <v>11086.1</v>
      </c>
      <c r="AG139" s="382"/>
      <c r="AH139" s="468"/>
      <c r="AI139" s="499">
        <f>ROUND(SUM(+AC139-AF139),1)</f>
        <v>3778</v>
      </c>
      <c r="AJ139" s="2537"/>
      <c r="AK139" s="527">
        <f>ROUND(SUM(+AI139/AF139),3)</f>
        <v>0.34100000000000003</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2"/>
      <c r="AI140" s="1283"/>
      <c r="AJ140" s="1467"/>
      <c r="AK140" s="1460"/>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3"/>
      <c r="AI141" s="1283"/>
      <c r="AJ141" s="1467"/>
      <c r="AK141" s="1460"/>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3"/>
      <c r="AI142" s="1283"/>
      <c r="AJ142" s="1467"/>
      <c r="AK142" s="1460"/>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4"/>
      <c r="AI143" s="1111"/>
      <c r="AJ143" s="1740"/>
      <c r="AK143" s="1764"/>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4"/>
      <c r="AI144" s="1111"/>
      <c r="AJ144" s="1740"/>
      <c r="AK144" s="1764"/>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4"/>
      <c r="AI145" s="1111"/>
      <c r="AJ145" s="1740"/>
      <c r="AK145" s="1764"/>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4"/>
      <c r="AI146" s="1111"/>
      <c r="AJ146" s="1740"/>
      <c r="AK146" s="1764"/>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4"/>
      <c r="AI147" s="1111"/>
      <c r="AJ147" s="1740"/>
      <c r="AK147" s="1764"/>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4"/>
      <c r="AI148" s="1111"/>
      <c r="AJ148" s="1740"/>
      <c r="AK148" s="1764"/>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4"/>
      <c r="AI149" s="1111"/>
      <c r="AJ149" s="1740"/>
      <c r="AK149" s="1764"/>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4"/>
      <c r="AI150" s="1111"/>
      <c r="AJ150" s="1740"/>
      <c r="AK150" s="1764"/>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4"/>
      <c r="AI151" s="1111"/>
      <c r="AJ151" s="1740"/>
      <c r="AK151" s="1764"/>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4"/>
      <c r="AI152" s="1111"/>
      <c r="AJ152" s="1740"/>
      <c r="AK152" s="1764"/>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4"/>
      <c r="AI153" s="1111"/>
      <c r="AJ153" s="1740"/>
      <c r="AK153" s="1764"/>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15"/>
      <c r="AJ154" s="2529"/>
      <c r="AK154" s="1764"/>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15"/>
      <c r="AJ155" s="2529"/>
      <c r="AK155" s="1764"/>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15"/>
      <c r="AJ156" s="2529"/>
      <c r="AK156" s="1764"/>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15"/>
      <c r="AJ157" s="2529"/>
      <c r="AK157" s="1764"/>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15"/>
      <c r="AJ158" s="2529"/>
      <c r="AK158" s="1764"/>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15"/>
      <c r="AJ159" s="2529"/>
      <c r="AK159" s="1764"/>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15"/>
      <c r="AJ160" s="2529"/>
      <c r="AK160" s="1764"/>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15"/>
      <c r="AJ161" s="2529"/>
      <c r="AK161" s="1764"/>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15"/>
      <c r="AJ162" s="2529"/>
      <c r="AK162" s="1764"/>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15"/>
      <c r="AJ163" s="2529"/>
      <c r="AK163" s="1764"/>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15"/>
      <c r="AJ164" s="2529"/>
      <c r="AK164" s="1764"/>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15"/>
      <c r="AJ165" s="2529"/>
      <c r="AK165" s="1764"/>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15"/>
      <c r="AJ166" s="2529"/>
      <c r="AK166" s="1764"/>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15"/>
      <c r="AJ167" s="2529"/>
      <c r="AK167" s="1764"/>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22"/>
      <c r="AK168" s="1460"/>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22"/>
      <c r="AK169" s="1460"/>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22"/>
      <c r="AK170" s="1460"/>
      <c r="AL170" s="222"/>
    </row>
    <row r="171" spans="1:38" ht="20.100000000000001" customHeight="1">
      <c r="B171" s="454"/>
      <c r="C171" s="454"/>
      <c r="D171" s="454"/>
      <c r="E171" s="454"/>
      <c r="F171" s="454"/>
      <c r="G171" s="454"/>
      <c r="H171" s="454"/>
      <c r="I171" s="454"/>
      <c r="J171" s="1975"/>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64"/>
      <c r="AG171" s="454"/>
      <c r="AI171" s="454"/>
      <c r="AJ171" s="1922"/>
      <c r="AK171" s="1460"/>
      <c r="AL171" s="222"/>
    </row>
    <row r="172" spans="1:38" ht="20.100000000000001" customHeight="1">
      <c r="B172" s="454"/>
      <c r="C172" s="454"/>
      <c r="D172" s="454"/>
      <c r="E172" s="454"/>
      <c r="F172" s="454"/>
      <c r="G172" s="454"/>
      <c r="H172" s="454"/>
      <c r="I172" s="454"/>
      <c r="J172" s="1975"/>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64"/>
      <c r="AG172" s="454"/>
    </row>
    <row r="173" spans="1:38" ht="20.100000000000001" customHeight="1">
      <c r="B173" s="454"/>
      <c r="C173" s="454"/>
      <c r="D173" s="454"/>
      <c r="E173" s="454"/>
      <c r="F173" s="454"/>
      <c r="G173" s="454"/>
      <c r="H173" s="454"/>
      <c r="I173" s="454"/>
      <c r="J173" s="1975"/>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64"/>
      <c r="AG173" s="454"/>
    </row>
    <row r="174" spans="1:38" ht="20.100000000000001" customHeight="1">
      <c r="B174" s="454"/>
      <c r="C174" s="454"/>
      <c r="D174" s="454"/>
      <c r="E174" s="454"/>
      <c r="F174" s="454"/>
      <c r="G174" s="454"/>
      <c r="H174" s="454"/>
      <c r="I174" s="454"/>
      <c r="J174" s="1975"/>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64"/>
      <c r="AG174" s="454"/>
    </row>
    <row r="175" spans="1:38" ht="20.100000000000001" customHeight="1">
      <c r="B175" s="454"/>
      <c r="C175" s="454"/>
      <c r="D175" s="454"/>
      <c r="E175" s="454"/>
      <c r="F175" s="454"/>
      <c r="G175" s="454"/>
      <c r="H175" s="454"/>
      <c r="I175" s="454"/>
      <c r="J175" s="1975"/>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64"/>
      <c r="AG175" s="454"/>
    </row>
    <row r="176" spans="1:38">
      <c r="B176" s="454"/>
      <c r="C176" s="454"/>
      <c r="D176" s="454"/>
      <c r="E176" s="454"/>
      <c r="F176" s="454"/>
      <c r="G176" s="454"/>
      <c r="H176" s="454"/>
      <c r="I176" s="454"/>
      <c r="J176" s="1975"/>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64"/>
      <c r="AG176" s="454"/>
    </row>
    <row r="177" spans="2:33">
      <c r="B177" s="454"/>
      <c r="C177" s="454"/>
      <c r="D177" s="454"/>
      <c r="E177" s="454"/>
      <c r="F177" s="454"/>
      <c r="G177" s="454"/>
      <c r="H177" s="454"/>
      <c r="I177" s="454"/>
      <c r="J177" s="1975"/>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64"/>
      <c r="AG177" s="454"/>
    </row>
    <row r="178" spans="2:33">
      <c r="B178" s="454"/>
      <c r="C178" s="454"/>
      <c r="D178" s="454"/>
      <c r="E178" s="454"/>
      <c r="F178" s="454"/>
      <c r="G178" s="454"/>
      <c r="H178" s="454"/>
      <c r="I178" s="454"/>
      <c r="J178" s="1975"/>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64"/>
      <c r="AG178" s="454"/>
    </row>
    <row r="179" spans="2:33">
      <c r="B179" s="454"/>
      <c r="C179" s="454"/>
      <c r="D179" s="454"/>
      <c r="E179" s="454"/>
      <c r="F179" s="454"/>
      <c r="G179" s="454"/>
      <c r="H179" s="454"/>
      <c r="I179" s="454"/>
      <c r="J179" s="1975"/>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64"/>
      <c r="AG179" s="454"/>
    </row>
    <row r="180" spans="2:33">
      <c r="B180" s="454"/>
      <c r="C180" s="454"/>
      <c r="D180" s="454"/>
      <c r="E180" s="454"/>
      <c r="F180" s="454"/>
      <c r="G180" s="454"/>
      <c r="H180" s="454"/>
      <c r="I180" s="454"/>
      <c r="J180" s="1975"/>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64"/>
      <c r="AG180" s="454"/>
    </row>
    <row r="181" spans="2:33">
      <c r="B181" s="454"/>
      <c r="C181" s="454"/>
      <c r="D181" s="454"/>
      <c r="E181" s="454"/>
      <c r="F181" s="454"/>
      <c r="G181" s="454"/>
      <c r="H181" s="454"/>
      <c r="I181" s="454"/>
      <c r="J181" s="1975"/>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64"/>
      <c r="AG181" s="454"/>
    </row>
    <row r="182" spans="2:33">
      <c r="B182" s="454"/>
      <c r="C182" s="454"/>
      <c r="D182" s="454"/>
      <c r="E182" s="454"/>
      <c r="F182" s="454"/>
      <c r="G182" s="454"/>
      <c r="H182" s="454"/>
      <c r="I182" s="454"/>
      <c r="J182" s="1975"/>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64"/>
      <c r="AG182" s="454"/>
    </row>
    <row r="183" spans="2:33">
      <c r="B183" s="454"/>
      <c r="C183" s="454"/>
      <c r="D183" s="454"/>
      <c r="E183" s="454"/>
      <c r="F183" s="454"/>
      <c r="G183" s="454"/>
      <c r="H183" s="454"/>
      <c r="I183" s="454"/>
      <c r="J183" s="1975"/>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64"/>
      <c r="AG183" s="454"/>
    </row>
    <row r="184" spans="2:33">
      <c r="B184" s="454"/>
      <c r="C184" s="454"/>
      <c r="D184" s="454"/>
      <c r="E184" s="454"/>
      <c r="F184" s="454"/>
      <c r="G184" s="454"/>
      <c r="H184" s="454"/>
      <c r="I184" s="454"/>
      <c r="J184" s="1975"/>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64"/>
      <c r="AG184" s="454"/>
    </row>
    <row r="185" spans="2:33">
      <c r="B185" s="454"/>
      <c r="C185" s="454"/>
      <c r="D185" s="454"/>
      <c r="E185" s="454"/>
      <c r="F185" s="454"/>
      <c r="G185" s="454"/>
      <c r="H185" s="454"/>
      <c r="I185" s="454"/>
      <c r="J185" s="1975"/>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64"/>
      <c r="AG185" s="454"/>
    </row>
    <row r="186" spans="2:33">
      <c r="B186" s="454"/>
      <c r="C186" s="454"/>
      <c r="D186" s="454"/>
      <c r="E186" s="454"/>
      <c r="F186" s="454"/>
      <c r="G186" s="454"/>
      <c r="H186" s="454"/>
      <c r="I186" s="454"/>
      <c r="J186" s="1975"/>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64"/>
      <c r="AG186" s="454"/>
    </row>
    <row r="187" spans="2:33">
      <c r="B187" s="454"/>
      <c r="C187" s="454"/>
      <c r="D187" s="454"/>
      <c r="E187" s="454"/>
      <c r="F187" s="454"/>
      <c r="G187" s="454"/>
      <c r="H187" s="454"/>
      <c r="I187" s="454"/>
      <c r="J187" s="1975"/>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64"/>
      <c r="AG187" s="454"/>
    </row>
    <row r="188" spans="2:33">
      <c r="B188" s="454"/>
      <c r="C188" s="454"/>
      <c r="D188" s="454"/>
      <c r="E188" s="454"/>
      <c r="F188" s="454"/>
      <c r="G188" s="454"/>
      <c r="H188" s="454"/>
      <c r="I188" s="454"/>
      <c r="J188" s="1975"/>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64"/>
      <c r="AG188" s="454"/>
    </row>
    <row r="189" spans="2:33">
      <c r="B189" s="454"/>
      <c r="C189" s="454"/>
      <c r="D189" s="454"/>
      <c r="E189" s="454"/>
      <c r="F189" s="454"/>
      <c r="G189" s="454"/>
      <c r="H189" s="454"/>
      <c r="I189" s="454"/>
      <c r="J189" s="1975"/>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64"/>
      <c r="AG189" s="454"/>
    </row>
    <row r="190" spans="2:33">
      <c r="B190" s="454"/>
      <c r="C190" s="454"/>
      <c r="D190" s="454"/>
      <c r="E190" s="454"/>
      <c r="F190" s="454"/>
      <c r="G190" s="454"/>
      <c r="H190" s="454"/>
      <c r="I190" s="454"/>
      <c r="J190" s="1975"/>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64"/>
      <c r="AG190" s="454"/>
    </row>
    <row r="191" spans="2:33">
      <c r="B191" s="454"/>
      <c r="C191" s="454"/>
      <c r="D191" s="454"/>
      <c r="E191" s="454"/>
      <c r="F191" s="454"/>
      <c r="G191" s="454"/>
      <c r="H191" s="454"/>
      <c r="I191" s="454"/>
      <c r="J191" s="1975"/>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64"/>
      <c r="AG191" s="454"/>
    </row>
    <row r="192" spans="2:33">
      <c r="B192" s="454"/>
      <c r="C192" s="454"/>
      <c r="D192" s="454"/>
      <c r="E192" s="454"/>
      <c r="F192" s="454"/>
      <c r="G192" s="454"/>
      <c r="H192" s="454"/>
      <c r="I192" s="454"/>
      <c r="J192" s="1975"/>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64"/>
      <c r="AG192" s="454"/>
    </row>
    <row r="193" spans="2:33">
      <c r="B193" s="454"/>
      <c r="C193" s="454"/>
      <c r="D193" s="454"/>
      <c r="E193" s="454"/>
      <c r="F193" s="454"/>
      <c r="G193" s="454"/>
      <c r="H193" s="454"/>
      <c r="I193" s="454"/>
      <c r="J193" s="1975"/>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64"/>
      <c r="AG193" s="454"/>
    </row>
    <row r="194" spans="2:33">
      <c r="B194" s="454"/>
      <c r="C194" s="454"/>
      <c r="D194" s="454"/>
      <c r="E194" s="454"/>
      <c r="F194" s="454"/>
      <c r="G194" s="454"/>
      <c r="H194" s="454"/>
      <c r="I194" s="454"/>
      <c r="J194" s="1975"/>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64"/>
      <c r="AG194" s="454"/>
    </row>
    <row r="195" spans="2:33">
      <c r="B195" s="454"/>
      <c r="C195" s="454"/>
      <c r="D195" s="454"/>
      <c r="E195" s="454"/>
      <c r="F195" s="454"/>
      <c r="G195" s="454"/>
      <c r="H195" s="454"/>
      <c r="I195" s="454"/>
      <c r="J195" s="1975"/>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64"/>
      <c r="AG195" s="454"/>
    </row>
    <row r="196" spans="2:33">
      <c r="B196" s="454"/>
      <c r="C196" s="454"/>
      <c r="D196" s="454"/>
      <c r="E196" s="454"/>
      <c r="F196" s="454"/>
      <c r="G196" s="454"/>
      <c r="H196" s="454"/>
      <c r="I196" s="454"/>
      <c r="J196" s="1975"/>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64"/>
      <c r="AG196" s="454"/>
    </row>
    <row r="197" spans="2:33">
      <c r="B197" s="454"/>
      <c r="C197" s="454"/>
      <c r="D197" s="454"/>
      <c r="E197" s="454"/>
      <c r="F197" s="454"/>
      <c r="G197" s="454"/>
      <c r="H197" s="454"/>
      <c r="I197" s="454"/>
      <c r="J197" s="1975"/>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64"/>
      <c r="AG197" s="454"/>
    </row>
    <row r="198" spans="2:33">
      <c r="B198" s="454"/>
      <c r="C198" s="454"/>
      <c r="D198" s="454"/>
      <c r="E198" s="454"/>
      <c r="F198" s="454"/>
      <c r="G198" s="454"/>
      <c r="H198" s="454"/>
      <c r="I198" s="454"/>
      <c r="J198" s="1975"/>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64"/>
      <c r="AG198" s="454"/>
    </row>
    <row r="199" spans="2:33">
      <c r="B199" s="454"/>
      <c r="C199" s="454"/>
      <c r="D199" s="454"/>
      <c r="E199" s="454"/>
      <c r="F199" s="454"/>
      <c r="G199" s="454"/>
      <c r="H199" s="454"/>
      <c r="I199" s="454"/>
      <c r="J199" s="1975"/>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64"/>
      <c r="AG199" s="454"/>
    </row>
    <row r="200" spans="2:33">
      <c r="B200" s="454"/>
      <c r="C200" s="454"/>
      <c r="D200" s="454"/>
      <c r="E200" s="454"/>
      <c r="F200" s="454"/>
      <c r="G200" s="454"/>
      <c r="H200" s="454"/>
      <c r="I200" s="454"/>
      <c r="J200" s="1975"/>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64"/>
      <c r="AG200" s="454"/>
    </row>
    <row r="201" spans="2:33">
      <c r="B201" s="454"/>
      <c r="C201" s="454"/>
      <c r="D201" s="454"/>
      <c r="E201" s="454"/>
      <c r="F201" s="454"/>
      <c r="G201" s="454"/>
      <c r="H201" s="454"/>
      <c r="I201" s="454"/>
      <c r="J201" s="1975"/>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64"/>
      <c r="AG201" s="454"/>
    </row>
    <row r="202" spans="2:33">
      <c r="B202" s="454"/>
      <c r="C202" s="454"/>
      <c r="D202" s="454"/>
      <c r="E202" s="454"/>
      <c r="F202" s="454"/>
      <c r="G202" s="454"/>
      <c r="H202" s="454"/>
      <c r="I202" s="454"/>
      <c r="J202" s="1975"/>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64"/>
      <c r="AG202" s="454"/>
    </row>
    <row r="203" spans="2:33">
      <c r="B203" s="454"/>
      <c r="C203" s="454"/>
      <c r="D203" s="454"/>
      <c r="E203" s="454"/>
      <c r="F203" s="454"/>
      <c r="G203" s="454"/>
      <c r="H203" s="454"/>
      <c r="I203" s="454"/>
      <c r="J203" s="1975"/>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64"/>
      <c r="AG203" s="454"/>
    </row>
    <row r="204" spans="2:33">
      <c r="B204" s="454"/>
      <c r="C204" s="454"/>
      <c r="D204" s="454"/>
      <c r="E204" s="454"/>
      <c r="F204" s="454"/>
      <c r="G204" s="454"/>
      <c r="H204" s="454"/>
      <c r="I204" s="454"/>
      <c r="J204" s="1975"/>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64"/>
      <c r="AG204" s="454"/>
    </row>
    <row r="205" spans="2:33">
      <c r="B205" s="454"/>
      <c r="C205" s="454"/>
      <c r="D205" s="454"/>
      <c r="E205" s="454"/>
      <c r="F205" s="454"/>
      <c r="G205" s="454"/>
      <c r="H205" s="454"/>
      <c r="I205" s="454"/>
      <c r="J205" s="1975"/>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64"/>
      <c r="AG205" s="454"/>
    </row>
    <row r="206" spans="2:33">
      <c r="B206" s="454"/>
      <c r="C206" s="454"/>
      <c r="D206" s="454"/>
      <c r="E206" s="454"/>
      <c r="F206" s="454"/>
      <c r="G206" s="454"/>
      <c r="H206" s="454"/>
      <c r="I206" s="454"/>
      <c r="J206" s="1975"/>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64"/>
      <c r="AG206" s="454"/>
    </row>
    <row r="207" spans="2:33">
      <c r="B207" s="454"/>
      <c r="C207" s="454"/>
      <c r="D207" s="454"/>
      <c r="E207" s="454"/>
      <c r="F207" s="454"/>
      <c r="G207" s="454"/>
      <c r="H207" s="454"/>
      <c r="I207" s="454"/>
      <c r="J207" s="1975"/>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64"/>
      <c r="AG207" s="454"/>
    </row>
    <row r="208" spans="2:33">
      <c r="B208" s="454"/>
      <c r="C208" s="454"/>
      <c r="D208" s="454"/>
      <c r="E208" s="454"/>
      <c r="F208" s="454"/>
      <c r="G208" s="454"/>
      <c r="H208" s="454"/>
      <c r="I208" s="454"/>
      <c r="J208" s="1975"/>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64"/>
      <c r="AG208" s="454"/>
    </row>
    <row r="209" spans="2:33">
      <c r="B209" s="454"/>
      <c r="C209" s="454"/>
      <c r="D209" s="454"/>
      <c r="E209" s="454"/>
      <c r="F209" s="454"/>
      <c r="G209" s="454"/>
      <c r="H209" s="454"/>
      <c r="I209" s="454"/>
      <c r="J209" s="1975"/>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64"/>
      <c r="AG209" s="454"/>
    </row>
    <row r="210" spans="2:33">
      <c r="B210" s="454"/>
      <c r="C210" s="454"/>
      <c r="D210" s="454"/>
      <c r="E210" s="454"/>
      <c r="F210" s="454"/>
      <c r="G210" s="454"/>
      <c r="H210" s="454"/>
      <c r="I210" s="454"/>
      <c r="J210" s="1975"/>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64"/>
      <c r="AG210" s="454"/>
    </row>
    <row r="211" spans="2:33">
      <c r="B211" s="454"/>
      <c r="C211" s="454"/>
      <c r="D211" s="454"/>
      <c r="E211" s="454"/>
      <c r="F211" s="454"/>
      <c r="G211" s="454"/>
      <c r="H211" s="454"/>
      <c r="I211" s="454"/>
      <c r="J211" s="1975"/>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64"/>
      <c r="AG211" s="454"/>
    </row>
    <row r="212" spans="2:33">
      <c r="B212" s="454"/>
      <c r="C212" s="454"/>
      <c r="D212" s="454"/>
      <c r="E212" s="454"/>
      <c r="F212" s="454"/>
      <c r="G212" s="454"/>
      <c r="H212" s="454"/>
      <c r="I212" s="454"/>
      <c r="J212" s="1975"/>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64"/>
      <c r="AG212" s="454"/>
    </row>
    <row r="213" spans="2:33">
      <c r="B213" s="454"/>
      <c r="C213" s="454"/>
      <c r="D213" s="454"/>
      <c r="E213" s="454"/>
      <c r="F213" s="454"/>
      <c r="G213" s="454"/>
      <c r="H213" s="454"/>
      <c r="I213" s="454"/>
      <c r="J213" s="1975"/>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64"/>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15" customWidth="1"/>
    <col min="40" max="16384" width="8.90625" style="222"/>
  </cols>
  <sheetData>
    <row r="1" spans="1:44">
      <c r="B1" s="1124"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3" t="s">
        <v>173</v>
      </c>
    </row>
    <row r="5" spans="1:44" ht="17.399999999999999">
      <c r="A5" s="494"/>
      <c r="B5" s="458" t="s">
        <v>1277</v>
      </c>
      <c r="L5" s="221"/>
    </row>
    <row r="6" spans="1:44" ht="17.399999999999999">
      <c r="A6" s="494"/>
      <c r="B6" s="463" t="s">
        <v>151</v>
      </c>
      <c r="L6" s="223"/>
      <c r="X6" s="502"/>
    </row>
    <row r="7" spans="1:44" ht="21">
      <c r="A7" s="494"/>
      <c r="B7" s="2803" t="s">
        <v>1437</v>
      </c>
      <c r="L7" s="223"/>
      <c r="AM7" s="504"/>
    </row>
    <row r="8" spans="1:44" ht="17.399999999999999">
      <c r="A8" s="494"/>
      <c r="B8" s="458" t="s">
        <v>1376</v>
      </c>
      <c r="AJ8" s="223"/>
      <c r="AK8" s="223"/>
      <c r="AL8" s="223"/>
      <c r="AM8" s="1279"/>
    </row>
    <row r="9" spans="1:44">
      <c r="A9" s="494"/>
      <c r="L9" s="223"/>
      <c r="N9" s="223"/>
      <c r="AD9" s="223"/>
      <c r="AE9" s="223"/>
      <c r="AF9" s="223"/>
      <c r="AG9" s="223"/>
      <c r="AH9" s="223"/>
      <c r="AI9" s="223"/>
      <c r="AJ9" s="223"/>
      <c r="AK9" s="223"/>
      <c r="AL9" s="223"/>
      <c r="AM9" s="1279"/>
    </row>
    <row r="10" spans="1:44" s="454" customFormat="1" ht="19.5" customHeight="1">
      <c r="A10" s="453"/>
      <c r="E10"/>
      <c r="G10"/>
      <c r="I10"/>
      <c r="K10"/>
      <c r="L10" s="497"/>
      <c r="M10"/>
      <c r="N10" s="497"/>
      <c r="O10"/>
      <c r="Q10"/>
      <c r="S10"/>
      <c r="U10"/>
      <c r="W10"/>
      <c r="Y10"/>
      <c r="AB10" s="1402" t="s">
        <v>1265</v>
      </c>
      <c r="AD10" s="545"/>
      <c r="AE10" s="545"/>
      <c r="AF10" s="2481"/>
      <c r="AG10" s="2481"/>
      <c r="AH10" s="2482" t="s">
        <v>1556</v>
      </c>
      <c r="AI10" s="2481"/>
      <c r="AJ10" s="532"/>
      <c r="AK10" s="532"/>
      <c r="AL10" s="532"/>
      <c r="AM10" s="532"/>
    </row>
    <row r="11" spans="1:44" ht="15.6">
      <c r="A11" s="494"/>
      <c r="D11" s="1395">
        <v>2017</v>
      </c>
      <c r="F11" s="221"/>
      <c r="H11" s="221"/>
      <c r="J11" s="221"/>
      <c r="L11" s="221"/>
      <c r="N11" s="221"/>
      <c r="P11" s="221"/>
      <c r="R11" s="221"/>
      <c r="T11" s="221"/>
      <c r="V11" s="1395">
        <v>2018</v>
      </c>
      <c r="X11" s="221"/>
      <c r="Z11" s="221"/>
      <c r="AA11" s="221"/>
      <c r="AB11" s="1402" t="s">
        <v>1266</v>
      </c>
      <c r="AC11" s="221"/>
      <c r="AD11" s="221"/>
      <c r="AE11" s="411"/>
      <c r="AF11" s="411"/>
      <c r="AG11" s="411"/>
      <c r="AH11" s="411"/>
      <c r="AI11" s="411"/>
      <c r="AJ11" s="410"/>
      <c r="AK11" s="1399" t="s">
        <v>8</v>
      </c>
      <c r="AL11" s="411"/>
      <c r="AM11" s="1400" t="s">
        <v>9</v>
      </c>
      <c r="AN11" s="410"/>
      <c r="AO11" s="410"/>
      <c r="AP11" s="410"/>
      <c r="AQ11" s="410"/>
      <c r="AR11" s="410"/>
    </row>
    <row r="12" spans="1:44" ht="15.6">
      <c r="A12" s="494"/>
      <c r="D12" s="1382" t="s">
        <v>127</v>
      </c>
      <c r="F12" s="1382" t="s">
        <v>128</v>
      </c>
      <c r="H12" s="1382" t="s">
        <v>129</v>
      </c>
      <c r="J12" s="1382" t="s">
        <v>130</v>
      </c>
      <c r="L12" s="1382" t="s">
        <v>131</v>
      </c>
      <c r="N12" s="1382" t="s">
        <v>132</v>
      </c>
      <c r="P12" s="1382" t="s">
        <v>133</v>
      </c>
      <c r="R12" s="1382" t="s">
        <v>134</v>
      </c>
      <c r="T12" s="1382" t="s">
        <v>135</v>
      </c>
      <c r="V12" s="1382" t="s">
        <v>152</v>
      </c>
      <c r="X12" s="1382" t="s">
        <v>137</v>
      </c>
      <c r="Z12" s="1382" t="s">
        <v>138</v>
      </c>
      <c r="AA12" s="1382"/>
      <c r="AB12" s="1924" t="s">
        <v>1267</v>
      </c>
      <c r="AC12" s="221"/>
      <c r="AD12" s="221"/>
      <c r="AE12" s="1395">
        <v>2018</v>
      </c>
      <c r="AF12" s="221" t="s">
        <v>15</v>
      </c>
      <c r="AG12" s="410"/>
      <c r="AH12" s="1395">
        <v>2017</v>
      </c>
      <c r="AI12" s="1381"/>
      <c r="AJ12" s="410"/>
      <c r="AK12" s="1405" t="s">
        <v>12</v>
      </c>
      <c r="AL12" s="410"/>
      <c r="AM12" s="1405"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1342</v>
      </c>
      <c r="C14" s="223"/>
      <c r="D14" s="334">
        <v>4272.2</v>
      </c>
      <c r="F14" s="292">
        <f>D123</f>
        <v>4731.8999999999996</v>
      </c>
      <c r="H14" s="292">
        <f>F123</f>
        <v>3896.2</v>
      </c>
      <c r="J14" s="292">
        <f>H123</f>
        <v>5153.7</v>
      </c>
      <c r="L14" s="292">
        <f>J123</f>
        <v>5591.9</v>
      </c>
      <c r="N14" s="292">
        <f>+L123</f>
        <v>5523.2</v>
      </c>
      <c r="P14" s="292">
        <f>+N123</f>
        <v>4212.7</v>
      </c>
      <c r="R14" s="292">
        <f>P123</f>
        <v>4048.8</v>
      </c>
      <c r="T14" s="292">
        <f>R123</f>
        <v>3887.1</v>
      </c>
      <c r="V14" s="292">
        <f>T123</f>
        <v>3914.9</v>
      </c>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1715"/>
      <c r="AB15" s="260"/>
      <c r="AD15" s="413"/>
      <c r="AG15" s="413"/>
      <c r="AI15" s="510"/>
      <c r="AJ15" s="229"/>
      <c r="AM15" s="176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64"/>
    </row>
    <row r="17" spans="1:39" ht="15" customHeight="1">
      <c r="A17" s="223"/>
      <c r="B17" s="486" t="s">
        <v>1177</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64"/>
    </row>
    <row r="18" spans="1:39" s="410" customFormat="1" ht="15" customHeight="1">
      <c r="A18" s="221"/>
      <c r="B18" s="2203" t="s">
        <v>1180</v>
      </c>
      <c r="C18" s="221"/>
      <c r="D18" s="2800">
        <f>'Exhibit G State'!D17</f>
        <v>0</v>
      </c>
      <c r="E18" s="2800"/>
      <c r="F18" s="2800">
        <f>'Exhibit G State'!F17</f>
        <v>0</v>
      </c>
      <c r="G18" s="2800"/>
      <c r="H18" s="2800">
        <f>'Exhibit G State'!H17</f>
        <v>57.6</v>
      </c>
      <c r="I18"/>
      <c r="J18" s="2800">
        <f>'Exhibit G State'!J17</f>
        <v>0</v>
      </c>
      <c r="K18"/>
      <c r="L18" s="2800">
        <f>'Exhibit G State'!L17</f>
        <v>0</v>
      </c>
      <c r="M18"/>
      <c r="N18" s="2800">
        <f>'Exhibit G State'!N17</f>
        <v>0</v>
      </c>
      <c r="O18"/>
      <c r="P18" s="2800">
        <f>'Exhibit G State'!P17</f>
        <v>5</v>
      </c>
      <c r="Q18"/>
      <c r="R18" s="2800">
        <f>'Exhibit G State'!R17</f>
        <v>11.6</v>
      </c>
      <c r="S18"/>
      <c r="T18" s="2800">
        <f>'Exhibit G State'!T17</f>
        <v>88</v>
      </c>
      <c r="U18"/>
      <c r="V18" s="2800">
        <f>'Exhibit G State'!V17</f>
        <v>2413.5</v>
      </c>
      <c r="W18"/>
      <c r="X18" s="2800"/>
      <c r="Y18"/>
      <c r="Z18" s="2800"/>
      <c r="AA18" s="2640"/>
      <c r="AB18" s="2955">
        <v>0</v>
      </c>
      <c r="AC18" s="292"/>
      <c r="AD18" s="293"/>
      <c r="AE18" s="2955">
        <f>ROUND(SUM(D18:AB18),1)</f>
        <v>2575.6999999999998</v>
      </c>
      <c r="AF18" s="1111"/>
      <c r="AG18" s="2507"/>
      <c r="AH18" s="1262">
        <f>'Exhibit G State'!AF17</f>
        <v>2895.9</v>
      </c>
      <c r="AI18" s="2484"/>
      <c r="AJ18" s="1740"/>
      <c r="AK18" s="1111">
        <f>ROUND(SUM(+AE18-AH18),1)</f>
        <v>-320.2</v>
      </c>
      <c r="AL18" s="247"/>
      <c r="AM18" s="2582">
        <f>ROUND(IF(AH18=0,1,AK18/ABS(AH18)),3)</f>
        <v>-0.111</v>
      </c>
    </row>
    <row r="19" spans="1:39" s="410" customFormat="1" ht="6" customHeight="1">
      <c r="A19" s="221"/>
      <c r="B19" s="2203"/>
      <c r="C19" s="221"/>
      <c r="D19" s="2483"/>
      <c r="E19"/>
      <c r="F19" s="2483"/>
      <c r="G19"/>
      <c r="H19" s="2483"/>
      <c r="I19"/>
      <c r="J19" s="2483"/>
      <c r="K19"/>
      <c r="L19" s="2483"/>
      <c r="M19"/>
      <c r="N19" s="2483"/>
      <c r="O19"/>
      <c r="P19" s="2483"/>
      <c r="Q19"/>
      <c r="R19" s="2483"/>
      <c r="S19"/>
      <c r="T19" s="2483"/>
      <c r="U19"/>
      <c r="V19" s="2483"/>
      <c r="W19"/>
      <c r="X19" s="2483"/>
      <c r="Y19"/>
      <c r="Z19" s="2483"/>
      <c r="AA19" s="292"/>
      <c r="AB19" s="1719"/>
      <c r="AC19" s="292"/>
      <c r="AD19" s="293"/>
      <c r="AE19" s="1190"/>
      <c r="AF19" s="1190"/>
      <c r="AG19" s="2221"/>
      <c r="AH19" s="1192"/>
      <c r="AI19" s="2222"/>
      <c r="AJ19" s="1806"/>
      <c r="AK19" s="1190"/>
      <c r="AL19" s="247"/>
      <c r="AM19" s="1700"/>
    </row>
    <row r="20" spans="1:39" ht="15" customHeight="1">
      <c r="A20" s="223"/>
      <c r="B20" s="2203" t="s">
        <v>1244</v>
      </c>
      <c r="C20" s="223"/>
      <c r="D20" s="260"/>
      <c r="F20" s="260"/>
      <c r="H20" s="260"/>
      <c r="J20" s="260"/>
      <c r="L20" s="260"/>
      <c r="N20" s="260"/>
      <c r="P20" s="260"/>
      <c r="R20" s="260"/>
      <c r="T20" s="260"/>
      <c r="V20" s="260"/>
      <c r="X20" s="260"/>
      <c r="Z20" s="260"/>
      <c r="AA20" s="260"/>
      <c r="AB20" s="260"/>
      <c r="AC20" s="260"/>
      <c r="AD20" s="249"/>
      <c r="AE20" s="1719"/>
      <c r="AF20" s="1719"/>
      <c r="AG20" s="258"/>
      <c r="AH20" s="1719"/>
      <c r="AI20" s="518"/>
      <c r="AJ20" s="272"/>
      <c r="AK20" s="1719"/>
      <c r="AL20" s="410"/>
      <c r="AM20" s="509"/>
    </row>
    <row r="21" spans="1:39" ht="15" customHeight="1">
      <c r="A21" s="223"/>
      <c r="B21" s="1949" t="s">
        <v>1195</v>
      </c>
      <c r="C21" s="223"/>
      <c r="D21" s="1111">
        <f>'Exhibit G State'!D20</f>
        <v>92.5</v>
      </c>
      <c r="E21" s="2800"/>
      <c r="F21" s="2800">
        <f>'Exhibit G State'!F20</f>
        <v>67.900000000000006</v>
      </c>
      <c r="G21" s="2800"/>
      <c r="H21" s="2800">
        <f>'Exhibit G State'!H20</f>
        <v>93.9</v>
      </c>
      <c r="J21" s="2800">
        <f>'Exhibit G State'!J20</f>
        <v>71.8</v>
      </c>
      <c r="L21" s="2800">
        <f>'Exhibit G State'!L20</f>
        <v>70.2</v>
      </c>
      <c r="N21" s="2800">
        <f>'Exhibit G State'!N20</f>
        <v>93.6</v>
      </c>
      <c r="P21" s="2800">
        <f>'Exhibit G State'!P20</f>
        <v>73.099999999999994</v>
      </c>
      <c r="R21" s="2800">
        <f>'Exhibit G State'!R20</f>
        <v>77.5</v>
      </c>
      <c r="T21" s="2800">
        <f>'Exhibit G State'!T20</f>
        <v>96.9</v>
      </c>
      <c r="V21" s="2800">
        <f>'Exhibit G State'!V20</f>
        <v>78.900000000000006</v>
      </c>
      <c r="X21" s="2955"/>
      <c r="Z21" s="2955"/>
      <c r="AA21" s="2640"/>
      <c r="AB21" s="2955">
        <v>0</v>
      </c>
      <c r="AC21" s="260"/>
      <c r="AD21" s="249"/>
      <c r="AE21" s="260">
        <f>ROUND(SUM(D21:AB21),1)</f>
        <v>816.3</v>
      </c>
      <c r="AF21" s="260"/>
      <c r="AG21" s="249"/>
      <c r="AH21" s="1262">
        <f>'Exhibit G State'!AF20</f>
        <v>782.8</v>
      </c>
      <c r="AI21" s="511"/>
      <c r="AJ21" s="248"/>
      <c r="AK21" s="1111">
        <f t="shared" ref="AK21:AK28" si="0">ROUND(SUM(+AE21-AH21),1)</f>
        <v>33.5</v>
      </c>
      <c r="AL21" s="247"/>
      <c r="AM21" s="1700">
        <f t="shared" ref="AM21:AM28" si="1">ROUND(IF(AH21=0,0,AK21/ABS(AH21)),3)</f>
        <v>4.2999999999999997E-2</v>
      </c>
    </row>
    <row r="22" spans="1:39" ht="15" customHeight="1">
      <c r="A22" s="223"/>
      <c r="B22" s="1949" t="s">
        <v>1196</v>
      </c>
      <c r="C22" s="223"/>
      <c r="D22" s="1111">
        <f>'Exhibit G State'!D21</f>
        <v>3.7</v>
      </c>
      <c r="E22" s="2800"/>
      <c r="F22" s="2800">
        <f>'Exhibit G State'!F21</f>
        <v>3.3</v>
      </c>
      <c r="G22" s="2800"/>
      <c r="H22" s="2800">
        <f>'Exhibit G State'!H21</f>
        <v>4.5999999999999996</v>
      </c>
      <c r="J22" s="2800">
        <f>'Exhibit G State'!J21</f>
        <v>5.0999999999999996</v>
      </c>
      <c r="L22" s="2800">
        <f>'Exhibit G State'!L21</f>
        <v>4.9000000000000004</v>
      </c>
      <c r="N22" s="2800">
        <f>'Exhibit G State'!N21</f>
        <v>4.5999999999999996</v>
      </c>
      <c r="P22" s="2800">
        <f>'Exhibit G State'!P21</f>
        <v>3.5</v>
      </c>
      <c r="R22" s="2800">
        <f>'Exhibit G State'!R21</f>
        <v>3.7</v>
      </c>
      <c r="T22" s="2800">
        <f>'Exhibit G State'!T21</f>
        <v>2.9</v>
      </c>
      <c r="V22" s="2800">
        <f>'Exhibit G State'!V21</f>
        <v>0</v>
      </c>
      <c r="X22" s="2955"/>
      <c r="Z22" s="2955"/>
      <c r="AA22" s="2640"/>
      <c r="AB22" s="2955">
        <v>0</v>
      </c>
      <c r="AC22" s="260"/>
      <c r="AD22" s="249"/>
      <c r="AE22" s="260">
        <f t="shared" ref="AE22:AE27" si="2">ROUND(SUM(D22:AB22),1)</f>
        <v>36.299999999999997</v>
      </c>
      <c r="AF22" s="260"/>
      <c r="AG22" s="249"/>
      <c r="AH22" s="1262">
        <f>'Exhibit G State'!AF21</f>
        <v>43.3</v>
      </c>
      <c r="AI22" s="511"/>
      <c r="AJ22" s="248"/>
      <c r="AK22" s="1111">
        <f t="shared" si="0"/>
        <v>-7</v>
      </c>
      <c r="AL22" s="247"/>
      <c r="AM22" s="1700">
        <f t="shared" si="1"/>
        <v>-0.16200000000000001</v>
      </c>
    </row>
    <row r="23" spans="1:39" ht="15" customHeight="1">
      <c r="A23" s="223"/>
      <c r="B23" s="1949" t="s">
        <v>1197</v>
      </c>
      <c r="C23" s="223"/>
      <c r="D23" s="1111">
        <f>'Exhibit G State'!D22</f>
        <v>64.099999999999994</v>
      </c>
      <c r="E23" s="2800"/>
      <c r="F23" s="2800">
        <f>'Exhibit G State'!F22</f>
        <v>76.5</v>
      </c>
      <c r="G23" s="2800"/>
      <c r="H23" s="2800">
        <f>'Exhibit G State'!H22</f>
        <v>74.8</v>
      </c>
      <c r="J23" s="2800">
        <f>'Exhibit G State'!J22</f>
        <v>71.400000000000006</v>
      </c>
      <c r="L23" s="2800">
        <f>'Exhibit G State'!L22</f>
        <v>83.6</v>
      </c>
      <c r="N23" s="2800">
        <f>'Exhibit G State'!N22</f>
        <v>70.099999999999994</v>
      </c>
      <c r="P23" s="2800">
        <f>'Exhibit G State'!P22</f>
        <v>74.900000000000006</v>
      </c>
      <c r="R23" s="2800">
        <f>'Exhibit G State'!R22</f>
        <v>68.2</v>
      </c>
      <c r="T23" s="2800">
        <f>'Exhibit G State'!T22</f>
        <v>67.7</v>
      </c>
      <c r="V23" s="2800">
        <f>'Exhibit G State'!V22</f>
        <v>72</v>
      </c>
      <c r="X23" s="2955"/>
      <c r="Z23" s="2955"/>
      <c r="AA23" s="2640"/>
      <c r="AB23" s="2955">
        <v>0</v>
      </c>
      <c r="AC23" s="260"/>
      <c r="AD23" s="249"/>
      <c r="AE23" s="260">
        <f t="shared" si="2"/>
        <v>723.3</v>
      </c>
      <c r="AF23" s="260"/>
      <c r="AG23" s="249"/>
      <c r="AH23" s="1262">
        <f>'Exhibit G State'!AF22</f>
        <v>759.3</v>
      </c>
      <c r="AI23" s="511"/>
      <c r="AJ23" s="248"/>
      <c r="AK23" s="1111">
        <f t="shared" si="0"/>
        <v>-36</v>
      </c>
      <c r="AL23" s="247"/>
      <c r="AM23" s="1700">
        <f t="shared" si="1"/>
        <v>-4.7E-2</v>
      </c>
    </row>
    <row r="24" spans="1:39" ht="15" customHeight="1">
      <c r="A24" s="223"/>
      <c r="B24" s="1206" t="s">
        <v>1361</v>
      </c>
      <c r="C24" s="223"/>
      <c r="D24" s="2800">
        <f>'Exhibit G State'!D23</f>
        <v>0.1</v>
      </c>
      <c r="E24" s="2800"/>
      <c r="F24" s="2800">
        <f>'Exhibit G State'!F23</f>
        <v>0.1</v>
      </c>
      <c r="G24" s="2800"/>
      <c r="H24" s="2800">
        <f>'Exhibit G State'!H23</f>
        <v>0.1</v>
      </c>
      <c r="J24" s="2800">
        <f>'Exhibit G State'!J23</f>
        <v>0.1</v>
      </c>
      <c r="L24" s="2800">
        <f>'Exhibit G State'!L23</f>
        <v>0.2</v>
      </c>
      <c r="N24" s="2800">
        <f>'Exhibit G State'!N23</f>
        <v>0.1</v>
      </c>
      <c r="P24" s="2800">
        <f>'Exhibit G State'!P23</f>
        <v>0.2</v>
      </c>
      <c r="R24" s="2800">
        <f>'Exhibit G State'!R23</f>
        <v>0.2</v>
      </c>
      <c r="T24" s="2800">
        <f>'Exhibit G State'!T23</f>
        <v>0.2</v>
      </c>
      <c r="V24" s="2800">
        <f>'Exhibit G State'!V23</f>
        <v>0.2</v>
      </c>
      <c r="X24" s="2955"/>
      <c r="Z24" s="2955"/>
      <c r="AA24" s="2640"/>
      <c r="AB24" s="2955">
        <v>0</v>
      </c>
      <c r="AC24" s="260"/>
      <c r="AD24" s="249"/>
      <c r="AE24" s="260">
        <f t="shared" si="2"/>
        <v>1.5</v>
      </c>
      <c r="AF24" s="260"/>
      <c r="AG24" s="249"/>
      <c r="AH24" s="1262">
        <f>'Exhibit G State'!AF23</f>
        <v>0.4</v>
      </c>
      <c r="AI24" s="511"/>
      <c r="AJ24" s="248"/>
      <c r="AK24" s="2800">
        <f t="shared" ref="AK24" si="3">ROUND(SUM(+AE24-AH24),1)</f>
        <v>1.1000000000000001</v>
      </c>
      <c r="AL24" s="247"/>
      <c r="AM24" s="2582">
        <f>ROUND(IF(AH24=0,1,AK24/ABS(AH24)),3)</f>
        <v>2.75</v>
      </c>
    </row>
    <row r="25" spans="1:39" ht="15" customHeight="1">
      <c r="A25" s="223"/>
      <c r="B25" s="1949" t="s">
        <v>1198</v>
      </c>
      <c r="C25" s="223"/>
      <c r="D25" s="1111">
        <f>'Exhibit G State'!D24</f>
        <v>8.6</v>
      </c>
      <c r="E25" s="2800"/>
      <c r="F25" s="2800">
        <f>'Exhibit G State'!F24</f>
        <v>8.6999999999999993</v>
      </c>
      <c r="G25" s="2800"/>
      <c r="H25" s="2800">
        <f>'Exhibit G State'!H24</f>
        <v>9.3000000000000007</v>
      </c>
      <c r="J25" s="2800">
        <f>'Exhibit G State'!J24</f>
        <v>9.5</v>
      </c>
      <c r="L25" s="2800">
        <f>'Exhibit G State'!L24</f>
        <v>9.3000000000000007</v>
      </c>
      <c r="N25" s="2800">
        <f>'Exhibit G State'!N24</f>
        <v>9.9</v>
      </c>
      <c r="P25" s="2800">
        <f>'Exhibit G State'!P24</f>
        <v>9.1</v>
      </c>
      <c r="R25" s="2800">
        <f>'Exhibit G State'!R24</f>
        <v>9.1</v>
      </c>
      <c r="T25" s="2800">
        <f>'Exhibit G State'!T24</f>
        <v>9.8000000000000007</v>
      </c>
      <c r="V25" s="2800">
        <f>'Exhibit G State'!V24</f>
        <v>9.1</v>
      </c>
      <c r="X25" s="2955"/>
      <c r="Z25" s="2955"/>
      <c r="AA25" s="2640"/>
      <c r="AB25" s="2955">
        <v>0</v>
      </c>
      <c r="AC25" s="260"/>
      <c r="AD25" s="249"/>
      <c r="AE25" s="260">
        <f t="shared" si="2"/>
        <v>92.4</v>
      </c>
      <c r="AF25" s="260"/>
      <c r="AG25" s="249"/>
      <c r="AH25" s="1262">
        <f>'Exhibit G State'!AF24</f>
        <v>92.3</v>
      </c>
      <c r="AI25" s="511"/>
      <c r="AJ25" s="248"/>
      <c r="AK25" s="1111">
        <f t="shared" si="0"/>
        <v>0.1</v>
      </c>
      <c r="AL25" s="247"/>
      <c r="AM25" s="1700">
        <f t="shared" si="1"/>
        <v>1E-3</v>
      </c>
    </row>
    <row r="26" spans="1:39" ht="15" customHeight="1">
      <c r="A26" s="223"/>
      <c r="B26" s="1949" t="s">
        <v>1199</v>
      </c>
      <c r="C26" s="223"/>
      <c r="D26" s="1111">
        <f>'Exhibit G State'!D25</f>
        <v>0</v>
      </c>
      <c r="E26" s="2800"/>
      <c r="F26" s="2800">
        <f>'Exhibit G State'!F25</f>
        <v>0</v>
      </c>
      <c r="G26" s="2800"/>
      <c r="H26" s="2800">
        <f>'Exhibit G State'!H25</f>
        <v>0</v>
      </c>
      <c r="J26" s="2800">
        <f>'Exhibit G State'!J25</f>
        <v>0</v>
      </c>
      <c r="L26" s="2800">
        <f>'Exhibit G State'!L25</f>
        <v>0</v>
      </c>
      <c r="N26" s="2800">
        <f>'Exhibit G State'!N25</f>
        <v>0</v>
      </c>
      <c r="P26" s="2800">
        <f>'Exhibit G State'!P25</f>
        <v>0</v>
      </c>
      <c r="R26" s="2800">
        <f>'Exhibit G State'!R25</f>
        <v>0</v>
      </c>
      <c r="T26" s="2800">
        <f>'Exhibit G State'!T25</f>
        <v>0</v>
      </c>
      <c r="V26" s="2800">
        <f>'Exhibit G State'!V25</f>
        <v>0</v>
      </c>
      <c r="X26" s="260"/>
      <c r="Z26" s="260"/>
      <c r="AA26" s="2640"/>
      <c r="AB26" s="2955">
        <v>0</v>
      </c>
      <c r="AC26" s="260"/>
      <c r="AD26" s="249"/>
      <c r="AE26" s="260">
        <f t="shared" si="2"/>
        <v>0</v>
      </c>
      <c r="AF26" s="260"/>
      <c r="AG26" s="249"/>
      <c r="AH26" s="1962">
        <f>'Exhibit G State'!AF25</f>
        <v>0</v>
      </c>
      <c r="AI26" s="511"/>
      <c r="AJ26" s="248"/>
      <c r="AK26" s="1111">
        <f t="shared" si="0"/>
        <v>0</v>
      </c>
      <c r="AL26" s="247"/>
      <c r="AM26" s="1700">
        <f t="shared" si="1"/>
        <v>0</v>
      </c>
    </row>
    <row r="27" spans="1:39" ht="15" customHeight="1">
      <c r="A27" s="223"/>
      <c r="B27" s="1949" t="s">
        <v>1200</v>
      </c>
      <c r="C27" s="223"/>
      <c r="D27" s="1111">
        <f>'Exhibit G State'!D26</f>
        <v>0.1</v>
      </c>
      <c r="E27" s="2800"/>
      <c r="F27" s="2800">
        <f>'Exhibit G State'!F26</f>
        <v>0.2</v>
      </c>
      <c r="G27" s="2800"/>
      <c r="H27" s="2800">
        <f>'Exhibit G State'!H26</f>
        <v>0.2</v>
      </c>
      <c r="J27" s="2800">
        <f>'Exhibit G State'!J26</f>
        <v>0.2</v>
      </c>
      <c r="L27" s="2800">
        <f>'Exhibit G State'!L26</f>
        <v>0.2</v>
      </c>
      <c r="N27" s="2800">
        <f>'Exhibit G State'!N26</f>
        <v>0.2</v>
      </c>
      <c r="P27" s="2800">
        <f>'Exhibit G State'!P26</f>
        <v>0.1</v>
      </c>
      <c r="R27" s="2800">
        <f>'Exhibit G State'!R26</f>
        <v>0.1</v>
      </c>
      <c r="T27" s="2800">
        <f>'Exhibit G State'!T26</f>
        <v>0.1</v>
      </c>
      <c r="V27" s="2800">
        <f>'Exhibit G State'!V26</f>
        <v>0.1</v>
      </c>
      <c r="X27" s="260"/>
      <c r="Z27" s="260"/>
      <c r="AA27" s="2640"/>
      <c r="AB27" s="2955">
        <v>0</v>
      </c>
      <c r="AC27" s="260"/>
      <c r="AD27" s="249"/>
      <c r="AE27" s="260">
        <f t="shared" si="2"/>
        <v>1.5</v>
      </c>
      <c r="AF27" s="260"/>
      <c r="AG27" s="249"/>
      <c r="AH27" s="1962">
        <f>'Exhibit G State'!AF26</f>
        <v>2</v>
      </c>
      <c r="AI27" s="511"/>
      <c r="AJ27" s="248"/>
      <c r="AK27" s="1111">
        <f t="shared" si="0"/>
        <v>-0.5</v>
      </c>
      <c r="AL27" s="247"/>
      <c r="AM27" s="2582">
        <f>ROUND(IF(AH27=0,1,AK27/ABS(AH27)),3)</f>
        <v>-0.25</v>
      </c>
    </row>
    <row r="28" spans="1:39" ht="15" customHeight="1">
      <c r="A28" s="223"/>
      <c r="B28" s="1951" t="s">
        <v>1201</v>
      </c>
      <c r="C28" s="223"/>
      <c r="D28" s="1111">
        <f>'Exhibit G State'!D27</f>
        <v>13.4</v>
      </c>
      <c r="E28" s="2800"/>
      <c r="F28" s="2800">
        <f>'Exhibit G State'!F27</f>
        <v>0.7</v>
      </c>
      <c r="G28" s="2800"/>
      <c r="H28" s="2800">
        <f>'Exhibit G State'!H27</f>
        <v>0.4</v>
      </c>
      <c r="J28" s="2800">
        <f>'Exhibit G State'!J27</f>
        <v>13.1</v>
      </c>
      <c r="L28" s="2800">
        <f>'Exhibit G State'!L27</f>
        <v>0.5</v>
      </c>
      <c r="N28" s="2800">
        <f>'Exhibit G State'!N27</f>
        <v>0.4</v>
      </c>
      <c r="P28" s="2800">
        <f>'Exhibit G State'!P27</f>
        <v>11.4</v>
      </c>
      <c r="R28" s="2800">
        <f>'Exhibit G State'!R27</f>
        <v>1.3</v>
      </c>
      <c r="T28" s="2800">
        <f>'Exhibit G State'!T27</f>
        <v>0.6</v>
      </c>
      <c r="V28" s="2800">
        <f>'Exhibit G State'!V27</f>
        <v>12.8</v>
      </c>
      <c r="X28" s="2955"/>
      <c r="Z28" s="2955"/>
      <c r="AA28" s="2640"/>
      <c r="AB28" s="2955">
        <v>0</v>
      </c>
      <c r="AC28" s="260"/>
      <c r="AD28" s="249"/>
      <c r="AE28" s="260">
        <f>ROUND(SUM(D28:AB28),1)</f>
        <v>54.6</v>
      </c>
      <c r="AF28" s="260"/>
      <c r="AG28" s="249"/>
      <c r="AH28" s="1962">
        <f>'Exhibit G State'!AF27</f>
        <v>63.3</v>
      </c>
      <c r="AI28" s="511"/>
      <c r="AJ28" s="248"/>
      <c r="AK28" s="1111">
        <f t="shared" si="0"/>
        <v>-8.6999999999999993</v>
      </c>
      <c r="AL28" s="247"/>
      <c r="AM28" s="1700">
        <f t="shared" si="1"/>
        <v>-0.13700000000000001</v>
      </c>
    </row>
    <row r="29" spans="1:39" s="410" customFormat="1" ht="15" customHeight="1">
      <c r="A29" s="221"/>
      <c r="B29" s="1950" t="s">
        <v>1328</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ROUND(SUM(P21:P28),1)</f>
        <v>172.3</v>
      </c>
      <c r="Q29"/>
      <c r="R29" s="255">
        <f>ROUND(SUM(R21:R28),1)</f>
        <v>160.1</v>
      </c>
      <c r="S29"/>
      <c r="T29" s="255">
        <f>ROUND(SUM(T21:T28),1)</f>
        <v>178.2</v>
      </c>
      <c r="U29"/>
      <c r="V29" s="255">
        <f>ROUND(SUM(V21:V28),1)</f>
        <v>173.1</v>
      </c>
      <c r="W29"/>
      <c r="X29" s="255">
        <f>ROUND(SUM(X21:X28),1)</f>
        <v>0</v>
      </c>
      <c r="Y29"/>
      <c r="Z29" s="255">
        <f t="shared" si="4"/>
        <v>0</v>
      </c>
      <c r="AA29" s="2801"/>
      <c r="AB29" s="255">
        <f t="shared" si="4"/>
        <v>0</v>
      </c>
      <c r="AC29" s="1719"/>
      <c r="AD29" s="258"/>
      <c r="AE29" s="255">
        <f>ROUND(SUM(AE21:AE28),1)</f>
        <v>1725.9</v>
      </c>
      <c r="AF29" s="1719"/>
      <c r="AG29" s="258"/>
      <c r="AH29" s="255">
        <f>ROUND(SUM(AH21:AH28),1)</f>
        <v>1743.4</v>
      </c>
      <c r="AI29" s="518"/>
      <c r="AJ29" s="272"/>
      <c r="AK29" s="255">
        <f>ROUND(SUM(AK21:AK28),1)</f>
        <v>-17.5</v>
      </c>
      <c r="AM29" s="2531">
        <f>ROUND(SUM(+AK29/AH29),3)</f>
        <v>-0.01</v>
      </c>
    </row>
    <row r="30" spans="1:39" ht="15" customHeight="1">
      <c r="A30" s="223"/>
      <c r="B30" s="2203" t="s">
        <v>1245</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1"/>
      <c r="AM30" s="1764"/>
    </row>
    <row r="31" spans="1:39" ht="15" customHeight="1">
      <c r="A31" s="223"/>
      <c r="B31" s="1949" t="s">
        <v>1203</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f>'Exhibit G State'!P30</f>
        <v>24.9</v>
      </c>
      <c r="R31" s="260">
        <f>'Exhibit G State'!R30</f>
        <v>42.2</v>
      </c>
      <c r="T31" s="260">
        <f>'Exhibit G State'!T30</f>
        <v>142.4</v>
      </c>
      <c r="V31" s="260">
        <f>'Exhibit G State'!V30</f>
        <v>41.2</v>
      </c>
      <c r="X31" s="260"/>
      <c r="Z31" s="260"/>
      <c r="AA31" s="260"/>
      <c r="AB31" s="260">
        <v>0</v>
      </c>
      <c r="AC31" s="260"/>
      <c r="AD31" s="249"/>
      <c r="AE31" s="260">
        <f>ROUND(SUM(D31:AB31),1)</f>
        <v>620.6</v>
      </c>
      <c r="AF31" s="260"/>
      <c r="AG31" s="249"/>
      <c r="AH31" s="1962">
        <f>'Exhibit G State'!AF30</f>
        <v>558</v>
      </c>
      <c r="AI31" s="511"/>
      <c r="AJ31" s="248"/>
      <c r="AK31" s="1111">
        <f>ROUND(SUM(+AE31-AH31),1)</f>
        <v>62.6</v>
      </c>
      <c r="AL31" s="247"/>
      <c r="AM31" s="1700">
        <f>ROUND(IF(AH31=0,0,AK31/ABS(AH31)),3)</f>
        <v>0.112</v>
      </c>
    </row>
    <row r="32" spans="1:39" ht="15" customHeight="1">
      <c r="A32" s="223"/>
      <c r="B32" s="1949" t="s">
        <v>1204</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f>'Exhibit G State'!P31</f>
        <v>0.3</v>
      </c>
      <c r="R32" s="260">
        <f>'Exhibit G State'!R31</f>
        <v>0.5</v>
      </c>
      <c r="T32" s="260">
        <f>'Exhibit G State'!T31</f>
        <v>24.8</v>
      </c>
      <c r="V32" s="260">
        <f>'Exhibit G State'!V31</f>
        <v>5</v>
      </c>
      <c r="X32" s="260"/>
      <c r="Z32" s="260"/>
      <c r="AA32" s="260"/>
      <c r="AB32" s="260">
        <v>0</v>
      </c>
      <c r="AC32" s="260"/>
      <c r="AD32" s="249"/>
      <c r="AE32" s="260">
        <f>ROUND(SUM(D32:AB32),1)</f>
        <v>102.4</v>
      </c>
      <c r="AF32" s="260"/>
      <c r="AG32" s="249"/>
      <c r="AH32" s="1962">
        <f>'Exhibit G State'!AF31</f>
        <v>121.6</v>
      </c>
      <c r="AI32" s="511"/>
      <c r="AJ32" s="248"/>
      <c r="AK32" s="1111">
        <f>ROUND(SUM(+AE32-AH32),1)</f>
        <v>-19.2</v>
      </c>
      <c r="AL32" s="247"/>
      <c r="AM32" s="1700">
        <f>ROUND(IF(AH32=0,0,AK32/ABS(AH32)),3)</f>
        <v>-0.158</v>
      </c>
    </row>
    <row r="33" spans="1:39" ht="15" customHeight="1">
      <c r="A33" s="223"/>
      <c r="B33" s="1949" t="s">
        <v>1205</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f>'Exhibit G State'!P32</f>
        <v>-1.8</v>
      </c>
      <c r="R33" s="260">
        <f>'Exhibit G State'!R32</f>
        <v>1</v>
      </c>
      <c r="T33" s="260">
        <f>'Exhibit G State'!T32</f>
        <v>40.700000000000003</v>
      </c>
      <c r="V33" s="260">
        <f>'Exhibit G State'!V32</f>
        <v>-0.1</v>
      </c>
      <c r="X33" s="260"/>
      <c r="Z33" s="260"/>
      <c r="AA33" s="260"/>
      <c r="AB33" s="260">
        <v>0</v>
      </c>
      <c r="AC33" s="260"/>
      <c r="AD33" s="249"/>
      <c r="AE33" s="260">
        <f>ROUND(SUM(D33:AB33),1)</f>
        <v>111.9</v>
      </c>
      <c r="AF33" s="260"/>
      <c r="AG33" s="249"/>
      <c r="AH33" s="1962">
        <f>'Exhibit G State'!AF32</f>
        <v>118.7</v>
      </c>
      <c r="AI33" s="511"/>
      <c r="AJ33" s="248"/>
      <c r="AK33" s="1111">
        <f>ROUND(SUM(+AE33-AH33),1)</f>
        <v>-6.8</v>
      </c>
      <c r="AL33" s="247"/>
      <c r="AM33" s="2636">
        <f>ROUND(IF(AH33=0,0,AK33/ABS(AH33)),3)</f>
        <v>-5.7000000000000002E-2</v>
      </c>
    </row>
    <row r="34" spans="1:39" ht="15" customHeight="1">
      <c r="A34" s="223"/>
      <c r="B34" s="1949" t="s">
        <v>1206</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f>'Exhibit G State'!P33</f>
        <v>0.4</v>
      </c>
      <c r="R34" s="260">
        <f>'Exhibit G State'!R33</f>
        <v>-4.2</v>
      </c>
      <c r="T34" s="260">
        <f>'Exhibit G State'!T33</f>
        <v>27.4</v>
      </c>
      <c r="V34" s="260">
        <f>'Exhibit G State'!V33</f>
        <v>11.9</v>
      </c>
      <c r="X34" s="260"/>
      <c r="Z34" s="260"/>
      <c r="AA34" s="248"/>
      <c r="AB34" s="248">
        <v>0</v>
      </c>
      <c r="AC34" s="3052"/>
      <c r="AD34" s="249"/>
      <c r="AE34" s="260">
        <f>ROUND(SUM(D34:AB34),1)</f>
        <v>66.5</v>
      </c>
      <c r="AF34" s="260"/>
      <c r="AG34" s="249"/>
      <c r="AH34" s="1962">
        <f>'Exhibit G State'!AF33</f>
        <v>55.1</v>
      </c>
      <c r="AI34" s="511"/>
      <c r="AJ34" s="248"/>
      <c r="AK34" s="1111">
        <f>ROUND(SUM(+AE34-AH34),1)</f>
        <v>11.4</v>
      </c>
      <c r="AL34" s="247"/>
      <c r="AM34" s="2555">
        <f>ROUND(IF(AH34=0,0,AK34/ABS(AH34)),3)</f>
        <v>0.20699999999999999</v>
      </c>
    </row>
    <row r="35" spans="1:39" ht="15" customHeight="1">
      <c r="A35" s="223"/>
      <c r="B35" s="1949" t="s">
        <v>1207</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f>'Exhibit G State'!P34</f>
        <v>40.5</v>
      </c>
      <c r="R35" s="260">
        <f>'Exhibit G State'!R34</f>
        <v>41.2</v>
      </c>
      <c r="T35" s="260">
        <f>'Exhibit G State'!T34</f>
        <v>40.5</v>
      </c>
      <c r="V35" s="260">
        <f>'Exhibit G State'!V34</f>
        <v>41.1</v>
      </c>
      <c r="X35" s="260"/>
      <c r="Z35" s="260"/>
      <c r="AA35" s="248"/>
      <c r="AB35" s="248">
        <v>0</v>
      </c>
      <c r="AC35" s="3052"/>
      <c r="AD35" s="249"/>
      <c r="AE35" s="260">
        <f>ROUND(SUM(D35:AB35),1)</f>
        <v>407.6</v>
      </c>
      <c r="AF35" s="260"/>
      <c r="AG35" s="249"/>
      <c r="AH35" s="1962">
        <f>'Exhibit G State'!AF34</f>
        <v>423.6</v>
      </c>
      <c r="AI35" s="511"/>
      <c r="AJ35" s="248"/>
      <c r="AK35" s="1111">
        <f>ROUND(SUM(+AE35-AH35),1)</f>
        <v>-16</v>
      </c>
      <c r="AL35" s="247"/>
      <c r="AM35" s="1700">
        <f>ROUND(IF(AH35=0,0,AK35/ABS(AH35)),3)</f>
        <v>-3.7999999999999999E-2</v>
      </c>
    </row>
    <row r="36" spans="1:39" s="410" customFormat="1" ht="15" customHeight="1">
      <c r="A36" s="221"/>
      <c r="B36" s="1950" t="s">
        <v>1329</v>
      </c>
      <c r="C36" s="221"/>
      <c r="D36" s="255">
        <f>ROUND(SUM(D31:D35),1)</f>
        <v>135.1</v>
      </c>
      <c r="E36"/>
      <c r="F36" s="255">
        <f t="shared" ref="F36:Z36" si="7">ROUND(SUM(F31:F35),1)</f>
        <v>61.3</v>
      </c>
      <c r="G36"/>
      <c r="H36" s="255">
        <f>ROUND(SUM(H31:H35),1)</f>
        <v>206.1</v>
      </c>
      <c r="I36"/>
      <c r="J36" s="255">
        <f>ROUND(SUM(J31:J35),1)</f>
        <v>75.2</v>
      </c>
      <c r="K36"/>
      <c r="L36" s="255">
        <f t="shared" ref="L36" si="8">ROUND(SUM(L31:L35),1)</f>
        <v>98</v>
      </c>
      <c r="M36"/>
      <c r="N36" s="255">
        <f t="shared" ref="N36" si="9">ROUND(SUM(N31:N35),1)</f>
        <v>213.4</v>
      </c>
      <c r="O36"/>
      <c r="P36" s="255">
        <f>ROUND(SUM(P31:P35),1)</f>
        <v>64.3</v>
      </c>
      <c r="Q36"/>
      <c r="R36" s="255">
        <f>ROUND(SUM(R31:R35),1)</f>
        <v>80.7</v>
      </c>
      <c r="S36"/>
      <c r="T36" s="255">
        <f>ROUND(SUM(T31:T35),1)</f>
        <v>275.8</v>
      </c>
      <c r="U36"/>
      <c r="V36" s="255">
        <f>ROUND(SUM(V31:V35),1)</f>
        <v>99.1</v>
      </c>
      <c r="W36"/>
      <c r="X36" s="255">
        <f>ROUND(SUM(X31:X35),1)</f>
        <v>0</v>
      </c>
      <c r="Y36"/>
      <c r="Z36" s="255">
        <f t="shared" si="7"/>
        <v>0</v>
      </c>
      <c r="AA36" s="2801"/>
      <c r="AB36" s="255">
        <f t="shared" ref="AB36" si="10">ROUND(SUM(AB31:AB35),1)</f>
        <v>0</v>
      </c>
      <c r="AC36" s="3053"/>
      <c r="AD36" s="258"/>
      <c r="AE36" s="255">
        <f>ROUND(SUM(AE31:AE35),1)</f>
        <v>1309</v>
      </c>
      <c r="AF36" s="1719"/>
      <c r="AG36" s="258"/>
      <c r="AH36" s="255">
        <f>ROUND(SUM(AH31:AH35),1)</f>
        <v>1277</v>
      </c>
      <c r="AI36" s="518"/>
      <c r="AJ36" s="272"/>
      <c r="AK36" s="255">
        <f>ROUND(SUM(AK31:AK35),1)</f>
        <v>32</v>
      </c>
      <c r="AM36" s="524">
        <f>ROUND(SUM(+AK36/AH36),3)</f>
        <v>2.5000000000000001E-2</v>
      </c>
    </row>
    <row r="37" spans="1:39" ht="15" customHeight="1">
      <c r="A37" s="223"/>
      <c r="B37" s="2203" t="s">
        <v>1246</v>
      </c>
      <c r="C37" s="223"/>
      <c r="D37" s="260"/>
      <c r="F37" s="260"/>
      <c r="H37" s="260"/>
      <c r="J37" s="260"/>
      <c r="L37" s="260"/>
      <c r="N37" s="260"/>
      <c r="P37" s="260"/>
      <c r="R37" s="260"/>
      <c r="T37" s="260"/>
      <c r="V37" s="260"/>
      <c r="X37" s="260"/>
      <c r="Z37" s="260"/>
      <c r="AA37" s="248"/>
      <c r="AB37" s="260"/>
      <c r="AC37" s="3052"/>
      <c r="AD37" s="249"/>
      <c r="AE37" s="260"/>
      <c r="AF37" s="260"/>
      <c r="AG37" s="249"/>
      <c r="AH37" s="260"/>
      <c r="AI37" s="511"/>
      <c r="AJ37" s="248"/>
      <c r="AK37" s="1111"/>
      <c r="AM37" s="1764"/>
    </row>
    <row r="38" spans="1:39" ht="15" customHeight="1">
      <c r="A38" s="223"/>
      <c r="B38" s="1951" t="s">
        <v>1215</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f>'Exhibit G State'!P37</f>
        <v>118</v>
      </c>
      <c r="R38" s="260">
        <f>'Exhibit G State'!R37</f>
        <v>90.6</v>
      </c>
      <c r="T38" s="260">
        <f>'Exhibit G State'!T37</f>
        <v>117.5</v>
      </c>
      <c r="V38" s="260">
        <f>'Exhibit G State'!V37</f>
        <v>203.6</v>
      </c>
      <c r="X38" s="260"/>
      <c r="Z38" s="260"/>
      <c r="AA38" s="260"/>
      <c r="AB38" s="260">
        <v>0</v>
      </c>
      <c r="AC38" s="260"/>
      <c r="AD38" s="249"/>
      <c r="AE38" s="260">
        <f>ROUND(SUM(D38:AB38),1)</f>
        <v>1166.2</v>
      </c>
      <c r="AF38" s="260"/>
      <c r="AG38" s="249"/>
      <c r="AH38" s="1962">
        <f>'Exhibit G State'!AF37</f>
        <v>1105.0999999999999</v>
      </c>
      <c r="AI38" s="511"/>
      <c r="AJ38" s="248"/>
      <c r="AK38" s="1111">
        <f>ROUND(SUM(+AE38-AH38),1)</f>
        <v>61.1</v>
      </c>
      <c r="AL38" s="247"/>
      <c r="AM38" s="1700">
        <f>ROUND(IF(AH38=0,0,AK38/ABS(AH38)),3)</f>
        <v>5.5E-2</v>
      </c>
    </row>
    <row r="39" spans="1:39" s="410" customFormat="1" ht="15" customHeight="1">
      <c r="A39" s="221"/>
      <c r="B39" s="1950" t="s">
        <v>1330</v>
      </c>
      <c r="C39" s="221"/>
      <c r="D39" s="480">
        <f>ROUND(SUM(D38:D38),1)</f>
        <v>120.2</v>
      </c>
      <c r="E39"/>
      <c r="F39" s="480">
        <f t="shared" ref="F39" si="11">ROUND(SUM(F38:F38),1)</f>
        <v>106.9</v>
      </c>
      <c r="G39"/>
      <c r="H39" s="480">
        <f>ROUND(SUM(H38:H38),1)</f>
        <v>106.2</v>
      </c>
      <c r="I39"/>
      <c r="J39" s="480">
        <f>ROUND(SUM(J38:J38),1)</f>
        <v>98.2</v>
      </c>
      <c r="K39"/>
      <c r="L39" s="480">
        <f t="shared" ref="L39" si="12">ROUND(SUM(L38:L38),1)</f>
        <v>105.7</v>
      </c>
      <c r="M39"/>
      <c r="N39" s="480">
        <f t="shared" ref="N39" si="13">ROUND(SUM(N38:N38),1)</f>
        <v>99.3</v>
      </c>
      <c r="O39"/>
      <c r="P39" s="480">
        <f>ROUND(SUM(P38:P38),1)</f>
        <v>118</v>
      </c>
      <c r="Q39"/>
      <c r="R39" s="480">
        <f>ROUND(SUM(R38:R38),1)</f>
        <v>90.6</v>
      </c>
      <c r="S39"/>
      <c r="T39" s="480">
        <f>ROUND(SUM(T38:T38),1)</f>
        <v>117.5</v>
      </c>
      <c r="U39"/>
      <c r="V39" s="480">
        <f>ROUND(SUM(V38:V38),1)</f>
        <v>203.6</v>
      </c>
      <c r="W39"/>
      <c r="X39" s="480">
        <f>ROUND(SUM(X38:X38),1)</f>
        <v>0</v>
      </c>
      <c r="Y39"/>
      <c r="Z39" s="480">
        <f>ROUND(SUM(Z38:Z38),1)</f>
        <v>0</v>
      </c>
      <c r="AA39" s="2801"/>
      <c r="AB39" s="480">
        <f>ROUND(SUM(AB38:AB38),1)</f>
        <v>0</v>
      </c>
      <c r="AC39" s="1719"/>
      <c r="AD39" s="258"/>
      <c r="AE39" s="480">
        <f>ROUND(SUM(AE38:AE38),1)</f>
        <v>1166.2</v>
      </c>
      <c r="AF39" s="1719"/>
      <c r="AG39" s="258"/>
      <c r="AH39" s="480">
        <f>ROUND(SUM(AH38:AH38),1)</f>
        <v>1105.0999999999999</v>
      </c>
      <c r="AI39" s="518"/>
      <c r="AJ39" s="272"/>
      <c r="AK39" s="480">
        <f>ROUND(SUM(AK38:AK38),1)</f>
        <v>61.1</v>
      </c>
      <c r="AM39" s="1933">
        <f>ROUND(SUM(+AK39/AH39),3)</f>
        <v>5.5E-2</v>
      </c>
    </row>
    <row r="40" spans="1:39" ht="15" customHeight="1">
      <c r="A40" s="223"/>
      <c r="B40" s="1964"/>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40"/>
      <c r="AL40" s="229"/>
      <c r="AM40" s="1204"/>
    </row>
    <row r="41" spans="1:39" ht="15" customHeight="1">
      <c r="A41" s="223"/>
      <c r="B41" s="1950" t="s">
        <v>1331</v>
      </c>
      <c r="C41" s="223"/>
      <c r="D41" s="2172">
        <f>ROUND(SUM(D18+D29+D36+D39),1)</f>
        <v>437.8</v>
      </c>
      <c r="F41" s="2172">
        <f t="shared" ref="F41" si="14">ROUND(SUM(F18+F29+F36+F39),1)</f>
        <v>325.60000000000002</v>
      </c>
      <c r="H41" s="2172">
        <f>ROUND(SUM(H18+H29+H36+H39),1)</f>
        <v>553.20000000000005</v>
      </c>
      <c r="J41" s="2172">
        <f>ROUND(SUM(J18+J29+J36+J39),1)</f>
        <v>344.6</v>
      </c>
      <c r="L41" s="2172">
        <f t="shared" ref="L41" si="15">ROUND(SUM(L18+L29+L36+L39),1)</f>
        <v>372.6</v>
      </c>
      <c r="N41" s="2172">
        <f t="shared" ref="N41" si="16">ROUND(SUM(N18+N29+N36+N39),1)</f>
        <v>491.6</v>
      </c>
      <c r="P41" s="2172">
        <f>ROUND(SUM(P18+P29+P36+P39),1)</f>
        <v>359.6</v>
      </c>
      <c r="R41" s="2172">
        <f>ROUND(SUM(R18+R29+R36+R39),1)</f>
        <v>343</v>
      </c>
      <c r="T41" s="2172">
        <f>ROUND(SUM(T18+T29+T36+T39),1)</f>
        <v>659.5</v>
      </c>
      <c r="V41" s="2172">
        <f>ROUND(SUM(V18+V29+V36+V39),1)</f>
        <v>2889.3</v>
      </c>
      <c r="X41" s="2172">
        <f>ROUND(SUM(X18+X29+X36+X39),1)</f>
        <v>0</v>
      </c>
      <c r="Z41" s="270">
        <f>ROUND(SUM(Z18+Z29+Z36+Z39),1)</f>
        <v>0</v>
      </c>
      <c r="AA41" s="2801"/>
      <c r="AB41" s="270">
        <f>ROUND(SUM(AB18+AB29+AB36+AB39),1)</f>
        <v>0</v>
      </c>
      <c r="AC41" s="260"/>
      <c r="AD41" s="249"/>
      <c r="AE41" s="270">
        <f>ROUND(SUM(AE18+AE29+AE36+AE39),1)</f>
        <v>6776.8</v>
      </c>
      <c r="AF41" s="260"/>
      <c r="AG41" s="249"/>
      <c r="AH41" s="270">
        <f>ROUND(SUM(AH18+AH29+AH36+AH39),1)</f>
        <v>7021.4</v>
      </c>
      <c r="AI41" s="511"/>
      <c r="AJ41" s="248"/>
      <c r="AK41" s="270">
        <f>ROUND(SUM(AK18+AK29+AK36+AK39),1)</f>
        <v>-244.6</v>
      </c>
      <c r="AM41" s="521">
        <f>ROUND(SUM(+AK41/AH41),3)</f>
        <v>-3.5000000000000003E-2</v>
      </c>
    </row>
    <row r="42" spans="1:39" ht="15" customHeight="1">
      <c r="A42" s="223"/>
      <c r="B42" s="223"/>
      <c r="C42" s="223"/>
      <c r="D42" s="1262"/>
      <c r="F42" s="1262"/>
      <c r="H42" s="1262"/>
      <c r="J42" s="1262"/>
      <c r="L42" s="1262"/>
      <c r="N42" s="1262"/>
      <c r="P42" s="1262"/>
      <c r="R42" s="1262"/>
      <c r="T42" s="1262"/>
      <c r="V42" s="1262"/>
      <c r="X42" s="273"/>
      <c r="Z42" s="514"/>
      <c r="AA42" s="514"/>
      <c r="AB42" s="514"/>
      <c r="AC42" s="260"/>
      <c r="AD42" s="249"/>
      <c r="AE42" s="260"/>
      <c r="AF42" s="260"/>
      <c r="AG42" s="249"/>
      <c r="AH42" s="512"/>
      <c r="AI42" s="515"/>
      <c r="AJ42" s="248"/>
      <c r="AK42" s="1111"/>
      <c r="AL42" s="247"/>
      <c r="AM42" s="1764"/>
    </row>
    <row r="43" spans="1:39" ht="15" customHeight="1">
      <c r="A43" s="223"/>
      <c r="B43" s="486" t="s">
        <v>1128</v>
      </c>
      <c r="C43" s="223"/>
      <c r="D43" s="1262"/>
      <c r="F43" s="1262"/>
      <c r="H43" s="1262"/>
      <c r="J43" s="1262"/>
      <c r="L43" s="1262"/>
      <c r="N43" s="1262"/>
      <c r="P43" s="1262"/>
      <c r="R43" s="1262"/>
      <c r="T43" s="1262"/>
      <c r="V43" s="1262"/>
      <c r="X43" s="273"/>
      <c r="Z43" s="514"/>
      <c r="AA43" s="514"/>
      <c r="AB43" s="514"/>
      <c r="AC43" s="260"/>
      <c r="AD43" s="249"/>
      <c r="AE43" s="260"/>
      <c r="AF43" s="260"/>
      <c r="AG43" s="249"/>
      <c r="AH43" s="512"/>
      <c r="AI43" s="515"/>
      <c r="AJ43" s="248"/>
      <c r="AK43" s="1111"/>
      <c r="AL43" s="247"/>
      <c r="AM43" s="1764"/>
    </row>
    <row r="44" spans="1:39" ht="15" customHeight="1">
      <c r="A44" s="223"/>
      <c r="B44" s="1669" t="s">
        <v>1237</v>
      </c>
      <c r="C44" s="223"/>
      <c r="D44" s="1262"/>
      <c r="F44" s="1262"/>
      <c r="H44" s="1262"/>
      <c r="J44" s="1262"/>
      <c r="L44" s="1262"/>
      <c r="N44" s="1262"/>
      <c r="P44" s="1262"/>
      <c r="R44" s="1262"/>
      <c r="T44" s="1262"/>
      <c r="V44" s="1262"/>
      <c r="X44" s="273"/>
      <c r="Z44" s="514"/>
      <c r="AA44" s="514"/>
      <c r="AB44" s="514"/>
      <c r="AC44" s="260"/>
      <c r="AD44" s="249"/>
      <c r="AE44" s="260"/>
      <c r="AF44" s="260"/>
      <c r="AG44" s="249"/>
      <c r="AH44" s="512"/>
      <c r="AI44" s="515"/>
      <c r="AJ44" s="248"/>
      <c r="AK44" s="1111"/>
      <c r="AL44" s="247"/>
      <c r="AM44" s="1764"/>
    </row>
    <row r="45" spans="1:39" ht="15" customHeight="1">
      <c r="A45" s="223"/>
      <c r="B45" s="1669" t="s">
        <v>1145</v>
      </c>
      <c r="C45" s="223"/>
      <c r="D45" s="1262">
        <f>'Exhibit G State'!D44+'Exhibit G Federal'!D18</f>
        <v>0.7</v>
      </c>
      <c r="E45" s="1262"/>
      <c r="F45" s="1262">
        <f>'Exhibit G State'!F44+'Exhibit G Federal'!F18</f>
        <v>1.3</v>
      </c>
      <c r="G45" s="1262"/>
      <c r="H45" s="1262">
        <f>'Exhibit G State'!H44+'Exhibit G Federal'!H18</f>
        <v>0.8</v>
      </c>
      <c r="J45" s="1262">
        <f>'Exhibit G State'!J44+'Exhibit G Federal'!J18</f>
        <v>0.9</v>
      </c>
      <c r="L45" s="1262">
        <f>'Exhibit G State'!L44+'Exhibit G Federal'!L18</f>
        <v>0.8</v>
      </c>
      <c r="N45" s="1262">
        <f>'Exhibit G State'!N44+'Exhibit G Federal'!N18</f>
        <v>0.8</v>
      </c>
      <c r="P45" s="1262">
        <f>'Exhibit G State'!P44+'Exhibit G Federal'!P18</f>
        <v>0.9</v>
      </c>
      <c r="R45" s="1262">
        <f>'Exhibit G State'!R44+'Exhibit G Federal'!R18</f>
        <v>1.1000000000000001</v>
      </c>
      <c r="T45" s="1262">
        <f>'Exhibit G State'!T44+'Exhibit G Federal'!T18</f>
        <v>0.8</v>
      </c>
      <c r="V45" s="1262">
        <f>'Exhibit G State'!V44+'Exhibit G Federal'!V18</f>
        <v>0.8</v>
      </c>
      <c r="X45" s="1262"/>
      <c r="Z45" s="1262"/>
      <c r="AA45" s="1962"/>
      <c r="AB45" s="1962">
        <v>0</v>
      </c>
      <c r="AC45" s="260"/>
      <c r="AD45" s="249"/>
      <c r="AE45" s="260">
        <f>ROUND(SUM(D45:AB45),1)</f>
        <v>8.9</v>
      </c>
      <c r="AF45" s="260"/>
      <c r="AG45" s="249"/>
      <c r="AH45" s="512">
        <f>+'Exhibit G State'!AF44+'Exhibit G Federal'!AF18</f>
        <v>8.5</v>
      </c>
      <c r="AI45" s="515"/>
      <c r="AJ45" s="248"/>
      <c r="AK45" s="1111">
        <f>ROUND(SUM(+AE45-AH45),1)</f>
        <v>0.4</v>
      </c>
      <c r="AL45" s="247"/>
      <c r="AM45" s="1700">
        <f>ROUND(IF(AH45=0,0,AK45/ABS(AH45)),3)</f>
        <v>4.7E-2</v>
      </c>
    </row>
    <row r="46" spans="1:39" ht="15" customHeight="1">
      <c r="A46" s="223"/>
      <c r="B46" s="1669" t="s">
        <v>1238</v>
      </c>
      <c r="C46" s="223"/>
      <c r="D46" s="1272"/>
      <c r="F46" s="1272"/>
      <c r="H46" s="1272"/>
      <c r="J46" s="1272"/>
      <c r="L46" s="1272"/>
      <c r="N46" s="1272"/>
      <c r="P46" s="1262"/>
      <c r="R46" s="1262"/>
      <c r="T46" s="1262"/>
      <c r="V46" s="1262"/>
      <c r="X46" s="1262"/>
      <c r="Z46" s="1262"/>
      <c r="AA46" s="1962"/>
      <c r="AB46" s="1962"/>
      <c r="AC46" s="260"/>
      <c r="AD46" s="249"/>
      <c r="AE46" s="260"/>
      <c r="AF46" s="260"/>
      <c r="AG46" s="249"/>
      <c r="AH46" s="512"/>
      <c r="AI46" s="515"/>
      <c r="AJ46" s="248"/>
      <c r="AK46" s="1111"/>
      <c r="AL46" s="247"/>
      <c r="AM46" s="1764"/>
    </row>
    <row r="47" spans="1:39" ht="15" customHeight="1">
      <c r="A47" s="223"/>
      <c r="B47" s="1669" t="s">
        <v>1147</v>
      </c>
      <c r="C47" s="223"/>
      <c r="D47" s="1272">
        <f>'Exhibit G State'!D46+'Exhibit G Federal'!D20</f>
        <v>18.100000000000001</v>
      </c>
      <c r="E47" s="1272"/>
      <c r="F47" s="1272">
        <f>'Exhibit G State'!F46+'Exhibit G Federal'!F20</f>
        <v>64.400000000000006</v>
      </c>
      <c r="G47" s="1272"/>
      <c r="H47" s="1272">
        <f>'Exhibit G State'!H46+'Exhibit G Federal'!H20</f>
        <v>84.600000000000009</v>
      </c>
      <c r="J47" s="1272">
        <f>'Exhibit G State'!J46+'Exhibit G Federal'!J20</f>
        <v>12.9</v>
      </c>
      <c r="L47" s="1272">
        <f>'Exhibit G State'!L46+'Exhibit G Federal'!L20</f>
        <v>62.7</v>
      </c>
      <c r="N47" s="1272">
        <f>'Exhibit G State'!N46+'Exhibit G Federal'!N20</f>
        <v>108.6</v>
      </c>
      <c r="P47" s="1262">
        <f>'Exhibit G State'!P46+'Exhibit G Federal'!P20</f>
        <v>8.3000000000000007</v>
      </c>
      <c r="R47" s="1262">
        <f>'Exhibit G State'!R46+'Exhibit G Federal'!R20</f>
        <v>13.3</v>
      </c>
      <c r="T47" s="1262">
        <f>'Exhibit G State'!T46+'Exhibit G Federal'!T20</f>
        <v>185</v>
      </c>
      <c r="V47" s="1262">
        <f>'Exhibit G State'!V46+'Exhibit G Federal'!V20</f>
        <v>48</v>
      </c>
      <c r="X47" s="1262"/>
      <c r="Z47" s="1262"/>
      <c r="AA47" s="1962"/>
      <c r="AB47" s="1962">
        <v>0</v>
      </c>
      <c r="AC47" s="260"/>
      <c r="AD47" s="249"/>
      <c r="AE47" s="260">
        <f>ROUND(SUM(D47:AB47),1)</f>
        <v>605.9</v>
      </c>
      <c r="AF47" s="260"/>
      <c r="AG47" s="249"/>
      <c r="AH47" s="512">
        <f>+'Exhibit G State'!AF46+'Exhibit G Federal'!AF20</f>
        <v>533.80000000000007</v>
      </c>
      <c r="AI47" s="515"/>
      <c r="AJ47" s="248"/>
      <c r="AK47" s="1111">
        <f>ROUND(SUM(+AE47-AH47),1)</f>
        <v>72.099999999999994</v>
      </c>
      <c r="AL47" s="247"/>
      <c r="AM47" s="1700">
        <f>ROUND(IF(AH47=0,0,AK47/ABS(AH47)),3)</f>
        <v>0.13500000000000001</v>
      </c>
    </row>
    <row r="48" spans="1:39" ht="15" customHeight="1">
      <c r="A48" s="223"/>
      <c r="B48" s="1669" t="s">
        <v>1148</v>
      </c>
      <c r="C48" s="223"/>
      <c r="D48" s="1272">
        <f>'Exhibit G State'!D47+'Exhibit G Federal'!D21</f>
        <v>460.4</v>
      </c>
      <c r="E48" s="1272"/>
      <c r="F48" s="1272">
        <f>'Exhibit G State'!F47+'Exhibit G Federal'!F21</f>
        <v>457.9</v>
      </c>
      <c r="G48" s="1272"/>
      <c r="H48" s="1272">
        <f>'Exhibit G State'!H47+'Exhibit G Federal'!H21</f>
        <v>453.1</v>
      </c>
      <c r="J48" s="1272">
        <f>'Exhibit G State'!J47+'Exhibit G Federal'!J21</f>
        <v>538.20000000000005</v>
      </c>
      <c r="L48" s="1272">
        <f>'Exhibit G State'!L47+'Exhibit G Federal'!L21</f>
        <v>500.8</v>
      </c>
      <c r="N48" s="1272">
        <f>'Exhibit G State'!N47+'Exhibit G Federal'!N21</f>
        <v>475.5</v>
      </c>
      <c r="P48" s="1262">
        <f>'Exhibit G State'!P47+'Exhibit G Federal'!P21</f>
        <v>500.9</v>
      </c>
      <c r="R48" s="1262">
        <f>'Exhibit G State'!R47+'Exhibit G Federal'!R21</f>
        <v>466.7</v>
      </c>
      <c r="T48" s="1262">
        <f>'Exhibit G State'!T47+'Exhibit G Federal'!T21</f>
        <v>528</v>
      </c>
      <c r="V48" s="1262">
        <f>'Exhibit G State'!V47+'Exhibit G Federal'!V21</f>
        <v>487.6</v>
      </c>
      <c r="X48" s="1262"/>
      <c r="Z48" s="1262"/>
      <c r="AA48" s="1962"/>
      <c r="AB48" s="1962">
        <v>0</v>
      </c>
      <c r="AC48" s="260"/>
      <c r="AD48" s="249"/>
      <c r="AE48" s="260">
        <f t="shared" ref="AE48:AE50" si="17">ROUND(SUM(D48:AB48),1)</f>
        <v>4869.1000000000004</v>
      </c>
      <c r="AF48" s="260"/>
      <c r="AG48" s="249"/>
      <c r="AH48" s="512">
        <f>+'Exhibit G State'!AF47+'Exhibit G Federal'!AF21</f>
        <v>4592.3999999999996</v>
      </c>
      <c r="AI48" s="515"/>
      <c r="AJ48" s="248"/>
      <c r="AK48" s="1111">
        <f>ROUND(SUM(+AE48-AH48),1)</f>
        <v>276.7</v>
      </c>
      <c r="AL48" s="247"/>
      <c r="AM48" s="1700">
        <f>ROUND(IF(AH48=0,0,AK48/ABS(AH48)),3)</f>
        <v>0.06</v>
      </c>
    </row>
    <row r="49" spans="1:39" ht="15" customHeight="1">
      <c r="A49" s="223"/>
      <c r="B49" s="1669" t="s">
        <v>1149</v>
      </c>
      <c r="C49" s="223"/>
      <c r="D49" s="1272">
        <f>'Exhibit G State'!D48+'Exhibit G Federal'!D22</f>
        <v>1.4</v>
      </c>
      <c r="E49" s="1272"/>
      <c r="F49" s="1272">
        <f>'Exhibit G State'!F48+'Exhibit G Federal'!F22</f>
        <v>0</v>
      </c>
      <c r="G49" s="1272"/>
      <c r="H49" s="1272">
        <f>'Exhibit G State'!H48+'Exhibit G Federal'!H22</f>
        <v>0.7</v>
      </c>
      <c r="J49" s="1272">
        <f>'Exhibit G State'!J48+'Exhibit G Federal'!J22</f>
        <v>0.1</v>
      </c>
      <c r="L49" s="1272">
        <f>'Exhibit G State'!L48+'Exhibit G Federal'!L22</f>
        <v>0.4</v>
      </c>
      <c r="N49" s="1272">
        <f>'Exhibit G State'!N48+'Exhibit G Federal'!N22</f>
        <v>45.9</v>
      </c>
      <c r="P49" s="1262">
        <f>'Exhibit G State'!P48+'Exhibit G Federal'!P22</f>
        <v>-9.6</v>
      </c>
      <c r="R49" s="1262">
        <f>'Exhibit G State'!R48+'Exhibit G Federal'!R22</f>
        <v>0.3</v>
      </c>
      <c r="T49" s="1262">
        <f>'Exhibit G State'!T48+'Exhibit G Federal'!T22</f>
        <v>0.6</v>
      </c>
      <c r="V49" s="1262">
        <f>'Exhibit G State'!V48+'Exhibit G Federal'!V22</f>
        <v>0</v>
      </c>
      <c r="X49" s="1272"/>
      <c r="Z49" s="1272"/>
      <c r="AA49" s="1962"/>
      <c r="AB49" s="1962">
        <v>0</v>
      </c>
      <c r="AC49" s="260"/>
      <c r="AD49" s="249"/>
      <c r="AE49" s="260">
        <f t="shared" si="17"/>
        <v>39.799999999999997</v>
      </c>
      <c r="AF49" s="260"/>
      <c r="AG49" s="249"/>
      <c r="AH49" s="512">
        <f>+'Exhibit G State'!AF48+'Exhibit G Federal'!AF22</f>
        <v>34.5</v>
      </c>
      <c r="AI49" s="515"/>
      <c r="AJ49" s="248"/>
      <c r="AK49" s="1111">
        <f>ROUND(SUM(+AE49-AH49),1)</f>
        <v>5.3</v>
      </c>
      <c r="AL49" s="247"/>
      <c r="AM49" s="1700">
        <f>ROUND(IF(AH49=0,0,AK49/ABS(AH49)),3)</f>
        <v>0.154</v>
      </c>
    </row>
    <row r="50" spans="1:39" ht="15" customHeight="1">
      <c r="A50" s="223"/>
      <c r="B50" s="1669" t="s">
        <v>1150</v>
      </c>
      <c r="C50" s="223"/>
      <c r="D50" s="1272">
        <f>'Exhibit G State'!D49+'Exhibit G Federal'!D23</f>
        <v>0.9</v>
      </c>
      <c r="E50" s="1272"/>
      <c r="F50" s="1272">
        <f>'Exhibit G State'!F49+'Exhibit G Federal'!F23</f>
        <v>-0.2</v>
      </c>
      <c r="G50" s="1272"/>
      <c r="H50" s="1272">
        <f>'Exhibit G State'!H49+'Exhibit G Federal'!H23</f>
        <v>1.2</v>
      </c>
      <c r="J50" s="1272">
        <f>'Exhibit G State'!J49+'Exhibit G Federal'!J23</f>
        <v>5.7</v>
      </c>
      <c r="L50" s="1272">
        <f>'Exhibit G State'!L49+'Exhibit G Federal'!L23</f>
        <v>0</v>
      </c>
      <c r="N50" s="1272">
        <f>'Exhibit G State'!N49+'Exhibit G Federal'!N23</f>
        <v>0.1</v>
      </c>
      <c r="P50" s="1262">
        <f>'Exhibit G State'!P49+'Exhibit G Federal'!P23</f>
        <v>-5.6</v>
      </c>
      <c r="R50" s="1262">
        <f>'Exhibit G State'!R49+'Exhibit G Federal'!R23</f>
        <v>0</v>
      </c>
      <c r="T50" s="1262">
        <f>'Exhibit G State'!T49+'Exhibit G Federal'!T23</f>
        <v>-0.7</v>
      </c>
      <c r="V50" s="1262">
        <f>'Exhibit G State'!V49+'Exhibit G Federal'!V23</f>
        <v>-7.3</v>
      </c>
      <c r="X50" s="1262"/>
      <c r="Z50" s="1262"/>
      <c r="AA50" s="1962"/>
      <c r="AB50" s="1962">
        <v>0</v>
      </c>
      <c r="AC50" s="260"/>
      <c r="AD50" s="249"/>
      <c r="AE50" s="260">
        <f t="shared" si="17"/>
        <v>-5.9</v>
      </c>
      <c r="AF50" s="260"/>
      <c r="AG50" s="249"/>
      <c r="AH50" s="512">
        <f>+'Exhibit G State'!AF49+'Exhibit G Federal'!AF23</f>
        <v>173.9</v>
      </c>
      <c r="AI50" s="515"/>
      <c r="AJ50" s="248"/>
      <c r="AK50" s="1111">
        <f>ROUND(SUM(+AE50-AH50),1)</f>
        <v>-179.8</v>
      </c>
      <c r="AL50" s="247"/>
      <c r="AM50" s="1700">
        <f>ROUND(IF(AH50=0,0,AK50/ABS(AH50)),3)</f>
        <v>-1.034</v>
      </c>
    </row>
    <row r="51" spans="1:39" ht="15" customHeight="1">
      <c r="A51" s="223"/>
      <c r="B51" s="1669" t="s">
        <v>1242</v>
      </c>
      <c r="C51" s="223"/>
      <c r="D51" s="1272"/>
      <c r="F51" s="1272"/>
      <c r="H51" s="1272"/>
      <c r="J51" s="1272"/>
      <c r="L51" s="1272"/>
      <c r="N51" s="1272"/>
      <c r="P51" s="1262"/>
      <c r="R51" s="1262"/>
      <c r="T51" s="1262"/>
      <c r="V51" s="1262"/>
      <c r="X51" s="1262"/>
      <c r="Z51" s="1262"/>
      <c r="AA51" s="1962"/>
      <c r="AB51" s="1962"/>
      <c r="AC51" s="260"/>
      <c r="AD51" s="249"/>
      <c r="AE51" s="260"/>
      <c r="AF51" s="260"/>
      <c r="AG51" s="249"/>
      <c r="AH51" s="512"/>
      <c r="AI51" s="515"/>
      <c r="AJ51" s="248"/>
      <c r="AK51" s="1111"/>
      <c r="AL51" s="247"/>
      <c r="AM51" s="1764"/>
    </row>
    <row r="52" spans="1:39" ht="15" customHeight="1">
      <c r="A52" s="223"/>
      <c r="B52" s="1669" t="s">
        <v>1353</v>
      </c>
      <c r="C52" s="223"/>
      <c r="D52" s="1272">
        <f>'Exhibit G State'!D51</f>
        <v>0</v>
      </c>
      <c r="E52" s="1272"/>
      <c r="F52" s="1272">
        <f>'Exhibit G State'!F51</f>
        <v>0.8</v>
      </c>
      <c r="G52" s="1272"/>
      <c r="H52" s="1272">
        <f>'Exhibit G State'!H51</f>
        <v>1.1000000000000001</v>
      </c>
      <c r="J52" s="1272">
        <f>'Exhibit G State'!J51</f>
        <v>0</v>
      </c>
      <c r="L52" s="1272">
        <f>'Exhibit G State'!L51</f>
        <v>0.1</v>
      </c>
      <c r="N52" s="1272">
        <f>'Exhibit G State'!N51</f>
        <v>0</v>
      </c>
      <c r="P52" s="1262">
        <f>'Exhibit G State'!P51</f>
        <v>0</v>
      </c>
      <c r="R52" s="1262">
        <f>'Exhibit G State'!R51</f>
        <v>0</v>
      </c>
      <c r="T52" s="1262">
        <f>'Exhibit G State'!T51</f>
        <v>0</v>
      </c>
      <c r="V52" s="1262">
        <f>'Exhibit G State'!V51</f>
        <v>0</v>
      </c>
      <c r="X52" s="1262"/>
      <c r="Z52" s="1262"/>
      <c r="AA52" s="1962"/>
      <c r="AB52" s="1962">
        <v>0</v>
      </c>
      <c r="AC52" s="260"/>
      <c r="AD52" s="249"/>
      <c r="AE52" s="260">
        <f>ROUND(SUM(D52:AB52),1)</f>
        <v>2</v>
      </c>
      <c r="AF52" s="260"/>
      <c r="AG52" s="249"/>
      <c r="AH52" s="512">
        <f>+'Exhibit G State'!AF51</f>
        <v>2.2000000000000002</v>
      </c>
      <c r="AI52" s="515"/>
      <c r="AJ52" s="248"/>
      <c r="AK52" s="2800">
        <f>ROUND(SUM(+AE52-AH52),1)</f>
        <v>-0.2</v>
      </c>
      <c r="AL52" s="247"/>
      <c r="AM52" s="2582">
        <f>ROUND(IF(AH52=0,0,AK52/ABS(AH52)),3)</f>
        <v>-9.0999999999999998E-2</v>
      </c>
    </row>
    <row r="53" spans="1:39" ht="15" customHeight="1">
      <c r="A53" s="223"/>
      <c r="B53" s="1669" t="s">
        <v>1151</v>
      </c>
      <c r="C53" s="223"/>
      <c r="D53" s="1272">
        <f>'Exhibit G State'!D52+'Exhibit G Federal'!D25</f>
        <v>46.3</v>
      </c>
      <c r="E53" s="1272"/>
      <c r="F53" s="1272">
        <f>'Exhibit G State'!F52+'Exhibit G Federal'!F25</f>
        <v>32.799999999999997</v>
      </c>
      <c r="G53" s="1272"/>
      <c r="H53" s="1272">
        <f>'Exhibit G State'!H52+'Exhibit G Federal'!H25</f>
        <v>83.8</v>
      </c>
      <c r="J53" s="1272">
        <f>'Exhibit G State'!J52+'Exhibit G Federal'!J25</f>
        <v>41.1</v>
      </c>
      <c r="L53" s="1272">
        <f>'Exhibit G State'!L52+'Exhibit G Federal'!L25</f>
        <v>43.4</v>
      </c>
      <c r="N53" s="1272">
        <f>'Exhibit G State'!N52+'Exhibit G Federal'!N25</f>
        <v>75.099999999999994</v>
      </c>
      <c r="P53" s="1272">
        <f>'Exhibit G State'!P52+'Exhibit G Federal'!P25</f>
        <v>51.3</v>
      </c>
      <c r="R53" s="1272">
        <f>'Exhibit G State'!R52+'Exhibit G Federal'!R25</f>
        <v>53.8</v>
      </c>
      <c r="T53" s="1272">
        <f>'Exhibit G State'!T52+'Exhibit G Federal'!T25</f>
        <v>63.3</v>
      </c>
      <c r="V53" s="1272">
        <f>'Exhibit G State'!V52+'Exhibit G Federal'!V25</f>
        <v>40.9</v>
      </c>
      <c r="X53" s="1262"/>
      <c r="Z53" s="1262"/>
      <c r="AA53" s="1962"/>
      <c r="AB53" s="1962">
        <v>0</v>
      </c>
      <c r="AC53" s="260"/>
      <c r="AD53" s="249"/>
      <c r="AE53" s="260">
        <f t="shared" ref="AE53:AE58" si="18">ROUND(SUM(D53:AB53),1)</f>
        <v>531.79999999999995</v>
      </c>
      <c r="AF53" s="260"/>
      <c r="AG53" s="249"/>
      <c r="AH53" s="512">
        <f>+'Exhibit G State'!AF52+'Exhibit G Federal'!AF25</f>
        <v>553.5</v>
      </c>
      <c r="AI53" s="515"/>
      <c r="AJ53" s="248"/>
      <c r="AK53" s="1111">
        <f t="shared" ref="AK53:AK58" si="19">ROUND(SUM(+AE53-AH53),1)</f>
        <v>-21.7</v>
      </c>
      <c r="AL53" s="247"/>
      <c r="AM53" s="1700">
        <f t="shared" ref="AM53:AM58" si="20">ROUND(IF(AH53=0,0,AK53/ABS(AH53)),3)</f>
        <v>-3.9E-2</v>
      </c>
    </row>
    <row r="54" spans="1:39" ht="15" customHeight="1">
      <c r="A54" s="223"/>
      <c r="B54" s="1669" t="s">
        <v>1152</v>
      </c>
      <c r="C54" s="223"/>
      <c r="D54" s="1272">
        <f>'Exhibit G State'!D53+'Exhibit G Federal'!D26</f>
        <v>4.9000000000000004</v>
      </c>
      <c r="E54" s="1272"/>
      <c r="F54" s="1272">
        <f>'Exhibit G State'!F53+'Exhibit G Federal'!F26</f>
        <v>4.2</v>
      </c>
      <c r="G54" s="1272"/>
      <c r="H54" s="1272">
        <f>'Exhibit G State'!H53+'Exhibit G Federal'!H26</f>
        <v>5.0999999999999996</v>
      </c>
      <c r="J54" s="1272">
        <f>'Exhibit G State'!J53+'Exhibit G Federal'!J26</f>
        <v>4.0999999999999996</v>
      </c>
      <c r="L54" s="1272">
        <f>'Exhibit G State'!L53+'Exhibit G Federal'!L26</f>
        <v>5.5</v>
      </c>
      <c r="N54" s="1272">
        <f>'Exhibit G State'!N53+'Exhibit G Federal'!N26</f>
        <v>5.5</v>
      </c>
      <c r="P54" s="1272">
        <f>'Exhibit G State'!P53+'Exhibit G Federal'!P26</f>
        <v>4.9000000000000004</v>
      </c>
      <c r="R54" s="1272">
        <f>'Exhibit G State'!R53+'Exhibit G Federal'!R26</f>
        <v>5.5</v>
      </c>
      <c r="T54" s="1272">
        <f>'Exhibit G State'!T53+'Exhibit G Federal'!T26</f>
        <v>4.2</v>
      </c>
      <c r="V54" s="1272">
        <f>'Exhibit G State'!V53+'Exhibit G Federal'!V26</f>
        <v>4</v>
      </c>
      <c r="X54" s="1262"/>
      <c r="Z54" s="1262"/>
      <c r="AA54" s="1962"/>
      <c r="AB54" s="1962">
        <v>0</v>
      </c>
      <c r="AC54" s="260"/>
      <c r="AD54" s="249"/>
      <c r="AE54" s="260">
        <f t="shared" si="18"/>
        <v>47.9</v>
      </c>
      <c r="AF54" s="260"/>
      <c r="AG54" s="249"/>
      <c r="AH54" s="512">
        <f>+'Exhibit G State'!AF53+'Exhibit G Federal'!AF26</f>
        <v>48.1</v>
      </c>
      <c r="AI54" s="515"/>
      <c r="AJ54" s="248"/>
      <c r="AK54" s="1111">
        <f t="shared" si="19"/>
        <v>-0.2</v>
      </c>
      <c r="AL54" s="247"/>
      <c r="AM54" s="1700">
        <f t="shared" si="20"/>
        <v>-4.0000000000000001E-3</v>
      </c>
    </row>
    <row r="55" spans="1:39" ht="15" customHeight="1">
      <c r="A55" s="223"/>
      <c r="B55" s="1669" t="s">
        <v>1153</v>
      </c>
      <c r="C55" s="223"/>
      <c r="D55" s="1272">
        <f>'Exhibit G State'!D54+'Exhibit G Federal'!D27</f>
        <v>0</v>
      </c>
      <c r="E55" s="1272"/>
      <c r="F55" s="1272">
        <f>'Exhibit G State'!F54+'Exhibit G Federal'!F27</f>
        <v>1.5</v>
      </c>
      <c r="G55" s="1272"/>
      <c r="H55" s="1272">
        <f>'Exhibit G State'!H54+'Exhibit G Federal'!H27</f>
        <v>0.4</v>
      </c>
      <c r="J55" s="1272">
        <f>'Exhibit G State'!J54+'Exhibit G Federal'!J27</f>
        <v>0</v>
      </c>
      <c r="L55" s="1272">
        <f>'Exhibit G State'!L54+'Exhibit G Federal'!L27</f>
        <v>0.6</v>
      </c>
      <c r="N55" s="1272">
        <f>'Exhibit G State'!N54+'Exhibit G Federal'!N27</f>
        <v>1.6</v>
      </c>
      <c r="P55" s="1272">
        <f>'Exhibit G State'!P54+'Exhibit G Federal'!P27</f>
        <v>0.8</v>
      </c>
      <c r="R55" s="1272">
        <f>'Exhibit G State'!R54+'Exhibit G Federal'!R27</f>
        <v>0.3</v>
      </c>
      <c r="T55" s="1272">
        <f>'Exhibit G State'!T54+'Exhibit G Federal'!T27</f>
        <v>1.2</v>
      </c>
      <c r="V55" s="1272">
        <f>'Exhibit G State'!V54+'Exhibit G Federal'!V27</f>
        <v>0.3</v>
      </c>
      <c r="X55" s="1262"/>
      <c r="Z55" s="1262"/>
      <c r="AA55" s="1962"/>
      <c r="AB55" s="1962">
        <v>0</v>
      </c>
      <c r="AC55" s="260"/>
      <c r="AD55" s="249"/>
      <c r="AE55" s="260">
        <f t="shared" si="18"/>
        <v>6.7</v>
      </c>
      <c r="AF55" s="260"/>
      <c r="AG55" s="249"/>
      <c r="AH55" s="512">
        <f>+'Exhibit G State'!AF54+'Exhibit G Federal'!AF27</f>
        <v>6.9</v>
      </c>
      <c r="AI55" s="515"/>
      <c r="AJ55" s="248"/>
      <c r="AK55" s="1111">
        <f t="shared" si="19"/>
        <v>-0.2</v>
      </c>
      <c r="AL55" s="247"/>
      <c r="AM55" s="1700">
        <f t="shared" si="20"/>
        <v>-2.9000000000000001E-2</v>
      </c>
    </row>
    <row r="56" spans="1:39" ht="15" customHeight="1">
      <c r="A56" s="223"/>
      <c r="B56" s="1669" t="s">
        <v>1154</v>
      </c>
      <c r="C56" s="223"/>
      <c r="D56" s="1272">
        <f>'Exhibit G State'!D55+'Exhibit G Federal'!D28</f>
        <v>42.9</v>
      </c>
      <c r="E56" s="1272"/>
      <c r="F56" s="1272">
        <f>'Exhibit G State'!F55+'Exhibit G Federal'!F28</f>
        <v>42</v>
      </c>
      <c r="G56" s="1272"/>
      <c r="H56" s="1272">
        <f>'Exhibit G State'!H55+'Exhibit G Federal'!H28</f>
        <v>49.3</v>
      </c>
      <c r="J56" s="1272">
        <f>'Exhibit G State'!J55+'Exhibit G Federal'!J28</f>
        <v>42.6</v>
      </c>
      <c r="L56" s="1272">
        <f>'Exhibit G State'!L55+'Exhibit G Federal'!L28</f>
        <v>30.5</v>
      </c>
      <c r="N56" s="1272">
        <f>'Exhibit G State'!N55+'Exhibit G Federal'!N28</f>
        <v>47.8</v>
      </c>
      <c r="P56" s="1272">
        <f>'Exhibit G State'!P55+'Exhibit G Federal'!P28</f>
        <v>43.4</v>
      </c>
      <c r="R56" s="1272">
        <f>'Exhibit G State'!R55+'Exhibit G Federal'!R28</f>
        <v>44.7</v>
      </c>
      <c r="T56" s="1272">
        <f>'Exhibit G State'!T55+'Exhibit G Federal'!T28</f>
        <v>37.700000000000003</v>
      </c>
      <c r="V56" s="1272">
        <f>'Exhibit G State'!V55+'Exhibit G Federal'!V28</f>
        <v>32.6</v>
      </c>
      <c r="X56" s="1262"/>
      <c r="Z56" s="1262"/>
      <c r="AA56" s="1962"/>
      <c r="AB56" s="1962">
        <v>0</v>
      </c>
      <c r="AC56" s="260"/>
      <c r="AD56" s="249"/>
      <c r="AE56" s="260">
        <f t="shared" si="18"/>
        <v>413.5</v>
      </c>
      <c r="AF56" s="260"/>
      <c r="AG56" s="249"/>
      <c r="AH56" s="512">
        <f>+'Exhibit G State'!AF55+'Exhibit G Federal'!AF28</f>
        <v>400.5</v>
      </c>
      <c r="AI56" s="515"/>
      <c r="AJ56" s="248"/>
      <c r="AK56" s="1111">
        <f t="shared" si="19"/>
        <v>13</v>
      </c>
      <c r="AL56" s="247"/>
      <c r="AM56" s="1700">
        <f t="shared" si="20"/>
        <v>3.2000000000000001E-2</v>
      </c>
    </row>
    <row r="57" spans="1:39" ht="15" customHeight="1">
      <c r="A57" s="223"/>
      <c r="B57" s="1669" t="s">
        <v>1155</v>
      </c>
      <c r="C57" s="223"/>
      <c r="D57" s="1272">
        <f>'Exhibit G State'!D56+'Exhibit G Federal'!D29</f>
        <v>42.5</v>
      </c>
      <c r="E57" s="1272"/>
      <c r="F57" s="1272">
        <f>'Exhibit G State'!F56+'Exhibit G Federal'!F29</f>
        <v>48.9</v>
      </c>
      <c r="G57" s="1272"/>
      <c r="H57" s="1272">
        <f>'Exhibit G State'!H56+'Exhibit G Federal'!H29</f>
        <v>39</v>
      </c>
      <c r="J57" s="1272">
        <f>'Exhibit G State'!J56+'Exhibit G Federal'!J29</f>
        <v>51.5</v>
      </c>
      <c r="L57" s="1272">
        <f>'Exhibit G State'!L56+'Exhibit G Federal'!L29</f>
        <v>74</v>
      </c>
      <c r="N57" s="1272">
        <f>'Exhibit G State'!N56+'Exhibit G Federal'!N29</f>
        <v>90.9</v>
      </c>
      <c r="P57" s="1272">
        <f>'Exhibit G State'!P56+'Exhibit G Federal'!P29</f>
        <v>69.7</v>
      </c>
      <c r="R57" s="1272">
        <f>'Exhibit G State'!R56+'Exhibit G Federal'!R29</f>
        <v>65.599999999999994</v>
      </c>
      <c r="T57" s="1272">
        <f>'Exhibit G State'!T56+'Exhibit G Federal'!T29</f>
        <v>41.2</v>
      </c>
      <c r="V57" s="1272">
        <f>'Exhibit G State'!V56+'Exhibit G Federal'!V29</f>
        <v>79.599999999999994</v>
      </c>
      <c r="X57" s="1262"/>
      <c r="Z57" s="1262"/>
      <c r="AA57" s="1962"/>
      <c r="AB57" s="1962">
        <v>0</v>
      </c>
      <c r="AC57" s="260"/>
      <c r="AD57" s="249"/>
      <c r="AE57" s="260">
        <f t="shared" si="18"/>
        <v>602.9</v>
      </c>
      <c r="AF57" s="260"/>
      <c r="AG57" s="249"/>
      <c r="AH57" s="512">
        <f>+'Exhibit G State'!AF56+'Exhibit G Federal'!AF29</f>
        <v>583.6</v>
      </c>
      <c r="AI57" s="515"/>
      <c r="AJ57" s="248"/>
      <c r="AK57" s="1111">
        <f t="shared" si="19"/>
        <v>19.3</v>
      </c>
      <c r="AL57" s="247"/>
      <c r="AM57" s="1700">
        <f t="shared" si="20"/>
        <v>3.3000000000000002E-2</v>
      </c>
    </row>
    <row r="58" spans="1:39" ht="15" customHeight="1">
      <c r="A58" s="223"/>
      <c r="B58" s="1669" t="s">
        <v>1129</v>
      </c>
      <c r="C58" s="223"/>
      <c r="D58" s="1272">
        <f>'Exhibit G State'!D57+'Exhibit G Federal'!D30</f>
        <v>7.3</v>
      </c>
      <c r="E58" s="1272"/>
      <c r="F58" s="1272">
        <f>'Exhibit G State'!F57+'Exhibit G Federal'!F30</f>
        <v>13.799999999999999</v>
      </c>
      <c r="G58" s="1272"/>
      <c r="H58" s="1272">
        <f>'Exhibit G State'!H57+'Exhibit G Federal'!H30</f>
        <v>22.400000000000002</v>
      </c>
      <c r="J58" s="1272">
        <f>'Exhibit G State'!J57+'Exhibit G Federal'!J30</f>
        <v>22</v>
      </c>
      <c r="L58" s="1272">
        <f>'Exhibit G State'!L57+'Exhibit G Federal'!L30</f>
        <v>49.900000000000006</v>
      </c>
      <c r="N58" s="1272">
        <f>'Exhibit G State'!N57+'Exhibit G Federal'!N30</f>
        <v>7.6000000000000005</v>
      </c>
      <c r="P58" s="1272">
        <f>'Exhibit G State'!P57+'Exhibit G Federal'!P30</f>
        <v>12.399999999999999</v>
      </c>
      <c r="R58" s="1272">
        <f>'Exhibit G State'!R57+'Exhibit G Federal'!R30</f>
        <v>11.700000000000001</v>
      </c>
      <c r="T58" s="1272">
        <f>'Exhibit G State'!T57+'Exhibit G Federal'!T30</f>
        <v>6</v>
      </c>
      <c r="V58" s="1272">
        <f>'Exhibit G State'!V57+'Exhibit G Federal'!V30</f>
        <v>8.6999999999999993</v>
      </c>
      <c r="X58" s="1262"/>
      <c r="Z58" s="1262"/>
      <c r="AA58" s="1962"/>
      <c r="AB58" s="1962">
        <v>0</v>
      </c>
      <c r="AC58" s="260"/>
      <c r="AD58" s="249"/>
      <c r="AE58" s="260">
        <f t="shared" si="18"/>
        <v>161.80000000000001</v>
      </c>
      <c r="AF58" s="260"/>
      <c r="AG58" s="249"/>
      <c r="AH58" s="512">
        <f>+'Exhibit G State'!AF57+'Exhibit G Federal'!AF30</f>
        <v>119.9</v>
      </c>
      <c r="AI58" s="515"/>
      <c r="AJ58" s="248"/>
      <c r="AK58" s="1111">
        <f t="shared" si="19"/>
        <v>41.9</v>
      </c>
      <c r="AL58" s="247"/>
      <c r="AM58" s="2636">
        <f t="shared" si="20"/>
        <v>0.34899999999999998</v>
      </c>
    </row>
    <row r="59" spans="1:39" ht="15" customHeight="1">
      <c r="A59" s="223"/>
      <c r="B59" s="1669" t="s">
        <v>1239</v>
      </c>
      <c r="C59" s="223"/>
      <c r="D59" s="1272"/>
      <c r="F59" s="1272"/>
      <c r="H59" s="1272"/>
      <c r="J59" s="1272"/>
      <c r="L59" s="1272"/>
      <c r="N59" s="1272"/>
      <c r="P59" s="1262"/>
      <c r="R59" s="1262"/>
      <c r="T59" s="1262"/>
      <c r="V59" s="1262"/>
      <c r="X59" s="1262"/>
      <c r="Z59" s="1262"/>
      <c r="AA59" s="1962"/>
      <c r="AB59" s="1962"/>
      <c r="AC59" s="260"/>
      <c r="AD59" s="249"/>
      <c r="AE59" s="1111"/>
      <c r="AF59" s="260"/>
      <c r="AG59" s="249"/>
      <c r="AH59" s="512"/>
      <c r="AI59" s="515"/>
      <c r="AJ59" s="248"/>
      <c r="AK59" s="1111"/>
      <c r="AL59" s="247"/>
      <c r="AM59" s="1764"/>
    </row>
    <row r="60" spans="1:39" ht="15" customHeight="1">
      <c r="A60" s="223"/>
      <c r="B60" s="1669" t="s">
        <v>1156</v>
      </c>
      <c r="C60" s="223"/>
      <c r="D60" s="1272">
        <f>'Exhibit G State'!D59</f>
        <v>22.7</v>
      </c>
      <c r="E60" s="1272"/>
      <c r="F60" s="1272">
        <f>'Exhibit G State'!F59</f>
        <v>10.4</v>
      </c>
      <c r="G60" s="1272"/>
      <c r="H60" s="1272">
        <f>'Exhibit G State'!H59</f>
        <v>12.5</v>
      </c>
      <c r="J60" s="1272">
        <f>'Exhibit G State'!J59</f>
        <v>24.4</v>
      </c>
      <c r="L60" s="1272">
        <f>'Exhibit G State'!L59</f>
        <v>10.9</v>
      </c>
      <c r="N60" s="1272">
        <f>'Exhibit G State'!N59</f>
        <v>14</v>
      </c>
      <c r="P60" s="1272">
        <f>'Exhibit G State'!P59</f>
        <v>25.6</v>
      </c>
      <c r="R60" s="1272">
        <f>'Exhibit G State'!R59</f>
        <v>10.1</v>
      </c>
      <c r="T60" s="1272">
        <f>'Exhibit G State'!T59</f>
        <v>12.9</v>
      </c>
      <c r="V60" s="1272">
        <f>'Exhibit G State'!V59</f>
        <v>25</v>
      </c>
      <c r="X60" s="1262"/>
      <c r="Z60" s="1262"/>
      <c r="AA60" s="1962"/>
      <c r="AB60" s="1962">
        <v>0</v>
      </c>
      <c r="AC60" s="260"/>
      <c r="AD60" s="249"/>
      <c r="AE60" s="1111">
        <f>ROUND(SUM(D60:AB60),1)</f>
        <v>168.5</v>
      </c>
      <c r="AF60" s="260"/>
      <c r="AG60" s="249"/>
      <c r="AH60" s="512">
        <f>+'Exhibit G State'!AF59</f>
        <v>174.3</v>
      </c>
      <c r="AI60" s="515"/>
      <c r="AJ60" s="248"/>
      <c r="AK60" s="1111">
        <f>ROUND(SUM(+AE60-AH60),1)</f>
        <v>-5.8</v>
      </c>
      <c r="AL60" s="247"/>
      <c r="AM60" s="2636">
        <f>ROUND(IF(AH60=0,0,AK60/ABS(AH60)),3)</f>
        <v>-3.3000000000000002E-2</v>
      </c>
    </row>
    <row r="61" spans="1:39" ht="15" customHeight="1">
      <c r="A61" s="223"/>
      <c r="B61" s="1669" t="s">
        <v>1157</v>
      </c>
      <c r="C61" s="223"/>
      <c r="D61" s="1272">
        <f>'Exhibit G State'!D60</f>
        <v>190.4</v>
      </c>
      <c r="E61" s="1272"/>
      <c r="F61" s="1272">
        <f>'Exhibit G State'!F60</f>
        <v>234.2</v>
      </c>
      <c r="G61" s="1272"/>
      <c r="H61" s="1272">
        <f>'Exhibit G State'!H60</f>
        <v>193.7</v>
      </c>
      <c r="J61" s="1272">
        <f>'Exhibit G State'!J60</f>
        <v>182.6</v>
      </c>
      <c r="L61" s="1272">
        <f>'Exhibit G State'!L60</f>
        <v>268.10000000000002</v>
      </c>
      <c r="N61" s="1272">
        <f>'Exhibit G State'!N60</f>
        <v>184.5</v>
      </c>
      <c r="P61" s="1272">
        <f>'Exhibit G State'!P60</f>
        <v>181.6</v>
      </c>
      <c r="R61" s="1272">
        <f>'Exhibit G State'!R60</f>
        <v>224.9</v>
      </c>
      <c r="T61" s="1272">
        <f>'Exhibit G State'!T60</f>
        <v>196.7</v>
      </c>
      <c r="V61" s="1272">
        <f>'Exhibit G State'!V60</f>
        <v>248.4</v>
      </c>
      <c r="X61" s="1262"/>
      <c r="Z61" s="1262"/>
      <c r="AA61" s="1962"/>
      <c r="AB61" s="1962">
        <v>0</v>
      </c>
      <c r="AC61" s="260"/>
      <c r="AD61" s="249"/>
      <c r="AE61" s="2800">
        <f t="shared" ref="AE61:AE63" si="21">ROUND(SUM(D61:AB61),1)</f>
        <v>2105.1</v>
      </c>
      <c r="AF61" s="260"/>
      <c r="AG61" s="249"/>
      <c r="AH61" s="512">
        <f>+'Exhibit G State'!AF60</f>
        <v>1997.3</v>
      </c>
      <c r="AI61" s="515"/>
      <c r="AJ61" s="248"/>
      <c r="AK61" s="1111">
        <f>ROUND(SUM(+AE61-AH61),1)</f>
        <v>107.8</v>
      </c>
      <c r="AL61" s="247"/>
      <c r="AM61" s="1700">
        <f>ROUND(IF(AH61=0,0,AK61/ABS(AH61)),3)</f>
        <v>5.3999999999999999E-2</v>
      </c>
    </row>
    <row r="62" spans="1:39" ht="15" customHeight="1">
      <c r="A62" s="223"/>
      <c r="B62" s="1669" t="s">
        <v>1158</v>
      </c>
      <c r="C62" s="223"/>
      <c r="D62" s="1272">
        <f>'Exhibit G State'!D61</f>
        <v>72.5</v>
      </c>
      <c r="E62" s="1272"/>
      <c r="F62" s="1272">
        <f>'Exhibit G State'!F61</f>
        <v>73.599999999999994</v>
      </c>
      <c r="G62" s="1272"/>
      <c r="H62" s="1272">
        <f>'Exhibit G State'!H61</f>
        <v>94.2</v>
      </c>
      <c r="J62" s="1272">
        <f>'Exhibit G State'!J61</f>
        <v>76.5</v>
      </c>
      <c r="L62" s="1272">
        <f>'Exhibit G State'!L61</f>
        <v>93.8</v>
      </c>
      <c r="N62" s="1272">
        <f>'Exhibit G State'!N61</f>
        <v>75.3</v>
      </c>
      <c r="P62" s="1272">
        <f>'Exhibit G State'!P61</f>
        <v>73.900000000000006</v>
      </c>
      <c r="R62" s="1272">
        <f>'Exhibit G State'!R61</f>
        <v>89.4</v>
      </c>
      <c r="T62" s="1272">
        <f>'Exhibit G State'!T61</f>
        <v>66.5</v>
      </c>
      <c r="V62" s="1272">
        <f>'Exhibit G State'!V61</f>
        <v>88</v>
      </c>
      <c r="X62" s="1262"/>
      <c r="Z62" s="1262"/>
      <c r="AA62" s="1962"/>
      <c r="AB62" s="1962">
        <v>0</v>
      </c>
      <c r="AC62" s="260"/>
      <c r="AD62" s="249"/>
      <c r="AE62" s="2800">
        <f t="shared" si="21"/>
        <v>803.7</v>
      </c>
      <c r="AF62" s="260"/>
      <c r="AG62" s="249"/>
      <c r="AH62" s="512">
        <f>+'Exhibit G State'!AF61</f>
        <v>788.1</v>
      </c>
      <c r="AI62" s="515"/>
      <c r="AJ62" s="248"/>
      <c r="AK62" s="1111">
        <f>ROUND(SUM(+AE62-AH62),1)</f>
        <v>15.6</v>
      </c>
      <c r="AL62" s="247"/>
      <c r="AM62" s="1700">
        <f>ROUND(IF(AH62=0,0,AK62/ABS(AH62)),3)</f>
        <v>0.02</v>
      </c>
    </row>
    <row r="63" spans="1:39" ht="15" customHeight="1">
      <c r="A63" s="223"/>
      <c r="B63" s="1669" t="s">
        <v>1130</v>
      </c>
      <c r="C63" s="223"/>
      <c r="D63" s="1272">
        <f>'Exhibit G State'!D62+'Exhibit G Federal'!D31</f>
        <v>5.9</v>
      </c>
      <c r="E63" s="1272"/>
      <c r="F63" s="1272">
        <f>'Exhibit G State'!F62+'Exhibit G Federal'!F31</f>
        <v>6.1</v>
      </c>
      <c r="G63" s="1272"/>
      <c r="H63" s="1272">
        <f>'Exhibit G State'!H62+'Exhibit G Federal'!H31</f>
        <v>7.1</v>
      </c>
      <c r="J63" s="1272">
        <f>'Exhibit G State'!J62+'Exhibit G Federal'!J31</f>
        <v>7.2</v>
      </c>
      <c r="L63" s="1272">
        <f>'Exhibit G State'!L62+'Exhibit G Federal'!L31</f>
        <v>8.8000000000000007</v>
      </c>
      <c r="N63" s="1272">
        <f>'Exhibit G State'!N62+'Exhibit G Federal'!N31</f>
        <v>8</v>
      </c>
      <c r="P63" s="1272">
        <f>'Exhibit G State'!P62+'Exhibit G Federal'!P31</f>
        <v>8.5</v>
      </c>
      <c r="R63" s="1272">
        <f>'Exhibit G State'!R62+'Exhibit G Federal'!R31</f>
        <v>8.4</v>
      </c>
      <c r="T63" s="1272">
        <f>'Exhibit G State'!T62+'Exhibit G Federal'!T31</f>
        <v>8.6</v>
      </c>
      <c r="V63" s="1272">
        <f>'Exhibit G State'!V62+'Exhibit G Federal'!V31</f>
        <v>8.6</v>
      </c>
      <c r="X63" s="1262"/>
      <c r="Z63" s="1262"/>
      <c r="AA63" s="1962"/>
      <c r="AB63" s="1962">
        <v>0</v>
      </c>
      <c r="AC63" s="260"/>
      <c r="AD63" s="249"/>
      <c r="AE63" s="2800">
        <f t="shared" si="21"/>
        <v>77.2</v>
      </c>
      <c r="AF63" s="260"/>
      <c r="AG63" s="249"/>
      <c r="AH63" s="512">
        <f>+'Exhibit G State'!AF62+'Exhibit G Federal'!AF31</f>
        <v>44.4</v>
      </c>
      <c r="AI63" s="515"/>
      <c r="AJ63" s="248"/>
      <c r="AK63" s="1111">
        <f>ROUND(SUM(+AE63-AH63),1)</f>
        <v>32.799999999999997</v>
      </c>
      <c r="AL63" s="247"/>
      <c r="AM63" s="1700">
        <f>ROUND(IF(AH63=0,0,AK63/ABS(AH63)),3)</f>
        <v>0.73899999999999999</v>
      </c>
    </row>
    <row r="64" spans="1:39" ht="15" customHeight="1">
      <c r="A64" s="223"/>
      <c r="B64" s="1669" t="s">
        <v>1240</v>
      </c>
      <c r="C64" s="223"/>
      <c r="D64" s="1272"/>
      <c r="F64" s="1272"/>
      <c r="H64" s="1272"/>
      <c r="J64" s="1272"/>
      <c r="L64" s="1272"/>
      <c r="N64" s="1272"/>
      <c r="P64" s="1262"/>
      <c r="R64" s="1262"/>
      <c r="T64" s="1262"/>
      <c r="V64" s="1262"/>
      <c r="X64" s="1262"/>
      <c r="Z64" s="1262"/>
      <c r="AA64" s="1962"/>
      <c r="AB64" s="1962"/>
      <c r="AC64" s="260"/>
      <c r="AD64" s="249"/>
      <c r="AE64" s="1111"/>
      <c r="AF64" s="260"/>
      <c r="AG64" s="249"/>
      <c r="AH64" s="512"/>
      <c r="AI64" s="515"/>
      <c r="AJ64" s="248"/>
      <c r="AK64" s="1111"/>
      <c r="AL64" s="247"/>
      <c r="AM64" s="1764"/>
    </row>
    <row r="65" spans="1:39" ht="15" customHeight="1">
      <c r="A65" s="223"/>
      <c r="B65" s="1669" t="s">
        <v>1159</v>
      </c>
      <c r="C65" s="223"/>
      <c r="D65" s="1272">
        <f>'Exhibit G State'!D64+'Exhibit G Federal'!D33</f>
        <v>0</v>
      </c>
      <c r="E65" s="1272"/>
      <c r="F65" s="1272">
        <f>'Exhibit G State'!F64+'Exhibit G Federal'!F33</f>
        <v>0</v>
      </c>
      <c r="G65" s="1272"/>
      <c r="H65" s="1272">
        <f>'Exhibit G State'!H64+'Exhibit G Federal'!H33</f>
        <v>0</v>
      </c>
      <c r="J65" s="1272">
        <f>'Exhibit G State'!J64+'Exhibit G Federal'!J33</f>
        <v>0</v>
      </c>
      <c r="L65" s="1272">
        <f>'Exhibit G State'!L64+'Exhibit G Federal'!L33</f>
        <v>0</v>
      </c>
      <c r="N65" s="1272">
        <f>'Exhibit G State'!N64+'Exhibit G Federal'!N33</f>
        <v>0</v>
      </c>
      <c r="P65" s="1272">
        <f>'Exhibit G State'!P64+'Exhibit G Federal'!P33</f>
        <v>0</v>
      </c>
      <c r="R65" s="1272">
        <f>'Exhibit G State'!R64+'Exhibit G Federal'!R33</f>
        <v>0</v>
      </c>
      <c r="T65" s="1272">
        <f>'Exhibit G State'!T64+'Exhibit G Federal'!T33</f>
        <v>0</v>
      </c>
      <c r="V65" s="1272">
        <f>'Exhibit G State'!V64+'Exhibit G Federal'!V33</f>
        <v>0</v>
      </c>
      <c r="X65" s="1262"/>
      <c r="Z65" s="1262"/>
      <c r="AA65" s="1962"/>
      <c r="AB65" s="1962">
        <v>0</v>
      </c>
      <c r="AC65" s="260"/>
      <c r="AD65" s="249"/>
      <c r="AE65" s="1111">
        <f>ROUND(SUM(D65:AB65),1)</f>
        <v>0</v>
      </c>
      <c r="AF65" s="260"/>
      <c r="AG65" s="249"/>
      <c r="AH65" s="512">
        <f>+'Exhibit G State'!AF64+'Exhibit G Federal'!AF33</f>
        <v>0</v>
      </c>
      <c r="AI65" s="515"/>
      <c r="AJ65" s="248"/>
      <c r="AK65" s="1111">
        <f t="shared" ref="AK65:AK70" si="22">ROUND(SUM(+AE65-AH65),1)</f>
        <v>0</v>
      </c>
      <c r="AL65" s="247"/>
      <c r="AM65" s="2582">
        <f>ROUND(IF(AH65=0,0,AK65/ABS(AH65)),3)</f>
        <v>0</v>
      </c>
    </row>
    <row r="66" spans="1:39" ht="15" customHeight="1">
      <c r="A66" s="223"/>
      <c r="B66" s="1669" t="s">
        <v>1160</v>
      </c>
      <c r="C66" s="223"/>
      <c r="D66" s="1272">
        <f>'Exhibit G State'!D65+'Exhibit G Federal'!D34</f>
        <v>0</v>
      </c>
      <c r="E66" s="1272"/>
      <c r="F66" s="1272">
        <f>'Exhibit G State'!F65+'Exhibit G Federal'!F34</f>
        <v>0</v>
      </c>
      <c r="G66" s="1272"/>
      <c r="H66" s="1272">
        <f>'Exhibit G State'!H65+'Exhibit G Federal'!H34</f>
        <v>0</v>
      </c>
      <c r="J66" s="1272">
        <f>'Exhibit G State'!J65+'Exhibit G Federal'!J34</f>
        <v>0</v>
      </c>
      <c r="L66" s="1272">
        <f>'Exhibit G State'!L65+'Exhibit G Federal'!L34</f>
        <v>20.399999999999999</v>
      </c>
      <c r="N66" s="1272">
        <f>'Exhibit G State'!N65+'Exhibit G Federal'!N34</f>
        <v>0</v>
      </c>
      <c r="P66" s="1272">
        <f>'Exhibit G State'!P65+'Exhibit G Federal'!P34</f>
        <v>0</v>
      </c>
      <c r="R66" s="1272">
        <f>'Exhibit G State'!R65+'Exhibit G Federal'!R34</f>
        <v>0</v>
      </c>
      <c r="T66" s="1272">
        <f>'Exhibit G State'!T65+'Exhibit G Federal'!T34</f>
        <v>0</v>
      </c>
      <c r="V66" s="1272">
        <f>'Exhibit G State'!V65+'Exhibit G Federal'!V34</f>
        <v>0</v>
      </c>
      <c r="X66" s="1262"/>
      <c r="Z66" s="1262"/>
      <c r="AA66" s="1962"/>
      <c r="AB66" s="1962">
        <v>0</v>
      </c>
      <c r="AC66" s="260"/>
      <c r="AD66" s="249"/>
      <c r="AE66" s="2800">
        <f t="shared" ref="AE66:AE70" si="23">ROUND(SUM(D66:AB66),1)</f>
        <v>20.399999999999999</v>
      </c>
      <c r="AF66" s="260"/>
      <c r="AG66" s="249"/>
      <c r="AH66" s="512">
        <f>+'Exhibit G State'!AF65+'Exhibit G Federal'!AF34</f>
        <v>20.399999999999999</v>
      </c>
      <c r="AI66" s="515"/>
      <c r="AJ66" s="248"/>
      <c r="AK66" s="1111">
        <f t="shared" si="22"/>
        <v>0</v>
      </c>
      <c r="AL66" s="247"/>
      <c r="AM66" s="2582">
        <f>ROUND(IF(AH66=0,0,AK66/ABS(AH66)),3)</f>
        <v>0</v>
      </c>
    </row>
    <row r="67" spans="1:39" ht="15" customHeight="1">
      <c r="A67" s="223"/>
      <c r="B67" s="1669" t="s">
        <v>1161</v>
      </c>
      <c r="C67" s="223"/>
      <c r="D67" s="1272">
        <f>'Exhibit G State'!D66+'Exhibit G Federal'!D35</f>
        <v>3</v>
      </c>
      <c r="E67" s="1272"/>
      <c r="F67" s="1272">
        <f>'Exhibit G State'!F66+'Exhibit G Federal'!F35</f>
        <v>4.2</v>
      </c>
      <c r="G67" s="1272"/>
      <c r="H67" s="1272">
        <f>'Exhibit G State'!H66+'Exhibit G Federal'!H35</f>
        <v>0</v>
      </c>
      <c r="J67" s="1272">
        <f>'Exhibit G State'!J66+'Exhibit G Federal'!J35</f>
        <v>0</v>
      </c>
      <c r="L67" s="1272">
        <f>'Exhibit G State'!L66+'Exhibit G Federal'!L35</f>
        <v>0</v>
      </c>
      <c r="N67" s="1272">
        <f>'Exhibit G State'!N66+'Exhibit G Federal'!N35</f>
        <v>0</v>
      </c>
      <c r="P67" s="1272">
        <f>'Exhibit G State'!P66+'Exhibit G Federal'!P35</f>
        <v>0</v>
      </c>
      <c r="R67" s="1272">
        <f>'Exhibit G State'!R66+'Exhibit G Federal'!R35</f>
        <v>0</v>
      </c>
      <c r="T67" s="1272">
        <f>'Exhibit G State'!T66+'Exhibit G Federal'!T35</f>
        <v>0</v>
      </c>
      <c r="V67" s="1272">
        <f>'Exhibit G State'!V66+'Exhibit G Federal'!V35</f>
        <v>0</v>
      </c>
      <c r="X67" s="1262"/>
      <c r="Z67" s="1262"/>
      <c r="AA67" s="1962"/>
      <c r="AB67" s="1962">
        <v>0</v>
      </c>
      <c r="AC67" s="260"/>
      <c r="AD67" s="249"/>
      <c r="AE67" s="2800">
        <f t="shared" si="23"/>
        <v>7.2</v>
      </c>
      <c r="AF67" s="260"/>
      <c r="AG67" s="249"/>
      <c r="AH67" s="512">
        <f>+'Exhibit G State'!AF66+'Exhibit G Federal'!AF35</f>
        <v>7.2</v>
      </c>
      <c r="AI67" s="515"/>
      <c r="AJ67" s="248"/>
      <c r="AK67" s="1111">
        <f t="shared" si="22"/>
        <v>0</v>
      </c>
      <c r="AL67" s="247"/>
      <c r="AM67" s="2555">
        <f t="shared" ref="AM67:AM70" si="24">ROUND(IF(AH67=0,0,AK67/ABS(AH67)),3)</f>
        <v>0</v>
      </c>
    </row>
    <row r="68" spans="1:39" ht="15" customHeight="1">
      <c r="A68" s="223"/>
      <c r="B68" s="1669" t="s">
        <v>1162</v>
      </c>
      <c r="C68" s="223"/>
      <c r="D68" s="1272">
        <f>'Exhibit G State'!D67+'Exhibit G Federal'!D36</f>
        <v>7.7</v>
      </c>
      <c r="E68" s="1272"/>
      <c r="F68" s="1272">
        <f>'Exhibit G State'!F67+'Exhibit G Federal'!F36</f>
        <v>1.1000000000000001</v>
      </c>
      <c r="G68" s="1272"/>
      <c r="H68" s="1272">
        <f>'Exhibit G State'!H67+'Exhibit G Federal'!H36</f>
        <v>0</v>
      </c>
      <c r="J68" s="1272">
        <f>'Exhibit G State'!J67+'Exhibit G Federal'!J36</f>
        <v>6</v>
      </c>
      <c r="L68" s="1272">
        <f>'Exhibit G State'!L67+'Exhibit G Federal'!L36</f>
        <v>0.3</v>
      </c>
      <c r="N68" s="1272">
        <f>'Exhibit G State'!N67+'Exhibit G Federal'!N36</f>
        <v>0.4</v>
      </c>
      <c r="P68" s="1272">
        <f>'Exhibit G State'!P67+'Exhibit G Federal'!P36</f>
        <v>5.5</v>
      </c>
      <c r="R68" s="1272">
        <f>'Exhibit G State'!R67+'Exhibit G Federal'!R36</f>
        <v>0.1</v>
      </c>
      <c r="T68" s="1272">
        <f>'Exhibit G State'!T67+'Exhibit G Federal'!T36</f>
        <v>26.3</v>
      </c>
      <c r="V68" s="1272">
        <f>'Exhibit G State'!V67+'Exhibit G Federal'!V36</f>
        <v>10</v>
      </c>
      <c r="X68" s="1262"/>
      <c r="Z68" s="1262"/>
      <c r="AA68" s="1962"/>
      <c r="AB68" s="1962">
        <v>0</v>
      </c>
      <c r="AC68" s="260"/>
      <c r="AD68" s="249"/>
      <c r="AE68" s="2800">
        <f t="shared" si="23"/>
        <v>57.4</v>
      </c>
      <c r="AF68" s="260"/>
      <c r="AG68" s="249"/>
      <c r="AH68" s="512">
        <f>+'Exhibit G State'!AF67+'Exhibit G Federal'!AF36</f>
        <v>45.2</v>
      </c>
      <c r="AI68" s="515"/>
      <c r="AJ68" s="248"/>
      <c r="AK68" s="1111">
        <f t="shared" si="22"/>
        <v>12.2</v>
      </c>
      <c r="AL68" s="247"/>
      <c r="AM68" s="2636">
        <f t="shared" si="24"/>
        <v>0.27</v>
      </c>
    </row>
    <row r="69" spans="1:39" ht="15" customHeight="1">
      <c r="A69" s="223"/>
      <c r="B69" s="1669" t="s">
        <v>1141</v>
      </c>
      <c r="C69" s="223"/>
      <c r="D69" s="1272">
        <f>'Exhibit G State'!D68+'Exhibit G Federal'!D37</f>
        <v>5.3</v>
      </c>
      <c r="E69" s="1272"/>
      <c r="F69" s="1272">
        <f>'Exhibit G State'!F68+'Exhibit G Federal'!F37</f>
        <v>3.1</v>
      </c>
      <c r="G69" s="1272"/>
      <c r="H69" s="1272">
        <f>'Exhibit G State'!H68+'Exhibit G Federal'!H37</f>
        <v>7.9</v>
      </c>
      <c r="J69" s="1272">
        <f>'Exhibit G State'!J68+'Exhibit G Federal'!J37</f>
        <v>4.7</v>
      </c>
      <c r="L69" s="1272">
        <f>'Exhibit G State'!L68+'Exhibit G Federal'!L37</f>
        <v>6.5</v>
      </c>
      <c r="N69" s="1272">
        <f>'Exhibit G State'!N68+'Exhibit G Federal'!N37</f>
        <v>41.3</v>
      </c>
      <c r="P69" s="1272">
        <f>'Exhibit G State'!P68+'Exhibit G Federal'!P37</f>
        <v>14.3</v>
      </c>
      <c r="R69" s="1272">
        <f>'Exhibit G State'!R68+'Exhibit G Federal'!R37</f>
        <v>6.3</v>
      </c>
      <c r="T69" s="1272">
        <f>'Exhibit G State'!T68+'Exhibit G Federal'!T37</f>
        <v>8.6999999999999993</v>
      </c>
      <c r="V69" s="1272">
        <f>'Exhibit G State'!V68+'Exhibit G Federal'!V37</f>
        <v>5.2</v>
      </c>
      <c r="X69" s="1262"/>
      <c r="Z69" s="1262"/>
      <c r="AA69" s="1962"/>
      <c r="AB69" s="1962">
        <v>0</v>
      </c>
      <c r="AC69" s="260"/>
      <c r="AD69" s="249"/>
      <c r="AE69" s="2800">
        <f t="shared" si="23"/>
        <v>103.3</v>
      </c>
      <c r="AF69" s="260"/>
      <c r="AG69" s="249"/>
      <c r="AH69" s="512">
        <f>+'Exhibit G State'!AF68+'Exhibit G Federal'!AF37</f>
        <v>138.19999999999999</v>
      </c>
      <c r="AI69" s="515"/>
      <c r="AJ69" s="248"/>
      <c r="AK69" s="1111">
        <f t="shared" si="22"/>
        <v>-34.9</v>
      </c>
      <c r="AL69" s="247"/>
      <c r="AM69" s="1700">
        <f t="shared" si="24"/>
        <v>-0.253</v>
      </c>
    </row>
    <row r="70" spans="1:39" ht="15" customHeight="1">
      <c r="A70" s="223"/>
      <c r="B70" s="1669" t="s">
        <v>1142</v>
      </c>
      <c r="C70" s="223"/>
      <c r="D70" s="1272">
        <f>'Exhibit G State'!D69+'Exhibit G Federal'!D38</f>
        <v>44.6</v>
      </c>
      <c r="E70" s="1272"/>
      <c r="F70" s="1272">
        <f>'Exhibit G State'!F69+'Exhibit G Federal'!F38</f>
        <v>28.6</v>
      </c>
      <c r="G70" s="1272"/>
      <c r="H70" s="1272">
        <f>'Exhibit G State'!H69+'Exhibit G Federal'!H38</f>
        <v>15.3</v>
      </c>
      <c r="J70" s="1272">
        <f>'Exhibit G State'!J69+'Exhibit G Federal'!J38</f>
        <v>26.8</v>
      </c>
      <c r="L70" s="1272">
        <f>'Exhibit G State'!L69+'Exhibit G Federal'!L38</f>
        <v>4.5999999999999996</v>
      </c>
      <c r="N70" s="1272">
        <f>'Exhibit G State'!N69+'Exhibit G Federal'!N38</f>
        <v>5.9</v>
      </c>
      <c r="P70" s="1272">
        <f>'Exhibit G State'!P69+'Exhibit G Federal'!P38</f>
        <v>1.3</v>
      </c>
      <c r="R70" s="1272">
        <f>'Exhibit G State'!R69+'Exhibit G Federal'!R38</f>
        <v>62.5</v>
      </c>
      <c r="T70" s="1272">
        <f>'Exhibit G State'!T69+'Exhibit G Federal'!T38</f>
        <v>36.799999999999997</v>
      </c>
      <c r="V70" s="1272">
        <f>'Exhibit G State'!V69+'Exhibit G Federal'!V38</f>
        <v>32.700000000000003</v>
      </c>
      <c r="X70" s="1262"/>
      <c r="Z70" s="1262"/>
      <c r="AA70" s="1962"/>
      <c r="AB70" s="1962">
        <v>0</v>
      </c>
      <c r="AC70" s="260"/>
      <c r="AD70" s="249"/>
      <c r="AE70" s="2800">
        <f t="shared" si="23"/>
        <v>259.10000000000002</v>
      </c>
      <c r="AF70" s="260"/>
      <c r="AG70" s="249"/>
      <c r="AH70" s="512">
        <f>+'Exhibit G State'!AF69+'Exhibit G Federal'!AF38</f>
        <v>320</v>
      </c>
      <c r="AI70" s="515"/>
      <c r="AJ70" s="248"/>
      <c r="AK70" s="1111">
        <f t="shared" si="22"/>
        <v>-60.9</v>
      </c>
      <c r="AL70" s="247"/>
      <c r="AM70" s="2555">
        <f t="shared" si="24"/>
        <v>-0.19</v>
      </c>
    </row>
    <row r="71" spans="1:39" ht="15" customHeight="1">
      <c r="A71" s="223"/>
      <c r="B71" s="1669" t="s">
        <v>1241</v>
      </c>
      <c r="C71" s="223"/>
      <c r="D71" s="1272"/>
      <c r="E71" s="1272"/>
      <c r="F71" s="1272"/>
      <c r="H71" s="1272"/>
      <c r="J71" s="1272"/>
      <c r="L71" s="1272"/>
      <c r="N71" s="1272"/>
      <c r="P71" s="1262"/>
      <c r="R71" s="1262"/>
      <c r="T71" s="1262"/>
      <c r="V71" s="1262"/>
      <c r="X71" s="1262"/>
      <c r="Z71" s="1262"/>
      <c r="AA71" s="1962"/>
      <c r="AB71" s="1962"/>
      <c r="AC71" s="260"/>
      <c r="AD71" s="249"/>
      <c r="AE71" s="1111"/>
      <c r="AF71" s="260"/>
      <c r="AG71" s="249"/>
      <c r="AH71" s="512"/>
      <c r="AI71" s="515"/>
      <c r="AJ71" s="248"/>
      <c r="AK71" s="1111"/>
      <c r="AL71" s="247"/>
      <c r="AM71" s="1764"/>
    </row>
    <row r="72" spans="1:39" ht="15" customHeight="1">
      <c r="A72" s="223"/>
      <c r="B72" s="1669" t="s">
        <v>1163</v>
      </c>
      <c r="C72" s="223"/>
      <c r="D72" s="1272">
        <f>'Exhibit G State'!D71+'Exhibit G Federal'!D40</f>
        <v>12.4</v>
      </c>
      <c r="E72" s="1272"/>
      <c r="F72" s="1272">
        <f>'Exhibit G State'!F71+'Exhibit G Federal'!F40</f>
        <v>9.1</v>
      </c>
      <c r="G72" s="1272"/>
      <c r="H72" s="1272">
        <f>'Exhibit G State'!H71+'Exhibit G Federal'!H40</f>
        <v>8.4</v>
      </c>
      <c r="J72" s="1272">
        <f>'Exhibit G State'!J71+'Exhibit G Federal'!J40</f>
        <v>23</v>
      </c>
      <c r="L72" s="1272">
        <f>'Exhibit G State'!L71+'Exhibit G Federal'!L40</f>
        <v>8.6999999999999993</v>
      </c>
      <c r="N72" s="1272">
        <f>'Exhibit G State'!N71+'Exhibit G Federal'!N40</f>
        <v>9.1</v>
      </c>
      <c r="P72" s="1272">
        <f>'Exhibit G State'!P71+'Exhibit G Federal'!P40</f>
        <v>21.6</v>
      </c>
      <c r="R72" s="1272">
        <f>'Exhibit G State'!R71+'Exhibit G Federal'!R40</f>
        <v>10.7</v>
      </c>
      <c r="T72" s="1272">
        <f>'Exhibit G State'!T71+'Exhibit G Federal'!T40</f>
        <v>8.9</v>
      </c>
      <c r="V72" s="1272">
        <f>'Exhibit G State'!V71+'Exhibit G Federal'!V40</f>
        <v>6</v>
      </c>
      <c r="X72" s="1262"/>
      <c r="Z72" s="1262"/>
      <c r="AA72" s="1962"/>
      <c r="AB72" s="1962">
        <v>0</v>
      </c>
      <c r="AC72" s="260"/>
      <c r="AD72" s="249"/>
      <c r="AE72" s="1672">
        <f>ROUND(SUM(D72:AB72),1)</f>
        <v>117.9</v>
      </c>
      <c r="AF72" s="260"/>
      <c r="AG72" s="249"/>
      <c r="AH72" s="512">
        <f>+'Exhibit G State'!AF71+'Exhibit G Federal'!AF40</f>
        <v>120.8</v>
      </c>
      <c r="AI72" s="515"/>
      <c r="AJ72" s="248"/>
      <c r="AK72" s="1111">
        <f t="shared" ref="AK72:AK82" si="25">ROUND(SUM(+AE72-AH72),1)</f>
        <v>-2.9</v>
      </c>
      <c r="AL72" s="247"/>
      <c r="AM72" s="2636">
        <f>ROUND(IF(AH72=0,0,AK72/ABS(AH72)),3)</f>
        <v>-2.4E-2</v>
      </c>
    </row>
    <row r="73" spans="1:39" ht="15" customHeight="1">
      <c r="A73" s="223"/>
      <c r="B73" s="1669" t="s">
        <v>1164</v>
      </c>
      <c r="C73" s="223"/>
      <c r="D73" s="1272">
        <f>'Exhibit G State'!D72+'Exhibit G Federal'!D41</f>
        <v>0</v>
      </c>
      <c r="E73" s="1272"/>
      <c r="F73" s="1272">
        <f>'Exhibit G State'!F72+'Exhibit G Federal'!F41</f>
        <v>1</v>
      </c>
      <c r="G73" s="1272"/>
      <c r="H73" s="1272">
        <f>'Exhibit G State'!H72+'Exhibit G Federal'!H41</f>
        <v>0</v>
      </c>
      <c r="J73" s="1272">
        <f>'Exhibit G State'!J72+'Exhibit G Federal'!J41</f>
        <v>0.4</v>
      </c>
      <c r="L73" s="1272">
        <f>'Exhibit G State'!L72+'Exhibit G Federal'!L41</f>
        <v>0.3</v>
      </c>
      <c r="N73" s="1272">
        <f>'Exhibit G State'!N72+'Exhibit G Federal'!N41</f>
        <v>0.3</v>
      </c>
      <c r="P73" s="1272">
        <f>'Exhibit G State'!P72+'Exhibit G Federal'!P41</f>
        <v>0.4</v>
      </c>
      <c r="R73" s="1272">
        <f>'Exhibit G State'!R72+'Exhibit G Federal'!R41</f>
        <v>0.8</v>
      </c>
      <c r="T73" s="1272">
        <f>'Exhibit G State'!T72+'Exhibit G Federal'!T41</f>
        <v>0.6</v>
      </c>
      <c r="V73" s="1272">
        <f>'Exhibit G State'!V72+'Exhibit G Federal'!V41</f>
        <v>0.7</v>
      </c>
      <c r="X73" s="1262"/>
      <c r="Z73" s="1262"/>
      <c r="AA73" s="1962"/>
      <c r="AB73" s="1962">
        <v>0</v>
      </c>
      <c r="AC73" s="260"/>
      <c r="AD73" s="249"/>
      <c r="AE73" s="1672">
        <f t="shared" ref="AE73:AE80" si="26">ROUND(SUM(D73:AB73),1)</f>
        <v>4.5</v>
      </c>
      <c r="AF73" s="260"/>
      <c r="AG73" s="249"/>
      <c r="AH73" s="512">
        <f>+'Exhibit G State'!AF72+'Exhibit G Federal'!AF41</f>
        <v>4.5</v>
      </c>
      <c r="AI73" s="515"/>
      <c r="AJ73" s="248"/>
      <c r="AK73" s="1111">
        <f t="shared" si="25"/>
        <v>0</v>
      </c>
      <c r="AL73" s="247"/>
      <c r="AM73" s="1700">
        <f t="shared" ref="AM73:AM77" si="27">ROUND(IF(AH73=0,0,AK73/ABS(AH73)),3)</f>
        <v>0</v>
      </c>
    </row>
    <row r="74" spans="1:39" ht="15" customHeight="1">
      <c r="A74" s="223"/>
      <c r="B74" s="1669" t="s">
        <v>1165</v>
      </c>
      <c r="C74" s="223"/>
      <c r="D74" s="1272">
        <f>'Exhibit G State'!D73+'Exhibit G Federal'!D42</f>
        <v>1.1000000000000001</v>
      </c>
      <c r="E74" s="1272"/>
      <c r="F74" s="1272">
        <f>'Exhibit G State'!F73+'Exhibit G Federal'!F42</f>
        <v>1.3</v>
      </c>
      <c r="G74" s="1272"/>
      <c r="H74" s="1272">
        <f>'Exhibit G State'!H73+'Exhibit G Federal'!H42</f>
        <v>1.5</v>
      </c>
      <c r="J74" s="1272">
        <f>'Exhibit G State'!J73+'Exhibit G Federal'!J42</f>
        <v>0.5</v>
      </c>
      <c r="L74" s="1272">
        <f>'Exhibit G State'!L73+'Exhibit G Federal'!L42</f>
        <v>1.1000000000000001</v>
      </c>
      <c r="N74" s="1272">
        <f>'Exhibit G State'!N73+'Exhibit G Federal'!N42</f>
        <v>1.7</v>
      </c>
      <c r="P74" s="1272">
        <f>'Exhibit G State'!P73+'Exhibit G Federal'!P42</f>
        <v>0.8</v>
      </c>
      <c r="R74" s="1272">
        <f>'Exhibit G State'!R73+'Exhibit G Federal'!R42</f>
        <v>0.5</v>
      </c>
      <c r="T74" s="1272">
        <f>'Exhibit G State'!T73+'Exhibit G Federal'!T42</f>
        <v>0.1</v>
      </c>
      <c r="V74" s="1272">
        <f>'Exhibit G State'!V73+'Exhibit G Federal'!V42</f>
        <v>0.9</v>
      </c>
      <c r="X74" s="1262"/>
      <c r="Z74" s="1262"/>
      <c r="AA74" s="1962"/>
      <c r="AB74" s="1962">
        <v>0</v>
      </c>
      <c r="AC74" s="260"/>
      <c r="AD74" s="249"/>
      <c r="AE74" s="1672">
        <f t="shared" si="26"/>
        <v>9.5</v>
      </c>
      <c r="AF74" s="260"/>
      <c r="AG74" s="249"/>
      <c r="AH74" s="512">
        <f>+'Exhibit G State'!AF73+'Exhibit G Federal'!AF42</f>
        <v>9.8000000000000007</v>
      </c>
      <c r="AI74" s="515"/>
      <c r="AJ74" s="248"/>
      <c r="AK74" s="1111">
        <f t="shared" si="25"/>
        <v>-0.3</v>
      </c>
      <c r="AL74" s="247"/>
      <c r="AM74" s="1700">
        <f t="shared" si="27"/>
        <v>-3.1E-2</v>
      </c>
    </row>
    <row r="75" spans="1:39" ht="15" customHeight="1">
      <c r="A75" s="223"/>
      <c r="B75" s="1669" t="s">
        <v>1166</v>
      </c>
      <c r="C75" s="223"/>
      <c r="D75" s="1272">
        <f>'Exhibit G State'!D74+'Exhibit G Federal'!D43</f>
        <v>0</v>
      </c>
      <c r="E75" s="1272"/>
      <c r="F75" s="1272">
        <f>'Exhibit G State'!F74+'Exhibit G Federal'!F43</f>
        <v>0</v>
      </c>
      <c r="G75" s="1272"/>
      <c r="H75" s="1272">
        <f>'Exhibit G State'!H74+'Exhibit G Federal'!H43</f>
        <v>0.1</v>
      </c>
      <c r="J75" s="1272">
        <f>'Exhibit G State'!J74+'Exhibit G Federal'!J43</f>
        <v>0</v>
      </c>
      <c r="L75" s="1272">
        <f>'Exhibit G State'!L74+'Exhibit G Federal'!L43</f>
        <v>0</v>
      </c>
      <c r="N75" s="1272">
        <f>'Exhibit G State'!N74+'Exhibit G Federal'!N43</f>
        <v>-0.1</v>
      </c>
      <c r="P75" s="1272">
        <f>'Exhibit G State'!P74+'Exhibit G Federal'!P43</f>
        <v>0</v>
      </c>
      <c r="R75" s="1272">
        <f>'Exhibit G State'!R74+'Exhibit G Federal'!R43</f>
        <v>0</v>
      </c>
      <c r="T75" s="1272">
        <f>'Exhibit G State'!T74+'Exhibit G Federal'!T43</f>
        <v>0</v>
      </c>
      <c r="V75" s="1272">
        <f>'Exhibit G State'!V74+'Exhibit G Federal'!V43</f>
        <v>0</v>
      </c>
      <c r="X75" s="1262"/>
      <c r="Z75" s="1262"/>
      <c r="AA75" s="1962"/>
      <c r="AB75" s="1962">
        <v>0</v>
      </c>
      <c r="AC75" s="260"/>
      <c r="AD75" s="249"/>
      <c r="AE75" s="1672">
        <f t="shared" si="26"/>
        <v>0</v>
      </c>
      <c r="AF75" s="260"/>
      <c r="AG75" s="249"/>
      <c r="AH75" s="512">
        <f>+'Exhibit G State'!AF74+'Exhibit G Federal'!AF43</f>
        <v>5.0999999999999996</v>
      </c>
      <c r="AI75" s="515"/>
      <c r="AJ75" s="248"/>
      <c r="AK75" s="1111">
        <f t="shared" si="25"/>
        <v>-5.0999999999999996</v>
      </c>
      <c r="AL75" s="247"/>
      <c r="AM75" s="2582">
        <f t="shared" si="27"/>
        <v>-1</v>
      </c>
    </row>
    <row r="76" spans="1:39" ht="15" customHeight="1">
      <c r="A76" s="223"/>
      <c r="B76" s="1669" t="s">
        <v>1167</v>
      </c>
      <c r="C76" s="223"/>
      <c r="D76" s="1272">
        <f>'Exhibit G State'!D75+'Exhibit G Federal'!D44</f>
        <v>145.5</v>
      </c>
      <c r="E76" s="1272"/>
      <c r="F76" s="1272">
        <f>'Exhibit G State'!F75+'Exhibit G Federal'!F44</f>
        <v>96.6</v>
      </c>
      <c r="G76" s="1272"/>
      <c r="H76" s="1272">
        <f>'Exhibit G State'!H75+'Exhibit G Federal'!H44</f>
        <v>245.3</v>
      </c>
      <c r="J76" s="1272">
        <f>'Exhibit G State'!J75+'Exhibit G Federal'!J44</f>
        <v>133.1</v>
      </c>
      <c r="L76" s="1272">
        <f>'Exhibit G State'!L75+'Exhibit G Federal'!L44</f>
        <v>52.9</v>
      </c>
      <c r="N76" s="1272">
        <f>'Exhibit G State'!N75+'Exhibit G Federal'!N44</f>
        <v>281.5</v>
      </c>
      <c r="P76" s="1272">
        <f>'Exhibit G State'!P75+'Exhibit G Federal'!P44</f>
        <v>131.80000000000007</v>
      </c>
      <c r="R76" s="1272">
        <f>'Exhibit G State'!R75+'Exhibit G Federal'!R44</f>
        <v>207.8</v>
      </c>
      <c r="T76" s="1272">
        <f>'Exhibit G State'!T75+'Exhibit G Federal'!T44</f>
        <v>170.5</v>
      </c>
      <c r="V76" s="1272">
        <f>'Exhibit G State'!V75+'Exhibit G Federal'!V44</f>
        <v>90.9</v>
      </c>
      <c r="X76" s="1262"/>
      <c r="Z76" s="1262"/>
      <c r="AA76" s="1962"/>
      <c r="AB76" s="1962">
        <v>0</v>
      </c>
      <c r="AC76" s="260"/>
      <c r="AD76" s="249"/>
      <c r="AE76" s="1672">
        <f t="shared" si="26"/>
        <v>1555.9</v>
      </c>
      <c r="AF76" s="260"/>
      <c r="AG76" s="249"/>
      <c r="AH76" s="512">
        <f>+'Exhibit G State'!AF75+'Exhibit G Federal'!AF44</f>
        <v>1459.5</v>
      </c>
      <c r="AI76" s="515"/>
      <c r="AJ76" s="248"/>
      <c r="AK76" s="1111">
        <f t="shared" si="25"/>
        <v>96.4</v>
      </c>
      <c r="AL76" s="247"/>
      <c r="AM76" s="2616">
        <f t="shared" si="27"/>
        <v>6.6000000000000003E-2</v>
      </c>
    </row>
    <row r="77" spans="1:39" ht="15" customHeight="1">
      <c r="A77" s="223"/>
      <c r="B77" s="1669" t="s">
        <v>1168</v>
      </c>
      <c r="C77" s="223"/>
      <c r="D77" s="1272">
        <f>'Exhibit G State'!D76+'Exhibit G Federal'!D45</f>
        <v>12.600000000000001</v>
      </c>
      <c r="E77" s="1272"/>
      <c r="F77" s="1272">
        <f>'Exhibit G State'!F76+'Exhibit G Federal'!F45</f>
        <v>11.9</v>
      </c>
      <c r="G77" s="1272"/>
      <c r="H77" s="1272">
        <f>'Exhibit G State'!H76+'Exhibit G Federal'!H45</f>
        <v>16.399999999999999</v>
      </c>
      <c r="J77" s="1272">
        <f>'Exhibit G State'!J76+'Exhibit G Federal'!J45</f>
        <v>17.100000000000001</v>
      </c>
      <c r="L77" s="1272">
        <f>'Exhibit G State'!L76+'Exhibit G Federal'!L45</f>
        <v>14.7</v>
      </c>
      <c r="N77" s="1272">
        <f>'Exhibit G State'!N76+'Exhibit G Federal'!N45</f>
        <v>9.1000000000000014</v>
      </c>
      <c r="P77" s="1272">
        <f>'Exhibit G State'!P76+'Exhibit G Federal'!P45</f>
        <v>19.399999999999999</v>
      </c>
      <c r="R77" s="1272">
        <f>'Exhibit G State'!R76+'Exhibit G Federal'!R45</f>
        <v>13.5</v>
      </c>
      <c r="T77" s="1272">
        <f>'Exhibit G State'!T76+'Exhibit G Federal'!T45</f>
        <v>9.4</v>
      </c>
      <c r="V77" s="1272">
        <f>'Exhibit G State'!V76+'Exhibit G Federal'!V45</f>
        <v>14.600000000000001</v>
      </c>
      <c r="X77" s="1262"/>
      <c r="Z77" s="1262"/>
      <c r="AA77" s="1962"/>
      <c r="AB77" s="1962">
        <v>0</v>
      </c>
      <c r="AC77" s="260"/>
      <c r="AD77" s="249"/>
      <c r="AE77" s="1672">
        <f t="shared" si="26"/>
        <v>138.69999999999999</v>
      </c>
      <c r="AF77" s="260"/>
      <c r="AG77" s="249"/>
      <c r="AH77" s="512">
        <f>+'Exhibit G State'!AF76+'Exhibit G Federal'!AF45</f>
        <v>129.69999999999999</v>
      </c>
      <c r="AI77" s="515"/>
      <c r="AJ77" s="248"/>
      <c r="AK77" s="1111">
        <f t="shared" si="25"/>
        <v>9</v>
      </c>
      <c r="AL77" s="247"/>
      <c r="AM77" s="1700">
        <f t="shared" si="27"/>
        <v>6.9000000000000006E-2</v>
      </c>
    </row>
    <row r="78" spans="1:39" ht="15" customHeight="1">
      <c r="A78" s="223"/>
      <c r="B78" s="1669" t="s">
        <v>1169</v>
      </c>
      <c r="C78" s="223"/>
      <c r="D78" s="1272">
        <f>'Exhibit G State'!D77+'Exhibit G Federal'!D46</f>
        <v>5.3</v>
      </c>
      <c r="E78" s="1272"/>
      <c r="F78" s="1272">
        <f>'Exhibit G State'!F77+'Exhibit G Federal'!F46</f>
        <v>0.8</v>
      </c>
      <c r="G78" s="1272"/>
      <c r="H78" s="1272">
        <f>'Exhibit G State'!H77+'Exhibit G Federal'!H46</f>
        <v>1</v>
      </c>
      <c r="J78" s="1272">
        <f>'Exhibit G State'!J77+'Exhibit G Federal'!J46</f>
        <v>10.3</v>
      </c>
      <c r="L78" s="1272">
        <f>'Exhibit G State'!L77+'Exhibit G Federal'!L46</f>
        <v>0.8</v>
      </c>
      <c r="N78" s="1272">
        <f>'Exhibit G State'!N77+'Exhibit G Federal'!N46</f>
        <v>1.3</v>
      </c>
      <c r="P78" s="1272">
        <f>'Exhibit G State'!P77+'Exhibit G Federal'!P46</f>
        <v>6.1</v>
      </c>
      <c r="R78" s="1272">
        <f>'Exhibit G State'!R77+'Exhibit G Federal'!R46</f>
        <v>7.5</v>
      </c>
      <c r="T78" s="1272">
        <f>'Exhibit G State'!T77+'Exhibit G Federal'!T46</f>
        <v>0.8</v>
      </c>
      <c r="V78" s="1272">
        <f>'Exhibit G State'!V77+'Exhibit G Federal'!V46</f>
        <v>2</v>
      </c>
      <c r="X78" s="1262"/>
      <c r="Z78" s="1262"/>
      <c r="AA78" s="1962"/>
      <c r="AB78" s="1962">
        <v>0</v>
      </c>
      <c r="AC78" s="260"/>
      <c r="AD78" s="249"/>
      <c r="AE78" s="1672">
        <f t="shared" si="26"/>
        <v>35.9</v>
      </c>
      <c r="AF78" s="260"/>
      <c r="AG78" s="249"/>
      <c r="AH78" s="512">
        <f>+'Exhibit G State'!AF77+'Exhibit G Federal'!AF46</f>
        <v>121.2</v>
      </c>
      <c r="AI78" s="515"/>
      <c r="AJ78" s="248"/>
      <c r="AK78" s="1111">
        <f t="shared" si="25"/>
        <v>-85.3</v>
      </c>
      <c r="AL78" s="247"/>
      <c r="AM78" s="2555">
        <f>ROUND(IF(AH78=0,1,AK78/ABS(AH78)),3)</f>
        <v>-0.70399999999999996</v>
      </c>
    </row>
    <row r="79" spans="1:39" ht="15" customHeight="1">
      <c r="A79" s="223"/>
      <c r="B79" s="1669" t="s">
        <v>1170</v>
      </c>
      <c r="C79" s="223"/>
      <c r="D79" s="1272">
        <f>'Exhibit G State'!D78+'Exhibit G Federal'!D47</f>
        <v>8.1</v>
      </c>
      <c r="E79" s="1272"/>
      <c r="F79" s="1272">
        <f>'Exhibit G State'!F78+'Exhibit G Federal'!F47</f>
        <v>9.3000000000000007</v>
      </c>
      <c r="G79" s="1272"/>
      <c r="H79" s="1272">
        <f>'Exhibit G State'!H78+'Exhibit G Federal'!H47</f>
        <v>13.3</v>
      </c>
      <c r="J79" s="1272">
        <f>'Exhibit G State'!J78+'Exhibit G Federal'!J47</f>
        <v>8.1999999999999993</v>
      </c>
      <c r="L79" s="1272">
        <f>'Exhibit G State'!L78+'Exhibit G Federal'!L47</f>
        <v>10.5</v>
      </c>
      <c r="N79" s="1272">
        <f>'Exhibit G State'!N78+'Exhibit G Federal'!N47</f>
        <v>31.8</v>
      </c>
      <c r="P79" s="1272">
        <f>'Exhibit G State'!P78+'Exhibit G Federal'!P47</f>
        <v>7.3</v>
      </c>
      <c r="R79" s="1272">
        <f>'Exhibit G State'!R78+'Exhibit G Federal'!R47</f>
        <v>6.2</v>
      </c>
      <c r="T79" s="1272">
        <f>'Exhibit G State'!T78+'Exhibit G Federal'!T47</f>
        <v>8.1</v>
      </c>
      <c r="V79" s="1272">
        <f>'Exhibit G State'!V78+'Exhibit G Federal'!V47</f>
        <v>7.8</v>
      </c>
      <c r="X79" s="1262"/>
      <c r="Z79" s="1262"/>
      <c r="AA79" s="1962"/>
      <c r="AB79" s="1962">
        <v>0</v>
      </c>
      <c r="AC79" s="260"/>
      <c r="AD79" s="249"/>
      <c r="AE79" s="1672">
        <f t="shared" si="26"/>
        <v>110.6</v>
      </c>
      <c r="AF79" s="260"/>
      <c r="AG79" s="249"/>
      <c r="AH79" s="512">
        <f>+'Exhibit G State'!AF78+'Exhibit G Federal'!AF47</f>
        <v>97.3</v>
      </c>
      <c r="AI79" s="515"/>
      <c r="AJ79" s="248"/>
      <c r="AK79" s="1111">
        <f t="shared" si="25"/>
        <v>13.3</v>
      </c>
      <c r="AL79" s="247"/>
      <c r="AM79" s="1700">
        <f>ROUND(IF(AH79=0,0,AK79/ABS(AH79)),3)</f>
        <v>0.13700000000000001</v>
      </c>
    </row>
    <row r="80" spans="1:39" ht="15" customHeight="1">
      <c r="A80" s="223"/>
      <c r="B80" s="1669" t="s">
        <v>1171</v>
      </c>
      <c r="C80" s="223"/>
      <c r="D80" s="1272">
        <f>'Exhibit G State'!D79+'Exhibit G Federal'!D48</f>
        <v>49.5</v>
      </c>
      <c r="E80" s="1272"/>
      <c r="F80" s="1272">
        <f>'Exhibit G State'!F79+'Exhibit G Federal'!F48</f>
        <v>34.400000000000006</v>
      </c>
      <c r="G80" s="1272"/>
      <c r="H80" s="1272">
        <f>'Exhibit G State'!H79+'Exhibit G Federal'!H48</f>
        <v>36.700000000000003</v>
      </c>
      <c r="J80" s="1272">
        <f>'Exhibit G State'!J79+'Exhibit G Federal'!J48</f>
        <v>26.5</v>
      </c>
      <c r="L80" s="1272">
        <f>'Exhibit G State'!L79+'Exhibit G Federal'!L48</f>
        <v>44.6</v>
      </c>
      <c r="N80" s="1272">
        <f>'Exhibit G State'!N79+'Exhibit G Federal'!N48</f>
        <v>38.800000000000004</v>
      </c>
      <c r="P80" s="1272">
        <f>'Exhibit G State'!P79+'Exhibit G Federal'!P48</f>
        <v>47.7</v>
      </c>
      <c r="R80" s="1272">
        <f>'Exhibit G State'!R79+'Exhibit G Federal'!R48</f>
        <v>41.6</v>
      </c>
      <c r="T80" s="1272">
        <f>'Exhibit G State'!T79+'Exhibit G Federal'!T48</f>
        <v>29.4</v>
      </c>
      <c r="V80" s="1272">
        <f>'Exhibit G State'!V79+'Exhibit G Federal'!V48</f>
        <v>23.7</v>
      </c>
      <c r="X80" s="1262"/>
      <c r="Z80" s="1262"/>
      <c r="AA80" s="1962"/>
      <c r="AB80" s="1962">
        <v>0</v>
      </c>
      <c r="AC80" s="260"/>
      <c r="AD80" s="249"/>
      <c r="AE80" s="1672">
        <f t="shared" si="26"/>
        <v>372.9</v>
      </c>
      <c r="AF80" s="260"/>
      <c r="AG80" s="249"/>
      <c r="AH80" s="512">
        <f>+'Exhibit G State'!AF79+'Exhibit G Federal'!AF48</f>
        <v>382.40000000000003</v>
      </c>
      <c r="AI80" s="515"/>
      <c r="AJ80" s="248"/>
      <c r="AK80" s="1111">
        <f t="shared" si="25"/>
        <v>-9.5</v>
      </c>
      <c r="AL80" s="247"/>
      <c r="AM80" s="2636">
        <f>ROUND(IF(AH80=0,0,AK80/ABS(AH80)),3)</f>
        <v>-2.5000000000000001E-2</v>
      </c>
    </row>
    <row r="81" spans="1:46" ht="15" customHeight="1">
      <c r="A81" s="223"/>
      <c r="B81" s="1669" t="s">
        <v>1143</v>
      </c>
      <c r="C81" s="223"/>
      <c r="D81" s="1272">
        <f>'Exhibit G State'!D80+'Exhibit G Federal'!D49</f>
        <v>0.4</v>
      </c>
      <c r="E81" s="1272"/>
      <c r="F81" s="1272">
        <f>'Exhibit G State'!F80+'Exhibit G Federal'!F49</f>
        <v>1.3</v>
      </c>
      <c r="G81" s="1272"/>
      <c r="H81" s="1272">
        <f>'Exhibit G State'!H80+'Exhibit G Federal'!H49</f>
        <v>1.1000000000000001</v>
      </c>
      <c r="J81" s="1272">
        <f>'Exhibit G State'!J80+'Exhibit G Federal'!J49</f>
        <v>1.3</v>
      </c>
      <c r="L81" s="1272">
        <f>'Exhibit G State'!L80+'Exhibit G Federal'!L49</f>
        <v>1</v>
      </c>
      <c r="N81" s="1272">
        <f>'Exhibit G State'!N80+'Exhibit G Federal'!N49</f>
        <v>1.2</v>
      </c>
      <c r="P81" s="1272">
        <f>'Exhibit G State'!P80+'Exhibit G Federal'!P49</f>
        <v>1.4</v>
      </c>
      <c r="R81" s="1272">
        <f>'Exhibit G State'!R80+'Exhibit G Federal'!R49</f>
        <v>1.2</v>
      </c>
      <c r="T81" s="1272">
        <f>'Exhibit G State'!T80+'Exhibit G Federal'!T49</f>
        <v>1.2000000000000002</v>
      </c>
      <c r="V81" s="1272">
        <f>'Exhibit G State'!V80+'Exhibit G Federal'!V49</f>
        <v>4.0999999999999996</v>
      </c>
      <c r="X81" s="1262"/>
      <c r="Z81" s="1262"/>
      <c r="AA81" s="1962"/>
      <c r="AB81" s="1962">
        <v>0</v>
      </c>
      <c r="AC81" s="260"/>
      <c r="AD81" s="249"/>
      <c r="AE81" s="260">
        <f>ROUND(SUM(D81:AB81),1)</f>
        <v>14.2</v>
      </c>
      <c r="AF81" s="260"/>
      <c r="AG81" s="249"/>
      <c r="AH81" s="512">
        <f>+'Exhibit G State'!AF80+'Exhibit G Federal'!AF49</f>
        <v>21.8</v>
      </c>
      <c r="AI81" s="515"/>
      <c r="AJ81" s="248"/>
      <c r="AK81" s="1111">
        <f t="shared" si="25"/>
        <v>-7.6</v>
      </c>
      <c r="AL81" s="247"/>
      <c r="AM81" s="1700">
        <f>ROUND(IF(AH81=0,0,AK81/ABS(AH81)),3)</f>
        <v>-0.34899999999999998</v>
      </c>
    </row>
    <row r="82" spans="1:46" ht="15" customHeight="1">
      <c r="A82" s="223"/>
      <c r="B82" s="1669" t="s">
        <v>1144</v>
      </c>
      <c r="C82" s="223"/>
      <c r="D82" s="1272">
        <f>'Exhibit G State'!D81+'Exhibit G Federal'!D50</f>
        <v>43.8</v>
      </c>
      <c r="E82" s="1272"/>
      <c r="F82" s="1272">
        <f>'Exhibit G State'!F81+'Exhibit G Federal'!F50</f>
        <v>42.4</v>
      </c>
      <c r="G82" s="1272"/>
      <c r="H82" s="1272">
        <f>'Exhibit G State'!H81+'Exhibit G Federal'!H50</f>
        <v>77.3</v>
      </c>
      <c r="J82" s="1272">
        <f>'Exhibit G State'!J81+'Exhibit G Federal'!J50</f>
        <v>37.799999999999997</v>
      </c>
      <c r="L82" s="1272">
        <f>'Exhibit G State'!L81+'Exhibit G Federal'!L50</f>
        <v>193.3</v>
      </c>
      <c r="N82" s="1272">
        <f>'Exhibit G State'!N81+'Exhibit G Federal'!N50</f>
        <v>415.2</v>
      </c>
      <c r="P82" s="1272">
        <f>'Exhibit G State'!P81+'Exhibit G Federal'!P50</f>
        <v>167.1</v>
      </c>
      <c r="R82" s="1272">
        <f>'Exhibit G State'!R81+'Exhibit G Federal'!R50</f>
        <v>67.3</v>
      </c>
      <c r="T82" s="1272">
        <f>'Exhibit G State'!T81+'Exhibit G Federal'!T50</f>
        <v>54.1</v>
      </c>
      <c r="V82" s="1272">
        <f>'Exhibit G State'!V81+'Exhibit G Federal'!V50</f>
        <v>285.8</v>
      </c>
      <c r="X82" s="1262"/>
      <c r="Z82" s="1262"/>
      <c r="AA82" s="1962"/>
      <c r="AB82" s="1962">
        <v>0</v>
      </c>
      <c r="AC82" s="260"/>
      <c r="AD82" s="249"/>
      <c r="AE82" s="260">
        <f>ROUND(SUM(D82:AB82),1)</f>
        <v>1384.1</v>
      </c>
      <c r="AF82" s="260"/>
      <c r="AG82" s="249"/>
      <c r="AH82" s="512">
        <f>+'Exhibit G State'!AF81+'Exhibit G Federal'!AF50</f>
        <v>1368.3</v>
      </c>
      <c r="AI82" s="515"/>
      <c r="AJ82" s="248"/>
      <c r="AK82" s="1111">
        <f t="shared" si="25"/>
        <v>15.8</v>
      </c>
      <c r="AL82" s="247"/>
      <c r="AM82" s="1700">
        <f>ROUND(IF(AH82=0,0,AK82/ABS(AH82)),3)</f>
        <v>1.2E-2</v>
      </c>
    </row>
    <row r="83" spans="1:46" s="410" customFormat="1" ht="15" customHeight="1">
      <c r="A83" s="221"/>
      <c r="B83" s="583" t="s">
        <v>1327</v>
      </c>
      <c r="C83" s="221"/>
      <c r="D83" s="480">
        <f>ROUND(SUM(D45:D82),1)</f>
        <v>1256.2</v>
      </c>
      <c r="E83"/>
      <c r="F83" s="480">
        <f t="shared" ref="F83" si="28">ROUND(SUM(F45:F82),1)</f>
        <v>1236.8</v>
      </c>
      <c r="G83"/>
      <c r="H83" s="480">
        <f>ROUND(SUM(H45:H82),1)</f>
        <v>1473.3</v>
      </c>
      <c r="I83"/>
      <c r="J83" s="480">
        <f>ROUND(SUM(J45:J82),1)</f>
        <v>1305.5</v>
      </c>
      <c r="K83"/>
      <c r="L83" s="480">
        <f t="shared" ref="L83" si="29">ROUND(SUM(L45:L82),1)</f>
        <v>1510</v>
      </c>
      <c r="M83"/>
      <c r="N83" s="480">
        <f t="shared" ref="N83" si="30">ROUND(SUM(N45:N82),1)</f>
        <v>1978.7</v>
      </c>
      <c r="O83"/>
      <c r="P83" s="480">
        <f>ROUND(SUM(P45:P82),1)</f>
        <v>1391.7</v>
      </c>
      <c r="Q83"/>
      <c r="R83" s="480">
        <f>ROUND(SUM(R45:R82),1)</f>
        <v>1421.8</v>
      </c>
      <c r="S83"/>
      <c r="T83" s="480">
        <f>ROUND(SUM(T45:T82),1)</f>
        <v>1506.9</v>
      </c>
      <c r="U83"/>
      <c r="V83" s="480">
        <f>ROUND(SUM(V45:V82),1)</f>
        <v>1549.6</v>
      </c>
      <c r="W83"/>
      <c r="X83" s="480">
        <f>ROUND(SUM(X45:X82),1)</f>
        <v>0</v>
      </c>
      <c r="Y83"/>
      <c r="Z83" s="480">
        <f>ROUND(SUM(Z45:Z82),1)</f>
        <v>0</v>
      </c>
      <c r="AA83" s="2801"/>
      <c r="AB83" s="480">
        <f>ROUND(SUM(AB45:AB82),1)</f>
        <v>0</v>
      </c>
      <c r="AC83" s="1719"/>
      <c r="AD83" s="258"/>
      <c r="AE83" s="480">
        <f>ROUND(SUM(AE45:AE82),1)</f>
        <v>14630.5</v>
      </c>
      <c r="AF83" s="1719"/>
      <c r="AG83" s="258"/>
      <c r="AH83" s="480">
        <f>ROUND(SUM(AH45:AH82),1)</f>
        <v>14313.3</v>
      </c>
      <c r="AI83" s="518"/>
      <c r="AJ83" s="272"/>
      <c r="AK83" s="480">
        <f>ROUND(SUM(AK45:AK82),1)</f>
        <v>317.2</v>
      </c>
      <c r="AL83" s="996"/>
      <c r="AM83" s="1933">
        <f>ROUND(SUM(+AK83/AH83),3)</f>
        <v>2.1999999999999999E-2</v>
      </c>
    </row>
    <row r="84" spans="1:46" ht="15" customHeight="1">
      <c r="A84" s="223"/>
      <c r="B84" s="1566"/>
      <c r="C84" s="223"/>
      <c r="D84" s="1111"/>
      <c r="F84" s="260"/>
      <c r="H84" s="260"/>
      <c r="J84" s="260"/>
      <c r="L84" s="260"/>
      <c r="N84" s="260"/>
      <c r="P84" s="260"/>
      <c r="R84" s="260"/>
      <c r="T84" s="260"/>
      <c r="V84" s="260"/>
      <c r="X84" s="273"/>
      <c r="Z84" s="514"/>
      <c r="AA84" s="514"/>
      <c r="AB84" s="514"/>
      <c r="AC84" s="260"/>
      <c r="AD84" s="249"/>
      <c r="AE84" s="260"/>
      <c r="AF84" s="260"/>
      <c r="AG84" s="249"/>
      <c r="AH84" s="260"/>
      <c r="AI84" s="511"/>
      <c r="AJ84" s="248"/>
      <c r="AK84" s="1111"/>
      <c r="AL84" s="247"/>
      <c r="AM84" s="1764"/>
    </row>
    <row r="85" spans="1:46" ht="15" customHeight="1">
      <c r="A85" s="223"/>
      <c r="B85" s="516" t="s">
        <v>153</v>
      </c>
      <c r="C85" s="223"/>
      <c r="D85" s="1262">
        <f>+'Exhibit G State'!D84+'Exhibit G Federal'!D53</f>
        <v>3337.1</v>
      </c>
      <c r="E85" s="1262"/>
      <c r="F85" s="1262">
        <f>+'Exhibit G State'!F84+'Exhibit G Federal'!F53</f>
        <v>4582.3999999999996</v>
      </c>
      <c r="G85" s="1262"/>
      <c r="H85" s="1262">
        <f>+'Exhibit G State'!H84+'Exhibit G Federal'!H53</f>
        <v>5398.6</v>
      </c>
      <c r="J85" s="1262">
        <f>+'Exhibit G State'!J84+'Exhibit G Federal'!J53</f>
        <v>3633.4</v>
      </c>
      <c r="L85" s="1262">
        <f>+'Exhibit G State'!L84+'Exhibit G Federal'!L53</f>
        <v>5066.8999999999996</v>
      </c>
      <c r="N85" s="1262">
        <f>+'Exhibit G State'!N84+'Exhibit G Federal'!N53</f>
        <v>5002.3</v>
      </c>
      <c r="P85" s="1262">
        <f>+'Exhibit G State'!P84+'Exhibit G Federal'!P53</f>
        <v>4086.5</v>
      </c>
      <c r="R85" s="1262">
        <f>+'Exhibit G State'!R84+'Exhibit G Federal'!R53</f>
        <v>5078.8999999999996</v>
      </c>
      <c r="T85" s="1262">
        <f>+'Exhibit G State'!T84+'Exhibit G Federal'!T53</f>
        <v>4748.8</v>
      </c>
      <c r="V85" s="1262">
        <f>+'Exhibit G State'!V84+'Exhibit G Federal'!V53</f>
        <v>3633.6</v>
      </c>
      <c r="X85" s="1262"/>
      <c r="Z85" s="1262"/>
      <c r="AA85" s="1962"/>
      <c r="AB85" s="1962">
        <v>0</v>
      </c>
      <c r="AC85" s="260"/>
      <c r="AD85" s="249"/>
      <c r="AE85" s="260">
        <f>ROUND(SUM(D85:AB85),1)</f>
        <v>44568.5</v>
      </c>
      <c r="AF85" s="260"/>
      <c r="AG85" s="249"/>
      <c r="AH85" s="512">
        <f>'Exhibit G State'!AF84+'Exhibit G Federal'!AF53</f>
        <v>41568.400000000001</v>
      </c>
      <c r="AI85" s="511"/>
      <c r="AJ85" s="248"/>
      <c r="AK85" s="1740">
        <f>ROUND(SUM(+AE85-AH85),1)</f>
        <v>3000.1</v>
      </c>
      <c r="AL85" s="982"/>
      <c r="AM85" s="1700">
        <f>ROUND(IF(AH85=0,0,AK85/ABS(AH85)),3)</f>
        <v>7.1999999999999995E-2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27"/>
      <c r="AM86" s="2532"/>
    </row>
    <row r="87" spans="1:46" ht="15" customHeight="1">
      <c r="A87" s="223"/>
      <c r="B87" s="221" t="s">
        <v>154</v>
      </c>
      <c r="C87" s="223"/>
      <c r="D87" s="1719">
        <f>ROUND(SUM(D85+D83+D41),1)</f>
        <v>5031.1000000000004</v>
      </c>
      <c r="F87" s="1719">
        <f t="shared" ref="F87" si="31">ROUND(SUM(F85+F83+F41),1)</f>
        <v>6144.8</v>
      </c>
      <c r="H87" s="1719">
        <f>ROUND(SUM(H85+H83+H41),1)</f>
        <v>7425.1</v>
      </c>
      <c r="J87" s="1719">
        <f>ROUND(SUM(J85+J83+J41),1)</f>
        <v>5283.5</v>
      </c>
      <c r="L87" s="1719">
        <f t="shared" ref="L87" si="32">ROUND(SUM(L85+L83+L41),1)</f>
        <v>6949.5</v>
      </c>
      <c r="N87" s="1719">
        <f t="shared" ref="N87" si="33">ROUND(SUM(N85+N83+N41),1)</f>
        <v>7472.6</v>
      </c>
      <c r="P87" s="1719">
        <f>ROUND(SUM(P85+P83+P41),1)</f>
        <v>5837.8</v>
      </c>
      <c r="R87" s="1719">
        <f>ROUND(SUM(R85+R83+R41),1)</f>
        <v>6843.7</v>
      </c>
      <c r="T87" s="1719">
        <f>ROUND(SUM(T85+T83+T41),1)</f>
        <v>6915.2</v>
      </c>
      <c r="V87" s="1719">
        <f>ROUND(SUM(V85+V83+V41),1)</f>
        <v>8072.5</v>
      </c>
      <c r="X87" s="1719">
        <f>ROUND(SUM(X85+X83+X41),1)</f>
        <v>0</v>
      </c>
      <c r="Z87" s="1719">
        <f>ROUND(SUM(Z85+Z83+Z41),1)</f>
        <v>0</v>
      </c>
      <c r="AA87" s="1719"/>
      <c r="AB87" s="1719">
        <f>ROUND(SUM(AB85+AB83+AB41),1)</f>
        <v>0</v>
      </c>
      <c r="AC87" s="256"/>
      <c r="AD87" s="258"/>
      <c r="AE87" s="1719">
        <f>ROUND(SUM(AE85+AE83+AE41),1)</f>
        <v>65975.8</v>
      </c>
      <c r="AF87" s="256"/>
      <c r="AG87" s="258"/>
      <c r="AH87" s="1719">
        <f>ROUND(SUM(AH85+AH83+AH41),1)</f>
        <v>62903.1</v>
      </c>
      <c r="AI87" s="518"/>
      <c r="AJ87" s="272"/>
      <c r="AK87" s="270">
        <f>ROUND(SUM(AK85+AK83+AK41),1)</f>
        <v>3072.7</v>
      </c>
      <c r="AL87" s="520"/>
      <c r="AM87" s="1767">
        <f>ROUND(SUM(+AK87/AH87),3)</f>
        <v>4.9000000000000002E-2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1"/>
      <c r="AM88" s="1764"/>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493"/>
      <c r="AG89" s="1490"/>
      <c r="AH89" s="260"/>
      <c r="AI89" s="511"/>
      <c r="AJ89" s="248"/>
      <c r="AK89" s="1111"/>
      <c r="AM89" s="1764"/>
    </row>
    <row r="90" spans="1:46" ht="15" customHeight="1">
      <c r="A90" s="223"/>
      <c r="B90" s="1279" t="s">
        <v>155</v>
      </c>
      <c r="C90" s="223"/>
      <c r="D90" s="260"/>
      <c r="F90" s="273"/>
      <c r="H90" s="317"/>
      <c r="J90" s="317"/>
      <c r="L90" s="316"/>
      <c r="N90" s="316"/>
      <c r="P90" s="316"/>
      <c r="R90" s="316"/>
      <c r="T90" s="316"/>
      <c r="V90" s="316"/>
      <c r="X90" s="273"/>
      <c r="Z90" s="514"/>
      <c r="AA90" s="514"/>
      <c r="AB90" s="514"/>
      <c r="AC90" s="260"/>
      <c r="AD90" s="249"/>
      <c r="AE90" s="260"/>
      <c r="AF90" s="260"/>
      <c r="AG90" s="249"/>
      <c r="AH90" s="316"/>
      <c r="AI90" s="511"/>
      <c r="AJ90" s="248"/>
      <c r="AK90" s="1111"/>
      <c r="AM90" s="1204"/>
    </row>
    <row r="91" spans="1:46" ht="15" customHeight="1">
      <c r="A91" s="223"/>
      <c r="B91" s="379" t="s">
        <v>25</v>
      </c>
      <c r="C91" s="223"/>
      <c r="D91" s="1262">
        <f>+'Exhibit G State'!D90+'Exhibit G Federal'!D59</f>
        <v>263.60000000000002</v>
      </c>
      <c r="E91" s="1262"/>
      <c r="F91" s="1262">
        <f>+'Exhibit G State'!F90+'Exhibit G Federal'!F59</f>
        <v>365.4</v>
      </c>
      <c r="G91" s="1262"/>
      <c r="H91" s="1262">
        <f>+'Exhibit G State'!H90+'Exhibit G Federal'!H59</f>
        <v>839.3</v>
      </c>
      <c r="J91" s="1262">
        <f>+'Exhibit G State'!J90+'Exhibit G Federal'!J59</f>
        <v>249</v>
      </c>
      <c r="L91" s="1262">
        <f>+'Exhibit G State'!L90+'Exhibit G Federal'!L59</f>
        <v>234.9</v>
      </c>
      <c r="N91" s="1262">
        <f>+'Exhibit G State'!N90+'Exhibit G Federal'!N59</f>
        <v>2335.9</v>
      </c>
      <c r="P91" s="1262">
        <f>+'Exhibit G State'!P90+'Exhibit G Federal'!P59</f>
        <v>325.70000000000005</v>
      </c>
      <c r="R91" s="1262">
        <f>+'Exhibit G State'!R90+'Exhibit G Federal'!R59</f>
        <v>418.4</v>
      </c>
      <c r="T91" s="1262">
        <f>+'Exhibit G State'!T90+'Exhibit G Federal'!T59</f>
        <v>595.1</v>
      </c>
      <c r="V91" s="1262">
        <f>+'Exhibit G State'!V90+'Exhibit G Federal'!V59</f>
        <v>2802.8</v>
      </c>
      <c r="X91" s="1262"/>
      <c r="Z91" s="1262"/>
      <c r="AA91" s="1962"/>
      <c r="AB91" s="1962">
        <v>0</v>
      </c>
      <c r="AC91" s="260"/>
      <c r="AD91" s="249"/>
      <c r="AE91" s="260">
        <f>ROUND(SUM(D91:AB91),1)</f>
        <v>8430.1</v>
      </c>
      <c r="AF91" s="260"/>
      <c r="AG91" s="249"/>
      <c r="AH91" s="261">
        <f>'Exhibit G State'!AF90+'Exhibit G Federal'!AF59</f>
        <v>8155.4</v>
      </c>
      <c r="AI91" s="511"/>
      <c r="AJ91" s="248"/>
      <c r="AK91" s="1111">
        <f>ROUND(SUM(+AE91-AH91),1)</f>
        <v>274.7</v>
      </c>
      <c r="AL91" s="982"/>
      <c r="AM91" s="1700">
        <f>ROUND(IF(AH91=0,0,AK91/ABS(AH91)),3)</f>
        <v>3.4000000000000002E-2</v>
      </c>
      <c r="AS91" s="339"/>
      <c r="AT91" s="472"/>
    </row>
    <row r="92" spans="1:46" ht="15" customHeight="1">
      <c r="A92" s="223"/>
      <c r="B92" s="379" t="s">
        <v>26</v>
      </c>
      <c r="C92" s="223"/>
      <c r="D92" s="1262">
        <f>+'Exhibit G State'!D91+'Exhibit G Federal'!D60</f>
        <v>0.3</v>
      </c>
      <c r="E92" s="1262"/>
      <c r="F92" s="1262">
        <f>+'Exhibit G State'!F91+'Exhibit G Federal'!F60</f>
        <v>0</v>
      </c>
      <c r="G92" s="1262"/>
      <c r="H92" s="1262">
        <f>+'Exhibit G State'!H91+'Exhibit G Federal'!H60</f>
        <v>0.30000000000000004</v>
      </c>
      <c r="J92" s="1262">
        <f>+'Exhibit G State'!J91+'Exhibit G Federal'!J60</f>
        <v>0.60000000000000009</v>
      </c>
      <c r="L92" s="1262">
        <f>+'Exhibit G State'!L91+'Exhibit G Federal'!L60</f>
        <v>0.2</v>
      </c>
      <c r="N92" s="1262">
        <f>+'Exhibit G State'!N91+'Exhibit G Federal'!N60</f>
        <v>0.5</v>
      </c>
      <c r="P92" s="1262">
        <f>+'Exhibit G State'!P91+'Exhibit G Federal'!P60</f>
        <v>0</v>
      </c>
      <c r="R92" s="1262">
        <f>+'Exhibit G State'!R91+'Exhibit G Federal'!R60</f>
        <v>0.1</v>
      </c>
      <c r="T92" s="1262">
        <f>+'Exhibit G State'!T91+'Exhibit G Federal'!T60</f>
        <v>1.8</v>
      </c>
      <c r="V92" s="1262">
        <f>+'Exhibit G State'!V91+'Exhibit G Federal'!V60</f>
        <v>0.79999999999999993</v>
      </c>
      <c r="X92" s="1262"/>
      <c r="Z92" s="1262"/>
      <c r="AA92" s="1962"/>
      <c r="AB92" s="1962">
        <v>0</v>
      </c>
      <c r="AC92" s="260"/>
      <c r="AD92" s="249"/>
      <c r="AE92" s="260">
        <f t="shared" ref="AE92:AE93" si="34">ROUND(SUM(D92:AB92),1)</f>
        <v>4.5999999999999996</v>
      </c>
      <c r="AF92" s="260"/>
      <c r="AG92" s="249"/>
      <c r="AH92" s="261">
        <f>'Exhibit G State'!AF91+'Exhibit G Federal'!AF60</f>
        <v>6</v>
      </c>
      <c r="AI92" s="511"/>
      <c r="AJ92" s="248"/>
      <c r="AK92" s="1111">
        <f>ROUND(SUM(+AE92-AH92),1)</f>
        <v>-1.4</v>
      </c>
      <c r="AL92" s="982"/>
      <c r="AM92" s="1700">
        <f>ROUND(IF(AH92=0,0,AK92/ABS(AH92)),3)</f>
        <v>-0.23300000000000001</v>
      </c>
      <c r="AS92" s="472"/>
      <c r="AT92" s="472"/>
    </row>
    <row r="93" spans="1:46" ht="15" customHeight="1">
      <c r="A93" s="223"/>
      <c r="B93" s="379" t="s">
        <v>27</v>
      </c>
      <c r="C93" s="223"/>
      <c r="D93" s="1262">
        <f>+'Exhibit G State'!D92+'Exhibit G Federal'!D61</f>
        <v>16.3</v>
      </c>
      <c r="E93" s="1262"/>
      <c r="F93" s="1262">
        <f>+'Exhibit G State'!F92+'Exhibit G Federal'!F61</f>
        <v>26.5</v>
      </c>
      <c r="G93" s="1262"/>
      <c r="H93" s="1262">
        <f>+'Exhibit G State'!H92+'Exhibit G Federal'!H61</f>
        <v>10.5</v>
      </c>
      <c r="J93" s="1262">
        <f>+'Exhibit G State'!J92+'Exhibit G Federal'!J61</f>
        <v>22.7</v>
      </c>
      <c r="L93" s="1262">
        <f>+'Exhibit G State'!L92+'Exhibit G Federal'!L61</f>
        <v>24.299999999999997</v>
      </c>
      <c r="N93" s="1262">
        <f>+'Exhibit G State'!N92+'Exhibit G Federal'!N61</f>
        <v>12.3</v>
      </c>
      <c r="P93" s="1262">
        <f>+'Exhibit G State'!P92+'Exhibit G Federal'!P61</f>
        <v>11.299999999999999</v>
      </c>
      <c r="R93" s="1262">
        <f>+'Exhibit G State'!R92+'Exhibit G Federal'!R61</f>
        <v>12.5</v>
      </c>
      <c r="T93" s="1262">
        <f>+'Exhibit G State'!T92+'Exhibit G Federal'!T61</f>
        <v>28.4</v>
      </c>
      <c r="V93" s="1262">
        <f>+'Exhibit G State'!V92+'Exhibit G Federal'!V61</f>
        <v>11.6</v>
      </c>
      <c r="X93" s="1262"/>
      <c r="Z93" s="1262"/>
      <c r="AA93" s="1962"/>
      <c r="AB93" s="1962">
        <v>0</v>
      </c>
      <c r="AC93" s="260"/>
      <c r="AD93" s="249"/>
      <c r="AE93" s="260">
        <f t="shared" si="34"/>
        <v>176.4</v>
      </c>
      <c r="AF93" s="260"/>
      <c r="AG93" s="249"/>
      <c r="AH93" s="261">
        <f>'Exhibit G State'!AF92+'Exhibit G Federal'!AF61</f>
        <v>193.2</v>
      </c>
      <c r="AI93" s="511"/>
      <c r="AJ93" s="248"/>
      <c r="AK93" s="1111">
        <f>ROUND(SUM(+AE93-AH93),1)</f>
        <v>-16.8</v>
      </c>
      <c r="AL93" s="982"/>
      <c r="AM93" s="1700">
        <f>ROUND(IF(AH93=0,0,AK93/ABS(AH93)),3)</f>
        <v>-8.6999999999999994E-2</v>
      </c>
      <c r="AS93" s="472"/>
      <c r="AT93" s="472"/>
    </row>
    <row r="94" spans="1:46" ht="15" customHeight="1">
      <c r="A94" s="223"/>
      <c r="B94" s="379" t="s">
        <v>28</v>
      </c>
      <c r="C94" s="223"/>
      <c r="D94" s="248"/>
      <c r="F94" s="248"/>
      <c r="H94" s="248"/>
      <c r="J94" s="248"/>
      <c r="L94" s="248"/>
      <c r="N94" s="248"/>
      <c r="P94" s="2800"/>
      <c r="R94" s="2800"/>
      <c r="T94" s="2800"/>
      <c r="V94" s="2800"/>
      <c r="X94" s="1741"/>
      <c r="Z94" s="1741"/>
      <c r="AA94" s="1962"/>
      <c r="AB94" s="1962"/>
      <c r="AC94" s="260"/>
      <c r="AD94" s="249"/>
      <c r="AE94" s="260"/>
      <c r="AF94" s="260"/>
      <c r="AG94" s="249"/>
      <c r="AH94" s="261"/>
      <c r="AI94" s="511"/>
      <c r="AJ94" s="248"/>
      <c r="AK94" s="1111" t="s">
        <v>15</v>
      </c>
      <c r="AL94" s="1203" t="s">
        <v>15</v>
      </c>
      <c r="AM94" s="1204" t="s">
        <v>15</v>
      </c>
      <c r="AS94" s="339"/>
      <c r="AT94" s="339"/>
    </row>
    <row r="95" spans="1:46" ht="15" customHeight="1">
      <c r="A95" s="223"/>
      <c r="B95" s="1567" t="s">
        <v>29</v>
      </c>
      <c r="C95" s="223"/>
      <c r="D95" s="1262">
        <f>+'Exhibit G State'!D94+'Exhibit G Federal'!D63</f>
        <v>3090</v>
      </c>
      <c r="E95" s="1262"/>
      <c r="F95" s="1262">
        <f>+'Exhibit G State'!F94+'Exhibit G Federal'!F63</f>
        <v>4119</v>
      </c>
      <c r="G95" s="1262"/>
      <c r="H95" s="1262">
        <f>+'Exhibit G State'!H94+'Exhibit G Federal'!H63</f>
        <v>2968</v>
      </c>
      <c r="J95" s="1262">
        <f>+'Exhibit G State'!J94+'Exhibit G Federal'!J63</f>
        <v>2959.2999999999997</v>
      </c>
      <c r="L95" s="1262">
        <f>+'Exhibit G State'!L94+'Exhibit G Federal'!L63</f>
        <v>4389.2</v>
      </c>
      <c r="N95" s="1262">
        <f>+'Exhibit G State'!N94+'Exhibit G Federal'!N63</f>
        <v>3245.9</v>
      </c>
      <c r="P95" s="1262">
        <f>+'Exhibit G State'!P94+'Exhibit G Federal'!P63</f>
        <v>3276.200000000003</v>
      </c>
      <c r="R95" s="1262">
        <f>+'Exhibit G State'!R94+'Exhibit G Federal'!R63</f>
        <v>3939</v>
      </c>
      <c r="T95" s="1262">
        <f>+'Exhibit G State'!T94+'Exhibit G Federal'!T63</f>
        <v>3341.5</v>
      </c>
      <c r="V95" s="1262">
        <f>+'Exhibit G State'!V94+'Exhibit G Federal'!V63</f>
        <v>3438.7999999999997</v>
      </c>
      <c r="X95" s="1262"/>
      <c r="Z95" s="1262"/>
      <c r="AA95" s="1962"/>
      <c r="AB95" s="1962">
        <v>0</v>
      </c>
      <c r="AC95" s="260"/>
      <c r="AD95" s="249"/>
      <c r="AE95" s="260">
        <f>ROUND(SUM(D95:AB95),1)</f>
        <v>34766.9</v>
      </c>
      <c r="AF95" s="260"/>
      <c r="AG95" s="249"/>
      <c r="AH95" s="261">
        <f>'Exhibit G State'!AF94+'Exhibit G Federal'!AF63</f>
        <v>31490.5</v>
      </c>
      <c r="AI95" s="511"/>
      <c r="AJ95" s="248"/>
      <c r="AK95" s="1111">
        <f t="shared" ref="AK95:AK100" si="35">ROUND(SUM(+AE95-AH95),1)</f>
        <v>3276.4</v>
      </c>
      <c r="AL95" s="982"/>
      <c r="AM95" s="1700">
        <f t="shared" ref="AM95:AM100" si="36">ROUND(IF(AH95=0,0,AK95/ABS(AH95)),3)</f>
        <v>0.104</v>
      </c>
      <c r="AS95" s="339"/>
      <c r="AT95" s="339"/>
    </row>
    <row r="96" spans="1:46" ht="15" customHeight="1">
      <c r="A96" s="223"/>
      <c r="B96" s="379" t="s">
        <v>30</v>
      </c>
      <c r="C96" s="223"/>
      <c r="D96" s="1262">
        <f>+'Exhibit G State'!D95+'Exhibit G Federal'!D64</f>
        <v>458.3</v>
      </c>
      <c r="E96" s="1262"/>
      <c r="F96" s="1262">
        <f>+'Exhibit G State'!F95+'Exhibit G Federal'!F64</f>
        <v>664.5</v>
      </c>
      <c r="G96" s="1262"/>
      <c r="H96" s="1262">
        <f>+'Exhibit G State'!H95+'Exhibit G Federal'!H64</f>
        <v>781.5</v>
      </c>
      <c r="J96" s="1262">
        <f>+'Exhibit G State'!J95+'Exhibit G Federal'!J64</f>
        <v>828.1</v>
      </c>
      <c r="L96" s="1262">
        <f>+'Exhibit G State'!L95+'Exhibit G Federal'!L64</f>
        <v>489.4</v>
      </c>
      <c r="N96" s="1262">
        <f>+'Exhibit G State'!N95+'Exhibit G Federal'!N64</f>
        <v>1312.5</v>
      </c>
      <c r="P96" s="1262">
        <f>+'Exhibit G State'!P95+'Exhibit G Federal'!P64</f>
        <v>547.9</v>
      </c>
      <c r="R96" s="1262">
        <f>+'Exhibit G State'!R95+'Exhibit G Federal'!R64</f>
        <v>588.79999999999995</v>
      </c>
      <c r="T96" s="1262">
        <f>+'Exhibit G State'!T95+'Exhibit G Federal'!T64</f>
        <v>793.9</v>
      </c>
      <c r="V96" s="1262">
        <f>+'Exhibit G State'!V95+'Exhibit G Federal'!V64</f>
        <v>675.5</v>
      </c>
      <c r="X96" s="1262"/>
      <c r="Z96" s="1262"/>
      <c r="AA96" s="1962"/>
      <c r="AB96" s="1962">
        <v>0</v>
      </c>
      <c r="AC96" s="260"/>
      <c r="AD96" s="249"/>
      <c r="AE96" s="260">
        <f t="shared" ref="AE96:AE99" si="37">ROUND(SUM(D96:AB96),1)</f>
        <v>7140.4</v>
      </c>
      <c r="AF96" s="260"/>
      <c r="AG96" s="249"/>
      <c r="AH96" s="261">
        <f>'Exhibit G State'!AF95+'Exhibit G Federal'!AF64</f>
        <v>6010.8</v>
      </c>
      <c r="AI96" s="511"/>
      <c r="AJ96" s="248"/>
      <c r="AK96" s="1111">
        <f t="shared" si="35"/>
        <v>1129.5999999999999</v>
      </c>
      <c r="AL96" s="982"/>
      <c r="AM96" s="1700">
        <f t="shared" si="36"/>
        <v>0.188</v>
      </c>
      <c r="AS96" s="339"/>
      <c r="AT96" s="339"/>
    </row>
    <row r="97" spans="1:47" ht="15" customHeight="1">
      <c r="A97" s="223"/>
      <c r="B97" s="379" t="s">
        <v>31</v>
      </c>
      <c r="C97" s="223"/>
      <c r="D97" s="1262">
        <f>+'Exhibit G State'!D96+'Exhibit G Federal'!D65</f>
        <v>133.30000000000001</v>
      </c>
      <c r="E97" s="1262"/>
      <c r="F97" s="1262">
        <f>+'Exhibit G State'!F96+'Exhibit G Federal'!F65</f>
        <v>58.099999999999994</v>
      </c>
      <c r="G97" s="1262"/>
      <c r="H97" s="1262">
        <f>+'Exhibit G State'!H96+'Exhibit G Federal'!H65</f>
        <v>119.5</v>
      </c>
      <c r="J97" s="1262">
        <f>+'Exhibit G State'!J96+'Exhibit G Federal'!J65</f>
        <v>71.900000000000006</v>
      </c>
      <c r="L97" s="1262">
        <f>+'Exhibit G State'!L96+'Exhibit G Federal'!L65</f>
        <v>169.5</v>
      </c>
      <c r="N97" s="1262">
        <f>+'Exhibit G State'!N96+'Exhibit G Federal'!N65</f>
        <v>50.699999999999996</v>
      </c>
      <c r="P97" s="1262">
        <f>+'Exhibit G State'!P96+'Exhibit G Federal'!P65</f>
        <v>162.9</v>
      </c>
      <c r="R97" s="1262">
        <f>+'Exhibit G State'!R96+'Exhibit G Federal'!R65</f>
        <v>172.9</v>
      </c>
      <c r="T97" s="1262">
        <f>+'Exhibit G State'!T96+'Exhibit G Federal'!T65</f>
        <v>111</v>
      </c>
      <c r="V97" s="1262">
        <f>+'Exhibit G State'!V96+'Exhibit G Federal'!V65</f>
        <v>197.1</v>
      </c>
      <c r="X97" s="1262"/>
      <c r="Z97" s="1262"/>
      <c r="AA97" s="1962"/>
      <c r="AB97" s="1962">
        <v>0</v>
      </c>
      <c r="AC97" s="260"/>
      <c r="AD97" s="249"/>
      <c r="AE97" s="260">
        <f t="shared" si="37"/>
        <v>1246.9000000000001</v>
      </c>
      <c r="AF97" s="260"/>
      <c r="AG97" s="249"/>
      <c r="AH97" s="261">
        <f>'Exhibit G State'!AF96+'Exhibit G Federal'!AF65</f>
        <v>1323.2</v>
      </c>
      <c r="AI97" s="511"/>
      <c r="AJ97" s="248"/>
      <c r="AK97" s="1111">
        <f t="shared" si="35"/>
        <v>-76.3</v>
      </c>
      <c r="AL97" s="982"/>
      <c r="AM97" s="1700">
        <f t="shared" si="36"/>
        <v>-5.8000000000000003E-2</v>
      </c>
      <c r="AS97" s="339"/>
      <c r="AT97" s="339"/>
    </row>
    <row r="98" spans="1:47" ht="15" customHeight="1">
      <c r="A98" s="223"/>
      <c r="B98" s="379" t="s">
        <v>32</v>
      </c>
      <c r="C98" s="223"/>
      <c r="D98" s="1262">
        <f>+'Exhibit G State'!D97+'Exhibit G Federal'!D66</f>
        <v>266.90000000000003</v>
      </c>
      <c r="E98" s="1262"/>
      <c r="F98" s="1262">
        <f>+'Exhibit G State'!F97+'Exhibit G Federal'!F66</f>
        <v>326.90000000000003</v>
      </c>
      <c r="G98" s="1262"/>
      <c r="H98" s="1262">
        <f>+'Exhibit G State'!H97+'Exhibit G Federal'!H66</f>
        <v>360.09999999999997</v>
      </c>
      <c r="J98" s="1262">
        <f>+'Exhibit G State'!J97+'Exhibit G Federal'!J66</f>
        <v>206.7</v>
      </c>
      <c r="L98" s="1262">
        <f>+'Exhibit G State'!L97+'Exhibit G Federal'!L66</f>
        <v>244.4</v>
      </c>
      <c r="N98" s="1262">
        <f>+'Exhibit G State'!N97+'Exhibit G Federal'!N66</f>
        <v>291</v>
      </c>
      <c r="P98" s="1262">
        <f>+'Exhibit G State'!P97+'Exhibit G Federal'!P66</f>
        <v>695.90000000000009</v>
      </c>
      <c r="R98" s="1262">
        <f>+'Exhibit G State'!R97+'Exhibit G Federal'!R66</f>
        <v>280.29999999999995</v>
      </c>
      <c r="T98" s="1262">
        <f>+'Exhibit G State'!T97+'Exhibit G Federal'!T66</f>
        <v>89.899999999999991</v>
      </c>
      <c r="V98" s="1262">
        <f>+'Exhibit G State'!V97+'Exhibit G Federal'!V66</f>
        <v>156.30000000000001</v>
      </c>
      <c r="X98" s="1262"/>
      <c r="Z98" s="1262"/>
      <c r="AA98" s="1962"/>
      <c r="AB98" s="1962">
        <v>0</v>
      </c>
      <c r="AC98" s="260"/>
      <c r="AD98" s="249"/>
      <c r="AE98" s="260">
        <f t="shared" si="37"/>
        <v>2918.4</v>
      </c>
      <c r="AF98" s="260"/>
      <c r="AG98" s="249"/>
      <c r="AH98" s="261">
        <f>'Exhibit G State'!AF97+'Exhibit G Federal'!AF66</f>
        <v>3553</v>
      </c>
      <c r="AI98" s="511"/>
      <c r="AJ98" s="248"/>
      <c r="AK98" s="1111">
        <f t="shared" si="35"/>
        <v>-634.6</v>
      </c>
      <c r="AL98" s="982"/>
      <c r="AM98" s="1700">
        <f t="shared" si="36"/>
        <v>-0.17899999999999999</v>
      </c>
      <c r="AS98" s="339"/>
      <c r="AT98" s="339"/>
    </row>
    <row r="99" spans="1:47" ht="15" customHeight="1">
      <c r="A99" s="223"/>
      <c r="B99" s="379" t="s">
        <v>33</v>
      </c>
      <c r="C99" s="223"/>
      <c r="D99" s="1262">
        <f>+'Exhibit G State'!D98+'Exhibit G Federal'!D67</f>
        <v>1.8</v>
      </c>
      <c r="E99" s="1262"/>
      <c r="F99" s="1262">
        <f>+'Exhibit G State'!F98+'Exhibit G Federal'!F67</f>
        <v>2.8</v>
      </c>
      <c r="G99" s="1262"/>
      <c r="H99" s="1262">
        <f>+'Exhibit G State'!H98+'Exhibit G Federal'!H67</f>
        <v>0.79999999999999993</v>
      </c>
      <c r="J99" s="1262">
        <f>+'Exhibit G State'!J98+'Exhibit G Federal'!J67</f>
        <v>0.2</v>
      </c>
      <c r="L99" s="1262">
        <f>+'Exhibit G State'!L98+'Exhibit G Federal'!L67</f>
        <v>6.1000000000000005</v>
      </c>
      <c r="N99" s="1262">
        <f>+'Exhibit G State'!N98+'Exhibit G Federal'!N67</f>
        <v>1.2</v>
      </c>
      <c r="P99" s="1262">
        <f>+'Exhibit G State'!P98+'Exhibit G Federal'!P67</f>
        <v>24.5</v>
      </c>
      <c r="R99" s="1262">
        <f>+'Exhibit G State'!R98+'Exhibit G Federal'!R67</f>
        <v>10</v>
      </c>
      <c r="T99" s="1262">
        <f>+'Exhibit G State'!T98+'Exhibit G Federal'!T67</f>
        <v>2.9</v>
      </c>
      <c r="V99" s="1262">
        <f>+'Exhibit G State'!V98+'Exhibit G Federal'!V67</f>
        <v>0.4</v>
      </c>
      <c r="X99" s="1262"/>
      <c r="Z99" s="1262"/>
      <c r="AA99" s="1962"/>
      <c r="AB99" s="1962">
        <v>0</v>
      </c>
      <c r="AC99" s="260"/>
      <c r="AD99" s="249"/>
      <c r="AE99" s="260">
        <f t="shared" si="37"/>
        <v>50.7</v>
      </c>
      <c r="AF99" s="260"/>
      <c r="AG99" s="249"/>
      <c r="AH99" s="261">
        <f>'Exhibit G State'!AF98+'Exhibit G Federal'!AF67</f>
        <v>59.5</v>
      </c>
      <c r="AI99" s="511"/>
      <c r="AJ99" s="248"/>
      <c r="AK99" s="1111">
        <f t="shared" si="35"/>
        <v>-8.8000000000000007</v>
      </c>
      <c r="AL99" s="982"/>
      <c r="AM99" s="2636">
        <f>ROUND(IF(AH99=0,0,AK99/ABS(AH99)),3)</f>
        <v>-0.14799999999999999</v>
      </c>
      <c r="AS99" s="472"/>
      <c r="AT99" s="472"/>
    </row>
    <row r="100" spans="1:47" ht="15" customHeight="1">
      <c r="A100" s="223"/>
      <c r="B100" s="379" t="s">
        <v>34</v>
      </c>
      <c r="C100" s="223"/>
      <c r="D100" s="1262">
        <f>+'Exhibit G State'!D99+'Exhibit G Federal'!D68</f>
        <v>251.6</v>
      </c>
      <c r="E100" s="1262"/>
      <c r="F100" s="1262">
        <f>+'Exhibit G State'!F99+'Exhibit G Federal'!F68</f>
        <v>482.09999999999997</v>
      </c>
      <c r="G100" s="1262"/>
      <c r="H100" s="1262">
        <f>+'Exhibit G State'!H99+'Exhibit G Federal'!H68</f>
        <v>427.09999999999997</v>
      </c>
      <c r="J100" s="1262">
        <f>+'Exhibit G State'!J99+'Exhibit G Federal'!J68</f>
        <v>374.1</v>
      </c>
      <c r="L100" s="1262">
        <f>+'Exhibit G State'!L99+'Exhibit G Federal'!L68</f>
        <v>475.40000000000003</v>
      </c>
      <c r="N100" s="1262">
        <f>+'Exhibit G State'!N99+'Exhibit G Federal'!N68</f>
        <v>416.4</v>
      </c>
      <c r="P100" s="1262">
        <f>+'Exhibit G State'!P99+'Exhibit G Federal'!P68</f>
        <v>365</v>
      </c>
      <c r="R100" s="1262">
        <f>+'Exhibit G State'!R99+'Exhibit G Federal'!R68</f>
        <v>573</v>
      </c>
      <c r="T100" s="1262">
        <f>+'Exhibit G State'!T99+'Exhibit G Federal'!T68</f>
        <v>855.19999999999993</v>
      </c>
      <c r="V100" s="1262">
        <f>+'Exhibit G State'!V99+'Exhibit G Federal'!V68</f>
        <v>206.9</v>
      </c>
      <c r="X100" s="1262"/>
      <c r="Z100" s="1262"/>
      <c r="AA100" s="1962"/>
      <c r="AB100" s="1962">
        <v>0</v>
      </c>
      <c r="AC100" s="260"/>
      <c r="AD100" s="249"/>
      <c r="AE100" s="248">
        <f>ROUND(SUM(D100:AB100),1)</f>
        <v>4426.8</v>
      </c>
      <c r="AF100" s="260"/>
      <c r="AG100" s="249"/>
      <c r="AH100" s="261">
        <f>'Exhibit G State'!AF99+'Exhibit G Federal'!AF68</f>
        <v>4470.6000000000004</v>
      </c>
      <c r="AI100" s="511"/>
      <c r="AJ100" s="248"/>
      <c r="AK100" s="1740">
        <f t="shared" si="35"/>
        <v>-43.8</v>
      </c>
      <c r="AL100" s="982"/>
      <c r="AM100" s="2585">
        <f t="shared" si="36"/>
        <v>-0.01</v>
      </c>
      <c r="AN100" s="2634"/>
      <c r="AS100" s="315"/>
      <c r="AT100" s="315"/>
      <c r="AU100" s="229"/>
    </row>
    <row r="101" spans="1:47" ht="15" customHeight="1">
      <c r="A101" s="223"/>
      <c r="B101" s="221" t="s">
        <v>1286</v>
      </c>
      <c r="C101" s="223"/>
      <c r="D101" s="255">
        <f>ROUND(SUM(D91:D100),1)</f>
        <v>4482.1000000000004</v>
      </c>
      <c r="F101" s="255">
        <f t="shared" ref="F101" si="38">ROUND(SUM(F91:F100),1)</f>
        <v>6045.3</v>
      </c>
      <c r="H101" s="255">
        <f>ROUND(SUM(H91:H100),1)</f>
        <v>5507.1</v>
      </c>
      <c r="J101" s="255">
        <f>ROUND(SUM(J91:J100),1)</f>
        <v>4712.6000000000004</v>
      </c>
      <c r="L101" s="255">
        <f t="shared" ref="L101" si="39">ROUND(SUM(L91:L100),1)</f>
        <v>6033.4</v>
      </c>
      <c r="N101" s="255">
        <f t="shared" ref="N101" si="40">ROUND(SUM(N91:N100),1)</f>
        <v>7666.4</v>
      </c>
      <c r="P101" s="255">
        <f>ROUND(SUM(P91:P100),1)</f>
        <v>5409.4</v>
      </c>
      <c r="R101" s="255">
        <f>ROUND(SUM(R91:R100),1)</f>
        <v>5995</v>
      </c>
      <c r="T101" s="255">
        <f>ROUND(SUM(T91:T100),1)</f>
        <v>5819.7</v>
      </c>
      <c r="V101" s="255">
        <f>ROUND(SUM(V91:V100),1)</f>
        <v>7490.2</v>
      </c>
      <c r="X101" s="255">
        <f>ROUND(SUM(X91:X100),1)</f>
        <v>0</v>
      </c>
      <c r="Z101" s="255">
        <f>ROUND(SUM(Z91:Z100),1)</f>
        <v>0</v>
      </c>
      <c r="AA101" s="2801"/>
      <c r="AB101" s="255">
        <f>ROUND(SUM(AB91:AB100),1)</f>
        <v>0</v>
      </c>
      <c r="AC101" s="256"/>
      <c r="AD101" s="258"/>
      <c r="AE101" s="255">
        <f>ROUND(SUM(AE91:AE100),1)</f>
        <v>59161.2</v>
      </c>
      <c r="AF101" s="256"/>
      <c r="AG101" s="258"/>
      <c r="AH101" s="523">
        <f>ROUND(SUM(AH91:AH100),1)</f>
        <v>55262.2</v>
      </c>
      <c r="AI101" s="518"/>
      <c r="AJ101" s="272"/>
      <c r="AK101" s="255">
        <f>ROUND(SUM(AK91:AK100),1)</f>
        <v>3899</v>
      </c>
      <c r="AL101" s="366"/>
      <c r="AM101" s="1767">
        <f>ROUND(SUM(+AK101/AH101),3)</f>
        <v>7.0999999999999994E-2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1"/>
      <c r="AM102" s="1764"/>
      <c r="AT102" s="339"/>
    </row>
    <row r="103" spans="1:47" ht="15" customHeight="1">
      <c r="A103" s="223"/>
      <c r="B103" s="223" t="s">
        <v>157</v>
      </c>
      <c r="C103" s="223"/>
      <c r="D103" s="1262">
        <f>+'Exhibit G State'!D102+'Exhibit G Federal'!D71</f>
        <v>615.20000000000005</v>
      </c>
      <c r="E103" s="1262"/>
      <c r="F103" s="1262">
        <f>+'Exhibit G State'!F102+'Exhibit G Federal'!F71</f>
        <v>808.3</v>
      </c>
      <c r="G103" s="1262"/>
      <c r="H103" s="1262">
        <f>+'Exhibit G State'!H102+'Exhibit G Federal'!H71</f>
        <v>589.4</v>
      </c>
      <c r="J103" s="1262">
        <f>+'Exhibit G State'!J102+'Exhibit G Federal'!J71</f>
        <v>578.6</v>
      </c>
      <c r="L103" s="1262">
        <f>+'Exhibit G State'!L102+'Exhibit G Federal'!L71</f>
        <v>662.9</v>
      </c>
      <c r="N103" s="1262">
        <f>+'Exhibit G State'!N102+'Exhibit G Federal'!N71</f>
        <v>570.4</v>
      </c>
      <c r="P103" s="1262">
        <f>+'Exhibit G State'!P102+'Exhibit G Federal'!P71</f>
        <v>613.70000000000005</v>
      </c>
      <c r="R103" s="1262">
        <f>+'Exhibit G State'!R102+'Exhibit G Federal'!R71</f>
        <v>799.5</v>
      </c>
      <c r="T103" s="1262">
        <f>+'Exhibit G State'!T102+'Exhibit G Federal'!T71</f>
        <v>593.4</v>
      </c>
      <c r="V103" s="1262">
        <f>+'Exhibit G State'!V102+'Exhibit G Federal'!V71</f>
        <v>587.4</v>
      </c>
      <c r="X103" s="1262"/>
      <c r="Z103" s="1262"/>
      <c r="AA103" s="1962"/>
      <c r="AB103" s="1962">
        <v>0</v>
      </c>
      <c r="AC103" s="260"/>
      <c r="AD103" s="249"/>
      <c r="AE103" s="260">
        <f>ROUND(SUM(D103:AB103),1)</f>
        <v>6418.8</v>
      </c>
      <c r="AF103" s="260"/>
      <c r="AG103" s="249"/>
      <c r="AH103" s="260">
        <f>'Exhibit G State'!AF102+'Exhibit G Federal'!AF71</f>
        <v>6361.2</v>
      </c>
      <c r="AI103" s="511"/>
      <c r="AJ103" s="248"/>
      <c r="AK103" s="1111">
        <f>ROUND(SUM(+AE103-AH103),1)</f>
        <v>57.6</v>
      </c>
      <c r="AL103" s="247"/>
      <c r="AM103" s="1700">
        <f>ROUND(IF(AH103=0,0,AK103/ABS(AH103)),3)</f>
        <v>8.9999999999999993E-3</v>
      </c>
    </row>
    <row r="104" spans="1:47" ht="15" customHeight="1">
      <c r="A104" s="223"/>
      <c r="B104" s="223" t="s">
        <v>175</v>
      </c>
      <c r="C104" s="223"/>
      <c r="D104" s="1262">
        <f>+'Exhibit G State'!D103+'Exhibit G Federal'!D72</f>
        <v>277.2</v>
      </c>
      <c r="E104" s="1262"/>
      <c r="F104" s="1262">
        <f>+'Exhibit G State'!F103+'Exhibit G Federal'!F72</f>
        <v>392</v>
      </c>
      <c r="G104" s="1262"/>
      <c r="H104" s="1262">
        <f>+'Exhibit G State'!H103+'Exhibit G Federal'!H72</f>
        <v>421.5</v>
      </c>
      <c r="J104" s="1262">
        <f>+'Exhibit G State'!J103+'Exhibit G Federal'!J72</f>
        <v>278.39999999999998</v>
      </c>
      <c r="L104" s="1262">
        <f>+'Exhibit G State'!L103+'Exhibit G Federal'!L72</f>
        <v>445.8</v>
      </c>
      <c r="N104" s="1262">
        <f>+'Exhibit G State'!N103+'Exhibit G Federal'!N72</f>
        <v>463.20000000000005</v>
      </c>
      <c r="P104" s="1262">
        <f>+'Exhibit G State'!P103+'Exhibit G Federal'!P72</f>
        <v>462.4</v>
      </c>
      <c r="R104" s="1262">
        <f>+'Exhibit G State'!R103+'Exhibit G Federal'!R72</f>
        <v>415.1</v>
      </c>
      <c r="T104" s="1262">
        <f>+'Exhibit G State'!T103+'Exhibit G Federal'!T72</f>
        <v>351</v>
      </c>
      <c r="V104" s="1262">
        <f>+'Exhibit G State'!V103+'Exhibit G Federal'!V72</f>
        <v>468.8</v>
      </c>
      <c r="X104" s="1262"/>
      <c r="Z104" s="1262"/>
      <c r="AA104" s="1962"/>
      <c r="AB104" s="1962">
        <v>0</v>
      </c>
      <c r="AC104" s="260"/>
      <c r="AD104" s="249"/>
      <c r="AE104" s="260">
        <f t="shared" ref="AE104:AE105" si="41">ROUND(SUM(D104:AB104),1)</f>
        <v>3975.4</v>
      </c>
      <c r="AF104" s="260"/>
      <c r="AG104" s="249"/>
      <c r="AH104" s="260">
        <f>'Exhibit G State'!AF103+'Exhibit G Federal'!AF72</f>
        <v>3936</v>
      </c>
      <c r="AI104" s="511"/>
      <c r="AJ104" s="248"/>
      <c r="AK104" s="1111">
        <f>ROUND(SUM(+AE104-AH104),1)</f>
        <v>39.4</v>
      </c>
      <c r="AL104" s="247"/>
      <c r="AM104" s="1700">
        <f>ROUND(IF(AH104=0,0,AK104/ABS(AH104)),3)</f>
        <v>0.01</v>
      </c>
    </row>
    <row r="105" spans="1:47" ht="15" customHeight="1">
      <c r="A105" s="223"/>
      <c r="B105" s="223" t="s">
        <v>176</v>
      </c>
      <c r="C105" s="223"/>
      <c r="D105" s="1262">
        <f>+'Exhibit G State'!D104+'Exhibit G Federal'!D73</f>
        <v>61.2</v>
      </c>
      <c r="E105" s="1262"/>
      <c r="F105" s="1262">
        <f>+'Exhibit G State'!F104+'Exhibit G Federal'!F73</f>
        <v>493.6</v>
      </c>
      <c r="G105" s="1262"/>
      <c r="H105" s="1262">
        <f>+'Exhibit G State'!H104+'Exhibit G Federal'!H73</f>
        <v>68.400000000000006</v>
      </c>
      <c r="J105" s="1262">
        <f>+'Exhibit G State'!J104+'Exhibit G Federal'!J73</f>
        <v>56</v>
      </c>
      <c r="L105" s="1262">
        <f>+'Exhibit G State'!L104+'Exhibit G Federal'!L73</f>
        <v>446.40000000000003</v>
      </c>
      <c r="N105" s="1262">
        <f>+'Exhibit G State'!N104+'Exhibit G Federal'!N73</f>
        <v>49.599999999999994</v>
      </c>
      <c r="P105" s="1262">
        <f>+'Exhibit G State'!P104+'Exhibit G Federal'!P73</f>
        <v>161.6</v>
      </c>
      <c r="R105" s="1262">
        <f>+'Exhibit G State'!R104+'Exhibit G Federal'!R73</f>
        <v>477.40000000000003</v>
      </c>
      <c r="T105" s="1262">
        <f>+'Exhibit G State'!T104+'Exhibit G Federal'!T73</f>
        <v>148.5</v>
      </c>
      <c r="V105" s="1262">
        <f>+'Exhibit G State'!V104+'Exhibit G Federal'!V73</f>
        <v>253</v>
      </c>
      <c r="X105" s="1262"/>
      <c r="Z105" s="1262"/>
      <c r="AA105" s="1962"/>
      <c r="AB105" s="1962">
        <v>0</v>
      </c>
      <c r="AC105" s="260"/>
      <c r="AD105" s="249"/>
      <c r="AE105" s="260">
        <f t="shared" si="41"/>
        <v>2215.6999999999998</v>
      </c>
      <c r="AF105" s="260"/>
      <c r="AG105" s="249"/>
      <c r="AH105" s="260">
        <f>'Exhibit G State'!AF104+'Exhibit G Federal'!AF73</f>
        <v>1969.9</v>
      </c>
      <c r="AI105" s="511"/>
      <c r="AJ105" s="248"/>
      <c r="AK105" s="1111">
        <f>ROUND(SUM(+AE105-AH105),1)</f>
        <v>245.8</v>
      </c>
      <c r="AL105" s="247"/>
      <c r="AM105" s="1700">
        <f>ROUND(IF(AH105=0,0,AK105/ABS(AH105)),3)</f>
        <v>0.125</v>
      </c>
    </row>
    <row r="106" spans="1:47" ht="15" customHeight="1">
      <c r="A106" s="223"/>
      <c r="B106" s="223" t="s">
        <v>177</v>
      </c>
      <c r="C106" s="223"/>
      <c r="D106" s="1262">
        <f>+'Exhibit G State'!D105+'Exhibit G Federal'!D74</f>
        <v>0</v>
      </c>
      <c r="E106" s="1262"/>
      <c r="F106" s="1262">
        <f>+'Exhibit G State'!F105+'Exhibit G Federal'!F74</f>
        <v>0</v>
      </c>
      <c r="G106" s="1262"/>
      <c r="H106" s="1262">
        <f>+'Exhibit G State'!H105+'Exhibit G Federal'!H74</f>
        <v>0</v>
      </c>
      <c r="J106" s="1262">
        <f>+'Exhibit G State'!J105+'Exhibit G Federal'!J74</f>
        <v>0</v>
      </c>
      <c r="L106" s="1262">
        <f>+'Exhibit G State'!L105+'Exhibit G Federal'!L74</f>
        <v>0</v>
      </c>
      <c r="N106" s="1262">
        <f>+'Exhibit G State'!N105+'Exhibit G Federal'!N74</f>
        <v>0</v>
      </c>
      <c r="P106" s="1262">
        <f>+'Exhibit G State'!P105+'Exhibit G Federal'!P74</f>
        <v>0</v>
      </c>
      <c r="R106" s="1262">
        <f>+'Exhibit G State'!R105+'Exhibit G Federal'!R74</f>
        <v>0</v>
      </c>
      <c r="T106" s="1262">
        <f>+'Exhibit G State'!T105+'Exhibit G Federal'!T74</f>
        <v>0</v>
      </c>
      <c r="V106" s="1262">
        <f>+'Exhibit G State'!V105+'Exhibit G Federal'!V74</f>
        <v>0</v>
      </c>
      <c r="X106" s="1262"/>
      <c r="Z106" s="1262"/>
      <c r="AA106" s="1962"/>
      <c r="AB106" s="1962">
        <v>0</v>
      </c>
      <c r="AC106" s="260"/>
      <c r="AD106" s="249"/>
      <c r="AE106" s="260">
        <f>ROUND(SUM(D106:AB106),1)</f>
        <v>0</v>
      </c>
      <c r="AF106" s="260"/>
      <c r="AG106" s="249"/>
      <c r="AH106" s="260">
        <f>'Exhibit G State'!AF105+'Exhibit G Federal'!AF74</f>
        <v>2.7</v>
      </c>
      <c r="AI106" s="511"/>
      <c r="AJ106" s="248"/>
      <c r="AK106" s="1740">
        <f>ROUND(SUM(+AE106-AH106),1)</f>
        <v>-2.7</v>
      </c>
      <c r="AL106" s="982"/>
      <c r="AM106" s="2582">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27"/>
      <c r="AM107" s="2532"/>
    </row>
    <row r="108" spans="1:47" ht="15" customHeight="1">
      <c r="A108" s="223"/>
      <c r="B108" s="221" t="s">
        <v>160</v>
      </c>
      <c r="C108" s="223"/>
      <c r="D108" s="256">
        <f>ROUND(SUM(D101:D106),1)</f>
        <v>5435.7</v>
      </c>
      <c r="F108" s="1719">
        <f t="shared" ref="F108" si="42">ROUND(SUM(F101:F106),1)</f>
        <v>7739.2</v>
      </c>
      <c r="H108" s="1719">
        <f>ROUND(SUM(H101:H106),1)</f>
        <v>6586.4</v>
      </c>
      <c r="J108" s="1719">
        <f>ROUND(SUM(J101:J106),1)</f>
        <v>5625.6</v>
      </c>
      <c r="L108" s="1719">
        <f t="shared" ref="L108" si="43">ROUND(SUM(L101:L106),1)</f>
        <v>7588.5</v>
      </c>
      <c r="N108" s="1719">
        <f t="shared" ref="N108" si="44">ROUND(SUM(N101:N106),1)</f>
        <v>8749.6</v>
      </c>
      <c r="P108" s="1719">
        <f>ROUND(SUM(P101:P106),1)</f>
        <v>6647.1</v>
      </c>
      <c r="R108" s="1719">
        <f>ROUND(SUM(R101:R106),1)</f>
        <v>7687</v>
      </c>
      <c r="T108" s="1719">
        <f>ROUND(SUM(T101:T106),1)</f>
        <v>6912.6</v>
      </c>
      <c r="V108" s="1719">
        <f>ROUND(SUM(V101:V106),1)</f>
        <v>8799.4</v>
      </c>
      <c r="X108" s="1719">
        <f>ROUND(SUM(X101:X106),1)</f>
        <v>0</v>
      </c>
      <c r="Z108" s="256">
        <f>ROUND(SUM(Z101:Z106),1)</f>
        <v>0</v>
      </c>
      <c r="AA108" s="1719"/>
      <c r="AB108" s="1719">
        <f>ROUND(SUM(AB101:AB106),1)</f>
        <v>0</v>
      </c>
      <c r="AC108" s="256"/>
      <c r="AD108" s="258"/>
      <c r="AE108" s="256">
        <f>ROUND(SUM(AE101:AE106),1)</f>
        <v>71771.100000000006</v>
      </c>
      <c r="AF108" s="256"/>
      <c r="AG108" s="258"/>
      <c r="AH108" s="256">
        <f>ROUND(SUM(AH101:AH106),1)</f>
        <v>67532</v>
      </c>
      <c r="AI108" s="518"/>
      <c r="AJ108" s="272"/>
      <c r="AK108" s="270">
        <f>ROUND(SUM(AK101:AK106),1)</f>
        <v>4239.1000000000004</v>
      </c>
      <c r="AL108" s="411"/>
      <c r="AM108" s="1767">
        <f>ROUND(SUM(+AK108/AH108),3)</f>
        <v>6.3E-2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1"/>
      <c r="AM109" s="1764"/>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1"/>
      <c r="AG110" s="1492"/>
      <c r="AH110" s="260"/>
      <c r="AI110" s="525"/>
      <c r="AJ110" s="526"/>
      <c r="AK110" s="1111"/>
      <c r="AM110" s="1764"/>
    </row>
    <row r="111" spans="1:47" ht="15" customHeight="1">
      <c r="A111" s="223"/>
      <c r="B111" s="221" t="s">
        <v>45</v>
      </c>
      <c r="C111" s="223"/>
      <c r="D111" s="256">
        <f>ROUND(SUM(D87-D108),1)</f>
        <v>-404.6</v>
      </c>
      <c r="F111" s="1719">
        <f>ROUND(SUM(F87-F108),1)</f>
        <v>-1594.4</v>
      </c>
      <c r="G111" s="1719">
        <f>ROUND(SUM(G87-G108),1)</f>
        <v>0</v>
      </c>
      <c r="H111" s="1719">
        <f>ROUND(SUM(H87-H108),1)</f>
        <v>838.7</v>
      </c>
      <c r="J111" s="1719">
        <f>ROUND(SUM(J87-J108),1)</f>
        <v>-342.1</v>
      </c>
      <c r="L111" s="1719">
        <f>ROUND(SUM(L87-L108),1)</f>
        <v>-639</v>
      </c>
      <c r="N111" s="1719">
        <f>ROUND(SUM(N87-N108),1)</f>
        <v>-1277</v>
      </c>
      <c r="P111" s="1719">
        <f>ROUND(SUM(P87-P108),1)</f>
        <v>-809.3</v>
      </c>
      <c r="R111" s="1719">
        <f>ROUND(SUM(R87-R108),1)</f>
        <v>-843.3</v>
      </c>
      <c r="T111" s="1719">
        <f>ROUND(SUM(T87-T108),1)</f>
        <v>2.6</v>
      </c>
      <c r="V111" s="1719">
        <f>ROUND(SUM(V87-V108),1)</f>
        <v>-726.9</v>
      </c>
      <c r="X111" s="1719">
        <f>ROUND(SUM(X87-X108),1)</f>
        <v>0</v>
      </c>
      <c r="Z111" s="256">
        <f>ROUND(SUM(Z87-Z108),1)</f>
        <v>0</v>
      </c>
      <c r="AA111" s="1719"/>
      <c r="AB111" s="1719">
        <f>ROUND(SUM(AB87-AB108),1)</f>
        <v>0</v>
      </c>
      <c r="AC111" s="256"/>
      <c r="AD111" s="258"/>
      <c r="AE111" s="256">
        <f>ROUND(SUM(AE87-AE108),1)</f>
        <v>-5795.3</v>
      </c>
      <c r="AF111" s="256"/>
      <c r="AG111" s="258"/>
      <c r="AH111" s="256">
        <f>ROUND(SUM(AH87-AH108),1)</f>
        <v>-4628.8999999999996</v>
      </c>
      <c r="AI111" s="518"/>
      <c r="AJ111" s="272"/>
      <c r="AK111" s="1584">
        <f>ROUND(SUM(AK87-AK108),1)</f>
        <v>-1166.4000000000001</v>
      </c>
      <c r="AL111" s="410"/>
      <c r="AM111" s="1767">
        <f>ROUND(SUM(+AK111/ABS(AH111)),3)</f>
        <v>-0.252</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1"/>
      <c r="AM112" s="176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1"/>
      <c r="AM113" s="1764"/>
    </row>
    <row r="114" spans="1:50" ht="15" customHeight="1">
      <c r="A114" s="223"/>
      <c r="B114" s="223" t="s">
        <v>178</v>
      </c>
      <c r="C114" s="223"/>
      <c r="D114" s="1262">
        <f>'Exhibit G State'!D113+'Exhibit G Federal'!D82</f>
        <v>1026</v>
      </c>
      <c r="E114" s="1262"/>
      <c r="F114" s="1262">
        <f>'Exhibit G State'!F113+'Exhibit G Federal'!F82</f>
        <v>977.1</v>
      </c>
      <c r="G114" s="1262"/>
      <c r="H114" s="1262">
        <f>'Exhibit G State'!H113+'Exhibit G Federal'!H82</f>
        <v>834.3</v>
      </c>
      <c r="J114" s="1262">
        <f>'Exhibit G State'!J113+'Exhibit G Federal'!J82</f>
        <v>855.5</v>
      </c>
      <c r="L114" s="1262">
        <f>'Exhibit G State'!L113+'Exhibit G Federal'!L82</f>
        <v>856.1</v>
      </c>
      <c r="N114" s="1262">
        <f>'Exhibit G State'!N113+'Exhibit G Federal'!N82</f>
        <v>234</v>
      </c>
      <c r="P114" s="1262">
        <f>'Exhibit G State'!P113+'Exhibit G Federal'!P82</f>
        <v>723.6</v>
      </c>
      <c r="R114" s="1262">
        <f>'Exhibit G State'!R113+'Exhibit G Federal'!R82</f>
        <v>887.6</v>
      </c>
      <c r="T114" s="1262">
        <f>'Exhibit G State'!T113+'Exhibit G Federal'!T82</f>
        <v>387.4</v>
      </c>
      <c r="V114" s="1262">
        <f>'Exhibit G State'!V113+'Exhibit G Federal'!V82</f>
        <v>350.4</v>
      </c>
      <c r="X114" s="1262"/>
      <c r="Z114" s="1262"/>
      <c r="AA114" s="1275"/>
      <c r="AB114" s="1275">
        <v>-436.3</v>
      </c>
      <c r="AC114" s="260"/>
      <c r="AD114" s="249"/>
      <c r="AE114" s="260">
        <f>ROUND(SUM(D114:AB114),1)</f>
        <v>6695.7</v>
      </c>
      <c r="AF114" s="260"/>
      <c r="AG114" s="249"/>
      <c r="AH114" s="260">
        <v>6549.9</v>
      </c>
      <c r="AI114" s="511"/>
      <c r="AJ114" s="248"/>
      <c r="AK114" s="1740">
        <f>ROUND(SUM(+AE114-AH114),1)</f>
        <v>145.80000000000001</v>
      </c>
      <c r="AL114" s="982"/>
      <c r="AM114" s="1700">
        <f>ROUND(IF(AH114=0,0,AK114/ABS(AH114)),3)</f>
        <v>2.1999999999999999E-2</v>
      </c>
    </row>
    <row r="115" spans="1:50" ht="15" customHeight="1">
      <c r="A115" s="223"/>
      <c r="B115" s="223" t="s">
        <v>179</v>
      </c>
      <c r="C115" s="223"/>
      <c r="D115" s="1262">
        <f>'Exhibit G State'!D114+'Exhibit G Federal'!D83</f>
        <v>-161.69999999999999</v>
      </c>
      <c r="E115" s="1262"/>
      <c r="F115" s="1262">
        <f>'Exhibit G State'!F114+'Exhibit G Federal'!F83</f>
        <v>-218.4</v>
      </c>
      <c r="G115" s="1262"/>
      <c r="H115" s="1262">
        <f>'Exhibit G State'!H114+'Exhibit G Federal'!H83</f>
        <v>-415.5</v>
      </c>
      <c r="J115" s="1262">
        <f>'Exhibit G State'!J114+'Exhibit G Federal'!J83</f>
        <v>-75.2</v>
      </c>
      <c r="L115" s="1262">
        <f>'Exhibit G State'!L114+'Exhibit G Federal'!L83</f>
        <v>-285.8</v>
      </c>
      <c r="N115" s="1262">
        <f>'Exhibit G State'!N114+'Exhibit G Federal'!N83</f>
        <v>-267.5</v>
      </c>
      <c r="P115" s="1262">
        <f>'Exhibit G State'!P114+'Exhibit G Federal'!P83</f>
        <v>-78.2</v>
      </c>
      <c r="R115" s="1262">
        <f>'Exhibit G State'!R114+'Exhibit G Federal'!R83</f>
        <v>-206</v>
      </c>
      <c r="T115" s="1262">
        <f>'Exhibit G State'!T114+'Exhibit G Federal'!T83</f>
        <v>-362.20000000000005</v>
      </c>
      <c r="V115" s="1262">
        <f>'Exhibit G State'!V114+'Exhibit G Federal'!V83</f>
        <v>-146.30000000000001</v>
      </c>
      <c r="X115" s="1262"/>
      <c r="Z115" s="1262"/>
      <c r="AA115" s="1275"/>
      <c r="AB115" s="1275">
        <v>436.3</v>
      </c>
      <c r="AC115" s="260"/>
      <c r="AD115" s="249"/>
      <c r="AE115" s="260">
        <f>ROUND(SUM(D115:AB115),1)</f>
        <v>-1780.5</v>
      </c>
      <c r="AF115" s="260"/>
      <c r="AG115" s="249"/>
      <c r="AH115" s="316">
        <v>-1406.9</v>
      </c>
      <c r="AI115" s="511"/>
      <c r="AJ115" s="248"/>
      <c r="AK115" s="1740">
        <f>ROUND(SUM(+AE115-AH115)*-1,1)</f>
        <v>373.6</v>
      </c>
      <c r="AL115" s="982"/>
      <c r="AM115" s="1700">
        <f>ROUND(IF(AH115=0,0,AK115/ABS(AH115)),3)</f>
        <v>0.26600000000000001</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27"/>
      <c r="AM116" s="2532"/>
    </row>
    <row r="117" spans="1:50" ht="15" customHeight="1">
      <c r="A117" s="223"/>
      <c r="B117" s="221" t="s">
        <v>1287</v>
      </c>
      <c r="C117" s="223"/>
      <c r="D117" s="256">
        <f>ROUND(SUM(D114:D115),1)</f>
        <v>864.3</v>
      </c>
      <c r="F117" s="256">
        <f>ROUND(SUM(F114:F115),1)</f>
        <v>758.7</v>
      </c>
      <c r="H117" s="256">
        <f>ROUND(SUM(H114:H115),1)</f>
        <v>418.8</v>
      </c>
      <c r="J117" s="1719">
        <f>ROUND(SUM(J114:J115),1)</f>
        <v>780.3</v>
      </c>
      <c r="L117" s="1719">
        <f>ROUND(SUM(L114:L115),1)</f>
        <v>570.29999999999995</v>
      </c>
      <c r="N117" s="1719">
        <f>ROUND(SUM(N114:N115),1)</f>
        <v>-33.5</v>
      </c>
      <c r="P117" s="256">
        <f>ROUND(SUM(P114:P115),1)</f>
        <v>645.4</v>
      </c>
      <c r="R117" s="1719">
        <f>ROUND(SUM(R114:R115),1)</f>
        <v>681.6</v>
      </c>
      <c r="T117" s="256">
        <f>ROUND(SUM(T114:T115),1)</f>
        <v>25.2</v>
      </c>
      <c r="V117" s="1719">
        <f>ROUND(SUM(V114:V115),1)</f>
        <v>204.1</v>
      </c>
      <c r="X117" s="1719">
        <f>ROUND(SUM(X114:X115),1)</f>
        <v>0</v>
      </c>
      <c r="Z117" s="256">
        <f>ROUND(SUM(Z114:Z115),1)</f>
        <v>0</v>
      </c>
      <c r="AA117" s="1719"/>
      <c r="AB117" s="1719">
        <f>ROUND(SUM(AB114:AB115),1)</f>
        <v>0</v>
      </c>
      <c r="AC117" s="256"/>
      <c r="AD117" s="258"/>
      <c r="AE117" s="256">
        <f>ROUND(SUM(AE114:AE115),1)</f>
        <v>4915.2</v>
      </c>
      <c r="AF117" s="256"/>
      <c r="AG117" s="258"/>
      <c r="AH117" s="256">
        <f>ROUND(SUM(AH114:AH115),1)</f>
        <v>5143</v>
      </c>
      <c r="AI117" s="518"/>
      <c r="AJ117" s="272"/>
      <c r="AK117" s="270">
        <f>ROUND(SUM(AE117-AH117),1)</f>
        <v>-227.8</v>
      </c>
      <c r="AL117" s="366"/>
      <c r="AM117" s="1767">
        <f>ROUND(SUM(+AK117/AH117),3)</f>
        <v>-4.3999999999999997E-2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1"/>
      <c r="AM118" s="1764"/>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1"/>
      <c r="AM119" s="1764"/>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1"/>
      <c r="AM120" s="1764"/>
    </row>
    <row r="121" spans="1:50" ht="15" customHeight="1">
      <c r="A121" s="223"/>
      <c r="B121" s="221" t="s">
        <v>1288</v>
      </c>
      <c r="C121" s="223"/>
      <c r="D121" s="256">
        <f>ROUND(SUM(D111+D117),1)</f>
        <v>459.7</v>
      </c>
      <c r="F121" s="256">
        <f>ROUND(SUM(F111+F117),1)</f>
        <v>-835.7</v>
      </c>
      <c r="H121" s="256">
        <f>ROUND(SUM(H111+H117),1)</f>
        <v>1257.5</v>
      </c>
      <c r="J121" s="1719">
        <f>ROUND(SUM(J111+J117),1)</f>
        <v>438.2</v>
      </c>
      <c r="L121" s="1719">
        <f>ROUND(SUM(L111+L117),1)</f>
        <v>-68.7</v>
      </c>
      <c r="N121" s="1719">
        <f>ROUND(SUM(N111+N117),1)</f>
        <v>-1310.5</v>
      </c>
      <c r="P121" s="256">
        <f>ROUND(SUM(P111+P117),1)</f>
        <v>-163.9</v>
      </c>
      <c r="R121" s="1719">
        <f>ROUND(SUM(R111+R117),1)</f>
        <v>-161.69999999999999</v>
      </c>
      <c r="T121" s="256">
        <f>ROUND(SUM(T111+T117),1)</f>
        <v>27.8</v>
      </c>
      <c r="V121" s="1719">
        <f>ROUND(SUM(V111+V117),1)</f>
        <v>-522.79999999999995</v>
      </c>
      <c r="X121" s="1719">
        <f>ROUND(SUM(X111+X117),1)</f>
        <v>0</v>
      </c>
      <c r="Z121" s="256">
        <f>ROUND(SUM(Z111+Z117),1)</f>
        <v>0</v>
      </c>
      <c r="AA121" s="1719"/>
      <c r="AB121" s="1719">
        <f>ROUND(SUM(AB111+AB117),1)</f>
        <v>0</v>
      </c>
      <c r="AC121" s="256"/>
      <c r="AD121" s="258"/>
      <c r="AE121" s="256">
        <f>ROUND(SUM(AE111+AE117),1)</f>
        <v>-880.1</v>
      </c>
      <c r="AF121" s="256"/>
      <c r="AG121" s="258"/>
      <c r="AH121" s="256">
        <f>ROUND(SUM(AH111+AH117),1)</f>
        <v>514.1</v>
      </c>
      <c r="AI121" s="518"/>
      <c r="AJ121" s="272"/>
      <c r="AK121" s="270">
        <f>ROUND(SUM(AE121-AH121),1)</f>
        <v>-1394.2</v>
      </c>
      <c r="AL121" s="410"/>
      <c r="AM121" s="1767">
        <f>ROUND(SUM(AK121/ABS(AH121)),3)</f>
        <v>-2.7120000000000002</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15"/>
      <c r="AM122" s="1764"/>
    </row>
    <row r="123" spans="1:50" ht="15" customHeight="1" thickBot="1">
      <c r="A123" s="223"/>
      <c r="B123" s="221" t="s">
        <v>1289</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4048.8</v>
      </c>
      <c r="R123" s="292">
        <f>ROUND(SUM(R14+R121),1)</f>
        <v>3887.1</v>
      </c>
      <c r="T123" s="292">
        <f>ROUND(SUM(T14+T121),1)</f>
        <v>3914.9</v>
      </c>
      <c r="V123" s="292">
        <f>ROUND(SUM(V14+V121),1)</f>
        <v>3392.1</v>
      </c>
      <c r="X123" s="292">
        <f>ROUND(SUM(X14+X121),1)</f>
        <v>0</v>
      </c>
      <c r="Z123" s="292">
        <f>ROUND(SUM(Z14+Z121),1)</f>
        <v>0</v>
      </c>
      <c r="AA123" s="292"/>
      <c r="AB123" s="3046">
        <f>ROUND(SUM(AB14+AB121),1)</f>
        <v>0</v>
      </c>
      <c r="AC123" s="292"/>
      <c r="AD123" s="293"/>
      <c r="AE123" s="292">
        <f>ROUND(SUM(AE14+AE121),1)</f>
        <v>3392.1</v>
      </c>
      <c r="AF123" s="292"/>
      <c r="AG123" s="293"/>
      <c r="AH123" s="499">
        <f>ROUND(SUM(AH14+AH121),1)</f>
        <v>4121.2</v>
      </c>
      <c r="AI123" s="507"/>
      <c r="AJ123" s="421"/>
      <c r="AK123" s="499">
        <f>ROUND(SUM(AE123-AH123),1)</f>
        <v>-729.1</v>
      </c>
      <c r="AL123" s="382"/>
      <c r="AM123" s="527">
        <f>ROUND(SUM(+AK123/AH123),3)</f>
        <v>-0.17699999999999999</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28"/>
      <c r="AL124" s="502"/>
      <c r="AM124" s="1764"/>
      <c r="AN124" s="502"/>
      <c r="AO124" s="502"/>
      <c r="AP124" s="502"/>
      <c r="AQ124" s="502"/>
      <c r="AR124" s="502"/>
      <c r="AS124" s="502"/>
      <c r="AT124" s="502"/>
      <c r="AU124" s="502"/>
      <c r="AV124" s="502"/>
      <c r="AW124" s="502"/>
      <c r="AX124" s="502"/>
    </row>
    <row r="125" spans="1:50" ht="15" customHeight="1">
      <c r="A125" s="223"/>
      <c r="B125" s="1715" t="s">
        <v>1385</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28"/>
      <c r="AL125" s="502"/>
      <c r="AM125" s="1764"/>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28"/>
      <c r="AL126" s="502"/>
      <c r="AM126" s="1764"/>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28"/>
      <c r="AL127" s="502"/>
      <c r="AM127" s="1764"/>
      <c r="AN127" s="502"/>
      <c r="AO127" s="502"/>
      <c r="AP127" s="502"/>
      <c r="AQ127" s="502"/>
      <c r="AR127" s="502"/>
      <c r="AS127" s="502"/>
      <c r="AT127" s="502"/>
      <c r="AU127" s="502"/>
      <c r="AV127" s="502"/>
      <c r="AW127" s="502"/>
      <c r="AX127" s="502"/>
    </row>
    <row r="128" spans="1:50" ht="15" customHeight="1">
      <c r="AK128" s="1715"/>
      <c r="AM128" s="1764"/>
    </row>
    <row r="129" spans="37:39" ht="15" customHeight="1">
      <c r="AK129" s="1715"/>
      <c r="AM129" s="1764"/>
    </row>
    <row r="130" spans="37:39" ht="15" customHeight="1">
      <c r="AK130" s="1715"/>
      <c r="AM130" s="1764"/>
    </row>
    <row r="131" spans="37:39" ht="15" customHeight="1">
      <c r="AK131" s="1715"/>
      <c r="AM131" s="1764"/>
    </row>
    <row r="132" spans="37:39" ht="15" customHeight="1">
      <c r="AK132" s="1715"/>
      <c r="AM132" s="1764"/>
    </row>
    <row r="133" spans="37:39" ht="15" customHeight="1">
      <c r="AK133" s="1715"/>
      <c r="AM133" s="1764"/>
    </row>
    <row r="134" spans="37:39" ht="15" customHeight="1">
      <c r="AK134" s="1715"/>
      <c r="AM134" s="1764"/>
    </row>
    <row r="135" spans="37:39" ht="15" customHeight="1">
      <c r="AK135" s="1715"/>
      <c r="AM135" s="1764"/>
    </row>
    <row r="136" spans="37:39" ht="15" customHeight="1">
      <c r="AK136" s="1715"/>
      <c r="AM136" s="1764"/>
    </row>
    <row r="137" spans="37:39" ht="15" customHeight="1">
      <c r="AK137" s="1715"/>
      <c r="AM137" s="1764"/>
    </row>
    <row r="138" spans="37:39" ht="15" customHeight="1">
      <c r="AK138" s="1715"/>
      <c r="AM138" s="1764"/>
    </row>
    <row r="139" spans="37:39" ht="15" customHeight="1">
      <c r="AK139" s="1715"/>
      <c r="AM139" s="1764"/>
    </row>
    <row r="140" spans="37:39" ht="15" customHeight="1">
      <c r="AK140" s="1715"/>
      <c r="AM140" s="1764"/>
    </row>
    <row r="141" spans="37:39" ht="15" customHeight="1">
      <c r="AK141" s="1715"/>
      <c r="AM141" s="1764"/>
    </row>
    <row r="142" spans="37:39" ht="15" customHeight="1">
      <c r="AK142" s="1715"/>
      <c r="AM142" s="1764"/>
    </row>
    <row r="143" spans="37:39" ht="15" customHeight="1">
      <c r="AK143" s="1715"/>
      <c r="AM143" s="1764"/>
    </row>
    <row r="144" spans="37:39" ht="15" customHeight="1">
      <c r="AK144" s="1715"/>
      <c r="AM144" s="1764"/>
    </row>
    <row r="145" spans="37:39" ht="15" customHeight="1">
      <c r="AK145" s="1715"/>
      <c r="AM145" s="1764"/>
    </row>
    <row r="146" spans="37:39" ht="15" customHeight="1">
      <c r="AK146" s="1715"/>
      <c r="AM146" s="1764"/>
    </row>
    <row r="147" spans="37:39" ht="15" customHeight="1">
      <c r="AK147" s="1715"/>
      <c r="AM147" s="1764"/>
    </row>
    <row r="148" spans="37:39" ht="15" customHeight="1">
      <c r="AK148" s="1715"/>
      <c r="AM148" s="1764"/>
    </row>
    <row r="149" spans="37:39" ht="15" customHeight="1">
      <c r="AK149" s="1715"/>
      <c r="AM149" s="1764"/>
    </row>
    <row r="150" spans="37:39" ht="15" customHeight="1">
      <c r="AK150" s="1715"/>
      <c r="AM150" s="1764"/>
    </row>
    <row r="151" spans="37:39" ht="15" customHeight="1">
      <c r="AK151" s="1715"/>
      <c r="AM151" s="1764"/>
    </row>
    <row r="152" spans="37:39" ht="15" customHeight="1">
      <c r="AK152" s="1715"/>
      <c r="AM152" s="1764"/>
    </row>
    <row r="153" spans="37:39" ht="15" customHeight="1">
      <c r="AK153" s="1715"/>
      <c r="AM153" s="1764"/>
    </row>
    <row r="154" spans="37:39" ht="15" customHeight="1">
      <c r="AK154" s="1715"/>
      <c r="AM154" s="1764"/>
    </row>
    <row r="155" spans="37:39" ht="15" customHeight="1">
      <c r="AK155" s="1715"/>
      <c r="AM155" s="1764"/>
    </row>
    <row r="156" spans="37:39" ht="15" customHeight="1">
      <c r="AK156" s="1715"/>
      <c r="AM156" s="1764"/>
    </row>
    <row r="157" spans="37:39" ht="15" customHeight="1">
      <c r="AK157" s="1715"/>
      <c r="AM157" s="1764"/>
    </row>
    <row r="158" spans="37:39" ht="15" customHeight="1">
      <c r="AK158" s="1715"/>
      <c r="AM158" s="1764"/>
    </row>
    <row r="159" spans="37:39" ht="15" customHeight="1">
      <c r="AK159" s="1715"/>
      <c r="AM159" s="1764"/>
    </row>
    <row r="160" spans="37:39" ht="15" customHeight="1">
      <c r="AK160" s="1715"/>
      <c r="AM160" s="1764"/>
    </row>
    <row r="161" spans="37:39" ht="15" customHeight="1">
      <c r="AK161" s="1715"/>
      <c r="AM161" s="1764"/>
    </row>
    <row r="162" spans="37:39" ht="15" customHeight="1">
      <c r="AK162" s="1715"/>
      <c r="AM162" s="1764"/>
    </row>
    <row r="163" spans="37:39" ht="15" customHeight="1">
      <c r="AK163" s="1715"/>
      <c r="AM163" s="1764"/>
    </row>
    <row r="164" spans="37:39" ht="15" customHeight="1">
      <c r="AK164" s="1715"/>
      <c r="AM164" s="1764"/>
    </row>
    <row r="165" spans="37:39" ht="15" customHeight="1">
      <c r="AK165" s="1715"/>
      <c r="AM165" s="1764"/>
    </row>
    <row r="166" spans="37:39" ht="15" customHeight="1">
      <c r="AK166" s="1715"/>
      <c r="AM166" s="1764"/>
    </row>
    <row r="167" spans="37:39" ht="15" customHeight="1">
      <c r="AK167" s="1715"/>
      <c r="AM167" s="1764"/>
    </row>
    <row r="168" spans="37:39" ht="15" customHeight="1">
      <c r="AK168" s="1715"/>
      <c r="AM168" s="1764"/>
    </row>
    <row r="169" spans="37:39" ht="15" customHeight="1">
      <c r="AK169" s="1715"/>
      <c r="AM169" s="176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0" bestFit="1" customWidth="1"/>
    <col min="5" max="5" width="1.6328125" style="2" customWidth="1"/>
    <col min="6" max="6" width="13.453125" style="2" customWidth="1"/>
    <col min="7" max="7" width="2.08984375" style="2" customWidth="1"/>
    <col min="8" max="8" width="12.6328125" style="1120" bestFit="1" customWidth="1"/>
    <col min="9" max="9" width="1.90625" style="2" customWidth="1"/>
    <col min="10" max="10" width="13.6328125" style="2" customWidth="1"/>
    <col min="11" max="11" width="1.90625" style="2" customWidth="1"/>
    <col min="12" max="12" width="11.6328125" style="112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0" bestFit="1" customWidth="1"/>
    <col min="23" max="23" width="1.90625" style="2" customWidth="1"/>
    <col min="24" max="24" width="13.6328125" style="2" customWidth="1"/>
    <col min="25" max="25" width="1.08984375" style="2" customWidth="1"/>
    <col min="26" max="27" width="1.36328125" style="2" customWidth="1"/>
    <col min="28" max="28" width="12.08984375" style="112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4" t="s">
        <v>1066</v>
      </c>
    </row>
    <row r="2" spans="1:38" ht="15">
      <c r="A2" s="1124"/>
    </row>
    <row r="3" spans="1:38" ht="21">
      <c r="A3" s="2201" t="s">
        <v>0</v>
      </c>
      <c r="B3" s="2202"/>
      <c r="C3" s="2202"/>
      <c r="D3" s="2202"/>
      <c r="E3" s="2202"/>
      <c r="F3" s="2202"/>
      <c r="G3" s="2202"/>
      <c r="H3" s="2202"/>
      <c r="I3" s="2202"/>
      <c r="J3" s="2202"/>
      <c r="K3" s="2202"/>
      <c r="L3" s="2202"/>
      <c r="M3" s="2202"/>
      <c r="N3" s="2202"/>
      <c r="O3" s="2202"/>
      <c r="P3" s="2202"/>
      <c r="Q3" s="2202"/>
      <c r="R3" s="2202"/>
      <c r="S3" s="2202"/>
      <c r="T3" s="2202"/>
      <c r="U3" s="2202"/>
      <c r="V3" s="2202"/>
      <c r="W3" s="2202"/>
      <c r="X3" s="2202"/>
      <c r="Y3" s="2202"/>
      <c r="Z3" s="2202"/>
      <c r="AA3" s="2202"/>
      <c r="AB3" s="2202"/>
      <c r="AC3" s="2202"/>
      <c r="AD3" s="2202"/>
      <c r="AE3" s="2202"/>
      <c r="AF3" s="2202"/>
      <c r="AG3" s="2202"/>
      <c r="AH3" s="2202"/>
      <c r="AI3" s="9" t="s">
        <v>2</v>
      </c>
      <c r="AJ3" s="1"/>
    </row>
    <row r="4" spans="1:38" ht="21">
      <c r="A4" s="3516" t="s">
        <v>1</v>
      </c>
      <c r="B4" s="3517"/>
      <c r="C4" s="3517"/>
      <c r="D4" s="3517"/>
      <c r="E4" s="3517"/>
      <c r="F4" s="3517"/>
      <c r="G4" s="3517"/>
      <c r="H4" s="3517"/>
      <c r="I4" s="3517"/>
      <c r="J4" s="3517"/>
      <c r="K4" s="3517"/>
      <c r="L4" s="3517"/>
      <c r="M4" s="3517"/>
      <c r="N4" s="3517"/>
      <c r="O4" s="3517"/>
      <c r="P4" s="3517"/>
      <c r="Q4" s="3517"/>
      <c r="R4" s="3517"/>
      <c r="S4" s="3517"/>
      <c r="T4" s="3517"/>
      <c r="U4" s="3517"/>
      <c r="V4" s="3517"/>
      <c r="W4" s="3517"/>
      <c r="X4" s="3517"/>
      <c r="Y4" s="3517"/>
      <c r="Z4" s="3517"/>
      <c r="AA4" s="3517"/>
      <c r="AB4" s="3517"/>
      <c r="AC4" s="3517"/>
      <c r="AD4" s="3517"/>
      <c r="AE4" s="3517"/>
      <c r="AF4" s="3517"/>
      <c r="AG4" s="3517"/>
      <c r="AH4" s="3517"/>
      <c r="AI4" s="3517"/>
      <c r="AJ4" s="1"/>
    </row>
    <row r="5" spans="1:38" ht="21">
      <c r="A5" s="3516" t="s">
        <v>965</v>
      </c>
      <c r="B5" s="3518"/>
      <c r="C5" s="3518"/>
      <c r="D5" s="3518"/>
      <c r="E5" s="3518"/>
      <c r="F5" s="3518"/>
      <c r="G5" s="3518"/>
      <c r="H5" s="3518"/>
      <c r="I5" s="3518"/>
      <c r="J5" s="3518"/>
      <c r="K5" s="3518"/>
      <c r="L5" s="3518"/>
      <c r="M5" s="3518"/>
      <c r="N5" s="3518"/>
      <c r="O5" s="3518"/>
      <c r="P5" s="3518"/>
      <c r="Q5" s="3518"/>
      <c r="R5" s="3518"/>
      <c r="S5" s="3518"/>
      <c r="T5" s="3518"/>
      <c r="U5" s="3518"/>
      <c r="V5" s="3518"/>
      <c r="W5" s="3518"/>
      <c r="X5" s="3518"/>
      <c r="Y5" s="3518"/>
      <c r="Z5" s="3518"/>
      <c r="AA5" s="3518"/>
      <c r="AB5" s="3518"/>
      <c r="AC5" s="3518"/>
      <c r="AD5" s="3518"/>
      <c r="AE5" s="3517"/>
      <c r="AF5" s="3517"/>
      <c r="AG5" s="3517"/>
      <c r="AH5" s="3517"/>
      <c r="AI5" s="3517"/>
      <c r="AJ5" s="1"/>
    </row>
    <row r="6" spans="1:38" ht="18" customHeight="1">
      <c r="A6" s="3516" t="s">
        <v>958</v>
      </c>
      <c r="B6" s="3517"/>
      <c r="C6" s="3517"/>
      <c r="D6" s="3517"/>
      <c r="E6" s="3517"/>
      <c r="F6" s="3517"/>
      <c r="G6" s="3517"/>
      <c r="H6" s="3517"/>
      <c r="I6" s="3517"/>
      <c r="J6" s="3517"/>
      <c r="K6" s="3517"/>
      <c r="L6" s="3517"/>
      <c r="M6" s="3517"/>
      <c r="N6" s="3517"/>
      <c r="O6" s="3517"/>
      <c r="P6" s="3517"/>
      <c r="Q6" s="3517"/>
      <c r="R6" s="3517"/>
      <c r="S6" s="3517"/>
      <c r="T6" s="3517"/>
      <c r="U6" s="3517"/>
      <c r="V6" s="3517"/>
      <c r="W6" s="3517"/>
      <c r="X6" s="3517"/>
      <c r="Y6" s="3517"/>
      <c r="Z6" s="3517"/>
      <c r="AA6" s="3517"/>
      <c r="AB6" s="3517"/>
      <c r="AC6" s="3517"/>
      <c r="AD6" s="3517"/>
      <c r="AE6" s="3517"/>
      <c r="AF6" s="3517"/>
      <c r="AG6" s="3517"/>
      <c r="AH6" s="3517"/>
      <c r="AI6" s="3517"/>
      <c r="AJ6" s="1"/>
    </row>
    <row r="7" spans="1:38" ht="15.6">
      <c r="A7" s="3"/>
      <c r="B7" s="3"/>
      <c r="C7" s="3"/>
      <c r="D7" s="1116"/>
      <c r="E7" s="3"/>
      <c r="F7" s="4"/>
      <c r="G7" s="3"/>
      <c r="H7" s="1121"/>
      <c r="I7" s="5"/>
      <c r="J7" s="6"/>
      <c r="K7" s="5"/>
      <c r="L7" s="1121"/>
      <c r="M7" s="3"/>
      <c r="N7" s="6"/>
      <c r="O7" s="5"/>
      <c r="P7" s="5"/>
      <c r="Q7" s="5"/>
      <c r="R7" s="6"/>
      <c r="S7" s="3"/>
      <c r="T7" s="3"/>
      <c r="U7" s="3"/>
      <c r="V7" s="1116"/>
      <c r="W7" s="3"/>
      <c r="X7" s="3"/>
      <c r="Y7" s="3"/>
      <c r="Z7" s="3"/>
      <c r="AA7" s="3"/>
      <c r="AB7" s="1116"/>
      <c r="AC7" s="3"/>
      <c r="AD7" s="7"/>
      <c r="AE7" s="7"/>
      <c r="AF7" s="8"/>
      <c r="AG7" s="8"/>
      <c r="AJ7" s="1"/>
      <c r="AK7" s="1"/>
      <c r="AL7" s="1"/>
    </row>
    <row r="8" spans="1:38" ht="15.9" customHeight="1">
      <c r="A8" s="5"/>
      <c r="B8" s="3"/>
      <c r="C8" s="3"/>
      <c r="D8" s="1121"/>
      <c r="E8" s="3"/>
      <c r="F8" s="4"/>
      <c r="G8" s="3"/>
      <c r="H8" s="1121"/>
      <c r="I8" s="5"/>
      <c r="J8" s="6"/>
      <c r="K8" s="5"/>
      <c r="L8" s="1121"/>
      <c r="M8" s="3"/>
      <c r="N8" s="6"/>
      <c r="O8" s="5"/>
      <c r="P8" s="5"/>
      <c r="Q8" s="5"/>
      <c r="R8" s="6"/>
      <c r="S8" s="3"/>
      <c r="T8" s="3"/>
      <c r="U8" s="3"/>
      <c r="V8" s="1116"/>
      <c r="W8" s="3"/>
      <c r="X8" s="3"/>
      <c r="Y8" s="3"/>
      <c r="Z8" s="3"/>
      <c r="AA8" s="3"/>
      <c r="AB8" s="111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19" t="s">
        <v>1274</v>
      </c>
      <c r="W10" s="3520"/>
      <c r="X10" s="3520"/>
      <c r="Y10" s="3520"/>
      <c r="Z10" s="3520"/>
      <c r="AA10" s="3520"/>
      <c r="AB10" s="3520"/>
      <c r="AC10" s="3520"/>
      <c r="AD10" s="3520"/>
      <c r="AE10" s="3520"/>
      <c r="AF10" s="3520"/>
      <c r="AG10" s="3520"/>
      <c r="AH10" s="3520"/>
      <c r="AI10" s="3520"/>
      <c r="AJ10" s="19"/>
      <c r="AK10" s="1"/>
      <c r="AL10" s="1"/>
    </row>
    <row r="11" spans="1:38" ht="15.9" customHeight="1">
      <c r="A11" s="15"/>
      <c r="B11" s="15"/>
      <c r="C11" s="15"/>
      <c r="D11" s="20" t="s">
        <v>7</v>
      </c>
      <c r="E11" s="20"/>
      <c r="F11" s="21" t="s">
        <v>1549</v>
      </c>
      <c r="G11" s="11"/>
      <c r="H11" s="20" t="s">
        <v>7</v>
      </c>
      <c r="I11" s="20"/>
      <c r="J11" s="22" t="str">
        <f>F11</f>
        <v>10 MOS. ENDED</v>
      </c>
      <c r="K11" s="11"/>
      <c r="L11" s="20" t="s">
        <v>7</v>
      </c>
      <c r="M11" s="20"/>
      <c r="N11" s="22" t="str">
        <f>F11</f>
        <v>10 MOS. ENDED</v>
      </c>
      <c r="O11" s="11"/>
      <c r="P11" s="20" t="s">
        <v>7</v>
      </c>
      <c r="Q11" s="20"/>
      <c r="R11" s="22" t="str">
        <f>J11</f>
        <v>10 MOS. ENDED</v>
      </c>
      <c r="S11" s="11"/>
      <c r="T11" s="11"/>
      <c r="U11" s="1125"/>
      <c r="V11" s="20" t="s">
        <v>7</v>
      </c>
      <c r="W11" s="20"/>
      <c r="X11" s="20" t="str">
        <f>F11</f>
        <v>10 MOS. ENDED</v>
      </c>
      <c r="Y11" s="20"/>
      <c r="Z11" s="20"/>
      <c r="AA11" s="20"/>
      <c r="AB11" s="20" t="s">
        <v>7</v>
      </c>
      <c r="AC11" s="20"/>
      <c r="AD11" s="24" t="str">
        <f>F11</f>
        <v>10 MOS. ENDED</v>
      </c>
      <c r="AE11" s="24"/>
      <c r="AF11" s="20"/>
      <c r="AG11" s="20" t="s">
        <v>8</v>
      </c>
      <c r="AH11" s="1126"/>
      <c r="AI11" s="20" t="s">
        <v>9</v>
      </c>
      <c r="AJ11" s="1"/>
      <c r="AK11" s="1"/>
      <c r="AL11" s="1"/>
    </row>
    <row r="12" spans="1:38" ht="15.9" customHeight="1">
      <c r="A12" s="15"/>
      <c r="B12" s="15"/>
      <c r="C12" s="15"/>
      <c r="D12" s="25" t="s">
        <v>1548</v>
      </c>
      <c r="E12" s="11"/>
      <c r="F12" s="1686" t="s">
        <v>1550</v>
      </c>
      <c r="G12" s="11"/>
      <c r="H12" s="26" t="str">
        <f>D12</f>
        <v>JAN. 2018</v>
      </c>
      <c r="I12" s="11"/>
      <c r="J12" s="27" t="str">
        <f>F12</f>
        <v>JAN. 31, 2018</v>
      </c>
      <c r="K12" s="11"/>
      <c r="L12" s="26" t="str">
        <f>D12</f>
        <v>JAN. 2018</v>
      </c>
      <c r="M12" s="11"/>
      <c r="N12" s="27" t="str">
        <f>F12</f>
        <v>JAN. 31, 2018</v>
      </c>
      <c r="O12" s="11"/>
      <c r="P12" s="26" t="str">
        <f>D12</f>
        <v>JAN. 2018</v>
      </c>
      <c r="Q12" s="11"/>
      <c r="R12" s="27" t="str">
        <f>J12</f>
        <v>JAN. 31, 2018</v>
      </c>
      <c r="S12" s="11"/>
      <c r="T12" s="11"/>
      <c r="U12" s="1127"/>
      <c r="V12" s="26" t="str">
        <f>D12</f>
        <v>JAN. 2018</v>
      </c>
      <c r="W12" s="11"/>
      <c r="X12" s="26" t="str">
        <f>F12</f>
        <v>JAN. 31, 2018</v>
      </c>
      <c r="Y12" s="11"/>
      <c r="Z12" s="11"/>
      <c r="AA12" s="11"/>
      <c r="AB12" s="25" t="s">
        <v>1551</v>
      </c>
      <c r="AC12" s="11"/>
      <c r="AD12" s="25" t="s">
        <v>1552</v>
      </c>
      <c r="AE12" s="28"/>
      <c r="AF12" s="28"/>
      <c r="AG12" s="26" t="s">
        <v>12</v>
      </c>
      <c r="AH12" s="1124"/>
      <c r="AI12" s="25" t="s">
        <v>13</v>
      </c>
      <c r="AJ12" s="19"/>
      <c r="AK12" s="1"/>
      <c r="AL12" s="1"/>
    </row>
    <row r="13" spans="1:38" ht="15.9" customHeight="1">
      <c r="A13" s="14" t="s">
        <v>14</v>
      </c>
      <c r="B13" s="15"/>
      <c r="C13" s="15"/>
      <c r="D13" s="1117" t="s">
        <v>15</v>
      </c>
      <c r="E13" s="15"/>
      <c r="F13" s="30"/>
      <c r="G13" s="15"/>
      <c r="H13" s="1117" t="s">
        <v>15</v>
      </c>
      <c r="I13" s="15"/>
      <c r="J13" s="30"/>
      <c r="K13" s="15"/>
      <c r="L13" s="1117" t="s">
        <v>15</v>
      </c>
      <c r="M13" s="15"/>
      <c r="N13" s="30"/>
      <c r="O13" s="15"/>
      <c r="P13" s="1090" t="s">
        <v>15</v>
      </c>
      <c r="Q13" s="1091"/>
      <c r="R13" s="1092"/>
      <c r="S13" s="31"/>
      <c r="T13" s="31"/>
      <c r="U13" s="29"/>
      <c r="V13" s="1117"/>
      <c r="W13" s="15"/>
      <c r="X13" s="29"/>
      <c r="Y13" s="31"/>
      <c r="Z13" s="32"/>
      <c r="AA13" s="29"/>
      <c r="AB13" s="1117"/>
      <c r="AC13" s="15"/>
      <c r="AD13" s="33"/>
      <c r="AE13" s="33"/>
      <c r="AF13" s="34"/>
      <c r="AG13" s="29"/>
      <c r="AI13" s="19"/>
      <c r="AJ13" s="19"/>
      <c r="AK13" s="1"/>
      <c r="AL13" s="1"/>
    </row>
    <row r="14" spans="1:38" ht="18" customHeight="1">
      <c r="A14" s="15" t="s">
        <v>16</v>
      </c>
      <c r="B14" s="1713">
        <v>-4</v>
      </c>
      <c r="C14" s="15"/>
      <c r="D14" s="2454">
        <f>+'Exhibit F'!V28</f>
        <v>6008.4</v>
      </c>
      <c r="E14" s="37" t="s">
        <v>15</v>
      </c>
      <c r="F14" s="1149">
        <f>+'Exhibit F'!AC28</f>
        <v>31370.3</v>
      </c>
      <c r="G14" s="37"/>
      <c r="H14" s="2454">
        <f>'Exhibit G'!V18</f>
        <v>2413.5</v>
      </c>
      <c r="I14" s="38"/>
      <c r="J14" s="1149">
        <f>'Exhibit G'!AE18</f>
        <v>2575.6999999999998</v>
      </c>
      <c r="K14" s="37"/>
      <c r="L14" s="2563">
        <f>+'Exhibit H'!T16</f>
        <v>2807.2999999999993</v>
      </c>
      <c r="M14" s="1149"/>
      <c r="N14" s="1149">
        <f>+'Exhibit H'!AA16</f>
        <v>11315.3</v>
      </c>
      <c r="O14" s="1149"/>
      <c r="P14" s="1208">
        <v>0</v>
      </c>
      <c r="Q14" s="1209"/>
      <c r="R14" s="1208">
        <v>0</v>
      </c>
      <c r="S14" s="1345"/>
      <c r="T14" s="1345"/>
      <c r="U14" s="1346"/>
      <c r="V14" s="2454">
        <f t="shared" ref="V14:V19" si="0">ROUND(SUM(D14)+SUM(H14)+SUM(L14)+SUM(P14),1)</f>
        <v>11229.2</v>
      </c>
      <c r="W14" s="1344" t="s">
        <v>15</v>
      </c>
      <c r="X14" s="2046">
        <f t="shared" ref="X14:X19" si="1">ROUND(SUM(F14)+SUM(J14)+SUM(N14)+SUM(R14),1)</f>
        <v>45261.3</v>
      </c>
      <c r="Y14" s="39"/>
      <c r="Z14" s="41"/>
      <c r="AA14" s="40"/>
      <c r="AB14" s="1141">
        <v>7594.9</v>
      </c>
      <c r="AC14" s="37"/>
      <c r="AD14" s="2567">
        <f>ROUND(+'Exhibit F'!AF28+'Exhibit G'!AH18+'Exhibit H'!AD16,1)</f>
        <v>40472.9</v>
      </c>
      <c r="AE14" s="42"/>
      <c r="AF14" s="43"/>
      <c r="AG14" s="37">
        <f t="shared" ref="AG14:AG19" si="2">ROUND(SUM(X14-AD14),1)</f>
        <v>4788.3999999999996</v>
      </c>
      <c r="AH14" s="44"/>
      <c r="AI14" s="45">
        <f t="shared" ref="AI14:AI19" si="3">ROUND(SUM((+X14-AD14)/ABS(AD14)),3)</f>
        <v>0.11799999999999999</v>
      </c>
      <c r="AJ14" s="1684"/>
      <c r="AK14" s="1"/>
      <c r="AL14" s="1"/>
    </row>
    <row r="15" spans="1:38" ht="18" customHeight="1">
      <c r="A15" s="15" t="s">
        <v>17</v>
      </c>
      <c r="B15" s="46" t="s">
        <v>15</v>
      </c>
      <c r="C15" s="15"/>
      <c r="D15" s="1095">
        <f>+'Exhibit F'!V37</f>
        <v>618.4</v>
      </c>
      <c r="E15" s="47"/>
      <c r="F15" s="48">
        <f>+'Exhibit F'!AC37</f>
        <v>6213.2</v>
      </c>
      <c r="G15" s="47"/>
      <c r="H15" s="1095">
        <f>'Exhibit G'!V29</f>
        <v>173.1</v>
      </c>
      <c r="I15" s="47"/>
      <c r="J15" s="48">
        <f>+'Exhibit G'!AE29</f>
        <v>1725.9</v>
      </c>
      <c r="K15" s="47"/>
      <c r="L15" s="2562">
        <f>'Exhibit H'!T20</f>
        <v>559.9</v>
      </c>
      <c r="M15" s="48"/>
      <c r="N15" s="48">
        <f>+'Exhibit H'!AA20</f>
        <v>5683.3</v>
      </c>
      <c r="O15" s="48"/>
      <c r="P15" s="2562">
        <f>' Exhbit I '!W23</f>
        <v>49.2</v>
      </c>
      <c r="Q15" s="1094"/>
      <c r="R15" s="1093">
        <f>+' Exhbit I '!AF23</f>
        <v>479.4</v>
      </c>
      <c r="S15" s="50"/>
      <c r="T15" s="50"/>
      <c r="U15" s="51"/>
      <c r="V15" s="1094">
        <f t="shared" si="0"/>
        <v>1400.6</v>
      </c>
      <c r="W15" s="47" t="s">
        <v>15</v>
      </c>
      <c r="X15" s="47">
        <f t="shared" si="1"/>
        <v>14101.8</v>
      </c>
      <c r="Y15" s="50"/>
      <c r="Z15" s="52"/>
      <c r="AA15" s="51"/>
      <c r="AB15" s="1104">
        <v>1353.3</v>
      </c>
      <c r="AC15" s="53"/>
      <c r="AD15" s="33">
        <f>ROUND(+' Exhbit I '!AI23+'Exhibit G'!AH29+'Exhibit H'!AD20+'Exhibit F'!AF37,1)</f>
        <v>13699</v>
      </c>
      <c r="AE15" s="54"/>
      <c r="AF15" s="55"/>
      <c r="AG15" s="47">
        <f t="shared" si="2"/>
        <v>402.8</v>
      </c>
      <c r="AI15" s="45">
        <f t="shared" si="3"/>
        <v>2.9000000000000001E-2</v>
      </c>
      <c r="AJ15" s="29"/>
      <c r="AK15" s="1"/>
      <c r="AL15" s="1"/>
    </row>
    <row r="16" spans="1:38" ht="18" customHeight="1">
      <c r="A16" s="15" t="s">
        <v>18</v>
      </c>
      <c r="B16" s="56"/>
      <c r="C16" s="15"/>
      <c r="D16" s="1095">
        <f>+'Exhibit F'!V44</f>
        <v>-135.69999999999999</v>
      </c>
      <c r="E16" s="47"/>
      <c r="F16" s="48">
        <f>+'Exhibit F'!AC44</f>
        <v>3517.8</v>
      </c>
      <c r="G16" s="47"/>
      <c r="H16" s="1095">
        <f>'Exhibit G'!V36</f>
        <v>99.1</v>
      </c>
      <c r="I16" s="47"/>
      <c r="J16" s="48">
        <f>'Exhibit G'!AE36</f>
        <v>1309</v>
      </c>
      <c r="K16" s="47"/>
      <c r="L16" s="1101">
        <v>0</v>
      </c>
      <c r="M16" s="48"/>
      <c r="N16" s="58">
        <v>0</v>
      </c>
      <c r="O16" s="48"/>
      <c r="P16" s="2562">
        <f>' Exhbit I '!W28</f>
        <v>52</v>
      </c>
      <c r="Q16" s="1094"/>
      <c r="R16" s="1093">
        <f>' Exhbit I '!AF28</f>
        <v>518.4</v>
      </c>
      <c r="S16" s="50"/>
      <c r="T16" s="50"/>
      <c r="U16" s="51"/>
      <c r="V16" s="1095">
        <f>ROUND(SUM(D16)+SUM(H16)+SUM(L16)+SUM(P16),1)</f>
        <v>15.4</v>
      </c>
      <c r="W16" s="47" t="s">
        <v>15</v>
      </c>
      <c r="X16" s="47">
        <f t="shared" si="1"/>
        <v>5345.2</v>
      </c>
      <c r="Y16" s="50"/>
      <c r="Z16" s="52"/>
      <c r="AA16" s="51"/>
      <c r="AB16" s="1104">
        <v>133.80000000000001</v>
      </c>
      <c r="AC16" s="53"/>
      <c r="AD16" s="33">
        <f>ROUND(+'Exhibit G'!AH36+' Exhbit I '!AI28+'Exhibit F'!AF44,1)</f>
        <v>5452.8</v>
      </c>
      <c r="AE16" s="54"/>
      <c r="AF16" s="55"/>
      <c r="AG16" s="47">
        <f t="shared" si="2"/>
        <v>-107.6</v>
      </c>
      <c r="AI16" s="45">
        <f t="shared" si="3"/>
        <v>-0.02</v>
      </c>
      <c r="AJ16" s="29"/>
      <c r="AK16" s="1"/>
      <c r="AL16" s="1"/>
    </row>
    <row r="17" spans="1:38" ht="18" customHeight="1">
      <c r="A17" s="15" t="s">
        <v>19</v>
      </c>
      <c r="B17" s="36"/>
      <c r="C17" s="15"/>
      <c r="D17" s="1095">
        <f>+'Exhibit F'!V52</f>
        <v>174.3</v>
      </c>
      <c r="E17" s="47"/>
      <c r="F17" s="48">
        <f>+'Exhibit F'!AC52</f>
        <v>1152.2</v>
      </c>
      <c r="G17" s="47"/>
      <c r="H17" s="1095">
        <f>'Exhibit G'!V38</f>
        <v>203.6</v>
      </c>
      <c r="I17" s="47"/>
      <c r="J17" s="47">
        <f>'Exhibit G'!AE39</f>
        <v>1166.2</v>
      </c>
      <c r="K17" s="47"/>
      <c r="L17" s="2562">
        <f>'Exhibit H'!T23</f>
        <v>83</v>
      </c>
      <c r="M17" s="48"/>
      <c r="N17" s="48">
        <f>+'Exhibit H'!AA23</f>
        <v>864.6</v>
      </c>
      <c r="O17" s="48"/>
      <c r="P17" s="2562">
        <f>' Exhbit I '!W31</f>
        <v>11.9</v>
      </c>
      <c r="Q17" s="1094"/>
      <c r="R17" s="1093">
        <f>' Exhbit I '!AF31</f>
        <v>95.3</v>
      </c>
      <c r="S17" s="50"/>
      <c r="T17" s="50"/>
      <c r="U17" s="51"/>
      <c r="V17" s="1094">
        <f t="shared" si="0"/>
        <v>472.8</v>
      </c>
      <c r="W17" s="47" t="s">
        <v>15</v>
      </c>
      <c r="X17" s="47">
        <f t="shared" si="1"/>
        <v>3278.3</v>
      </c>
      <c r="Y17" s="50"/>
      <c r="Z17" s="52"/>
      <c r="AA17" s="51"/>
      <c r="AB17" s="1094">
        <v>339.8</v>
      </c>
      <c r="AC17" s="47"/>
      <c r="AD17" s="54">
        <f>ROUND(+'Exhibit F'!AF52+'Exhibit G'!AH39+'Exhibit H'!AD23+' Exhbit I '!AI31,1)</f>
        <v>3030.2</v>
      </c>
      <c r="AE17" s="54"/>
      <c r="AF17" s="55"/>
      <c r="AG17" s="47">
        <f t="shared" si="2"/>
        <v>248.1</v>
      </c>
      <c r="AI17" s="45">
        <f t="shared" si="3"/>
        <v>8.2000000000000003E-2</v>
      </c>
      <c r="AJ17" s="33"/>
      <c r="AK17" s="1"/>
      <c r="AL17" s="1"/>
    </row>
    <row r="18" spans="1:38" ht="18" customHeight="1">
      <c r="A18" s="15" t="s">
        <v>20</v>
      </c>
      <c r="B18" s="59"/>
      <c r="C18" s="15"/>
      <c r="D18" s="1105">
        <f>+'Exhibit F'!V91</f>
        <v>221.3</v>
      </c>
      <c r="E18" s="47"/>
      <c r="F18" s="48">
        <f>+'Exhibit F'!AC91</f>
        <v>2563.6999999999998</v>
      </c>
      <c r="G18" s="47"/>
      <c r="H18" s="1095">
        <f>'Exhibit G'!V83</f>
        <v>1549.6</v>
      </c>
      <c r="I18" s="47"/>
      <c r="J18" s="48">
        <f>+'Exhibit G'!AE83</f>
        <v>14630.5</v>
      </c>
      <c r="K18" s="47"/>
      <c r="L18" s="2562">
        <f>+'Exhibit H'!T43</f>
        <v>46</v>
      </c>
      <c r="M18" s="48"/>
      <c r="N18" s="48">
        <f>+'Exhibit H'!AA43</f>
        <v>377.3</v>
      </c>
      <c r="O18" s="48"/>
      <c r="P18" s="2562">
        <f>+' Exhbit I '!W61</f>
        <v>223.1</v>
      </c>
      <c r="Q18" s="1094"/>
      <c r="R18" s="1095">
        <f>+' Exhbit I '!AF61</f>
        <v>5017.7</v>
      </c>
      <c r="S18" s="50"/>
      <c r="T18" s="50"/>
      <c r="U18" s="51"/>
      <c r="V18" s="1094">
        <f t="shared" si="0"/>
        <v>2040</v>
      </c>
      <c r="W18" s="47" t="s">
        <v>15</v>
      </c>
      <c r="X18" s="47">
        <f t="shared" si="1"/>
        <v>22589.200000000001</v>
      </c>
      <c r="Y18" s="50"/>
      <c r="Z18" s="52"/>
      <c r="AA18" s="51"/>
      <c r="AB18" s="1104">
        <v>1768.9</v>
      </c>
      <c r="AC18" s="53"/>
      <c r="AD18" s="54">
        <f>ROUND('Exhibit F'!AF91+'Exhibit G'!AH83+'Exhibit H'!AD43+' Exhbit I '!AI61,1)</f>
        <v>20046.900000000001</v>
      </c>
      <c r="AE18" s="54"/>
      <c r="AF18" s="55"/>
      <c r="AG18" s="47">
        <f t="shared" si="2"/>
        <v>2542.3000000000002</v>
      </c>
      <c r="AI18" s="45">
        <f t="shared" si="3"/>
        <v>0.127</v>
      </c>
      <c r="AJ18" s="29"/>
      <c r="AK18" s="1"/>
      <c r="AL18" s="1"/>
    </row>
    <row r="19" spans="1:38" ht="18" customHeight="1">
      <c r="A19" s="15" t="s">
        <v>21</v>
      </c>
      <c r="B19" s="59"/>
      <c r="C19" s="15"/>
      <c r="D19" s="1095">
        <f>+'Exhibit F'!V93</f>
        <v>0</v>
      </c>
      <c r="E19" s="51"/>
      <c r="F19" s="48">
        <f>+'Exhibit F'!AC93</f>
        <v>0.2</v>
      </c>
      <c r="G19" s="47"/>
      <c r="H19" s="1095">
        <f>'Exhibit G'!V85</f>
        <v>3633.6</v>
      </c>
      <c r="I19" s="47"/>
      <c r="J19" s="48">
        <f>+'Exhibit G'!AE85</f>
        <v>44568.5</v>
      </c>
      <c r="K19" s="47"/>
      <c r="L19" s="2562">
        <f>+'Exhibit H'!T45</f>
        <v>1.6</v>
      </c>
      <c r="M19" s="74"/>
      <c r="N19" s="48">
        <f>+'Exhibit H'!AA45</f>
        <v>38.299999999999997</v>
      </c>
      <c r="O19" s="48"/>
      <c r="P19" s="2562">
        <f>+' Exhbit I '!W63</f>
        <v>126.5</v>
      </c>
      <c r="Q19" s="1094"/>
      <c r="R19" s="1095">
        <f>+' Exhbit I '!AF63</f>
        <v>1806</v>
      </c>
      <c r="S19" s="50"/>
      <c r="T19" s="50"/>
      <c r="U19" s="51"/>
      <c r="V19" s="1096">
        <f t="shared" si="0"/>
        <v>3761.7</v>
      </c>
      <c r="W19" s="47" t="s">
        <v>15</v>
      </c>
      <c r="X19" s="51">
        <f t="shared" si="1"/>
        <v>46413</v>
      </c>
      <c r="Y19" s="50"/>
      <c r="Z19" s="52"/>
      <c r="AA19" s="51"/>
      <c r="AB19" s="1094">
        <v>4073.6</v>
      </c>
      <c r="AC19" s="47"/>
      <c r="AD19" s="54">
        <f>ROUND(+'Exhibit F'!AF93+'Exhibit G'!AH85+'Exhibit H'!AD45+' Exhbit I '!AI63,1)</f>
        <v>43749.3</v>
      </c>
      <c r="AE19" s="54"/>
      <c r="AF19" s="55"/>
      <c r="AG19" s="47">
        <f t="shared" si="2"/>
        <v>2663.7</v>
      </c>
      <c r="AI19" s="45">
        <f t="shared" si="3"/>
        <v>6.0999999999999999E-2</v>
      </c>
      <c r="AJ19" s="29"/>
      <c r="AK19" s="1"/>
      <c r="AL19" s="1"/>
    </row>
    <row r="20" spans="1:38" ht="18" customHeight="1">
      <c r="A20" s="14" t="s">
        <v>22</v>
      </c>
      <c r="B20" s="15"/>
      <c r="C20" s="15"/>
      <c r="D20" s="62">
        <f>ROUND(SUM(D14:D19),1)</f>
        <v>6886.7</v>
      </c>
      <c r="E20" s="61"/>
      <c r="F20" s="62">
        <f>ROUND(SUM(F14:F19),1)</f>
        <v>44817.4</v>
      </c>
      <c r="G20" s="63"/>
      <c r="H20" s="65">
        <f>ROUND(SUM(H14:H19),1)</f>
        <v>8072.5</v>
      </c>
      <c r="I20" s="63"/>
      <c r="J20" s="65">
        <f>ROUND(SUM(J14:J19),1)</f>
        <v>65975.8</v>
      </c>
      <c r="K20" s="63"/>
      <c r="L20" s="65">
        <f>ROUND(SUM(L14:L19),1)</f>
        <v>3497.8</v>
      </c>
      <c r="M20" s="2459"/>
      <c r="N20" s="65">
        <f>ROUND(SUM(N14:N19),1)</f>
        <v>18278.8</v>
      </c>
      <c r="O20" s="2459"/>
      <c r="P20" s="65">
        <f>ROUND(SUM(P14:P19),1)</f>
        <v>462.7</v>
      </c>
      <c r="Q20" s="63"/>
      <c r="R20" s="65">
        <f>ROUND(SUM(R14:R19),1)</f>
        <v>7916.8</v>
      </c>
      <c r="S20" s="66"/>
      <c r="T20" s="66"/>
      <c r="U20" s="67"/>
      <c r="V20" s="64">
        <f>ROUND(SUM(V14:V19),1)</f>
        <v>18919.7</v>
      </c>
      <c r="W20" s="63"/>
      <c r="X20" s="64">
        <f>ROUND(SUM(X14:X19),1)</f>
        <v>136988.79999999999</v>
      </c>
      <c r="Y20" s="66"/>
      <c r="Z20" s="68"/>
      <c r="AA20" s="67"/>
      <c r="AB20" s="64">
        <f>ROUND(SUM(AB14:AB19),1)</f>
        <v>15264.3</v>
      </c>
      <c r="AC20" s="63"/>
      <c r="AD20" s="64">
        <f>ROUND(SUM(AD14:AD19),1)</f>
        <v>126451.1</v>
      </c>
      <c r="AE20" s="69"/>
      <c r="AF20" s="70"/>
      <c r="AG20" s="64">
        <f>ROUND(SUM(AG14:AG19),1)</f>
        <v>10537.7</v>
      </c>
      <c r="AH20" s="71"/>
      <c r="AI20" s="72">
        <f>(+X20-AD20)/ABS(AD20)</f>
        <v>8.333419005449523E-2</v>
      </c>
      <c r="AJ20" s="73"/>
      <c r="AK20" s="1"/>
      <c r="AL20" s="1"/>
    </row>
    <row r="21" spans="1:38" ht="15.9" customHeight="1">
      <c r="A21" s="14"/>
      <c r="B21" s="15"/>
      <c r="C21" s="15"/>
      <c r="D21" s="1097"/>
      <c r="E21" s="51"/>
      <c r="F21" s="74"/>
      <c r="G21" s="47"/>
      <c r="H21" s="1097"/>
      <c r="I21" s="47"/>
      <c r="J21" s="74"/>
      <c r="K21" s="47"/>
      <c r="L21" s="1097"/>
      <c r="M21" s="48"/>
      <c r="N21" s="74"/>
      <c r="O21" s="48"/>
      <c r="P21" s="1097"/>
      <c r="Q21" s="1094"/>
      <c r="R21" s="1097"/>
      <c r="S21" s="50"/>
      <c r="T21" s="50"/>
      <c r="U21" s="51"/>
      <c r="V21" s="1096"/>
      <c r="W21" s="47"/>
      <c r="X21" s="51"/>
      <c r="Y21" s="50"/>
      <c r="Z21" s="52"/>
      <c r="AA21" s="51"/>
      <c r="AB21" s="1096"/>
      <c r="AC21" s="47"/>
      <c r="AD21" s="54"/>
      <c r="AE21" s="54"/>
      <c r="AF21" s="55"/>
      <c r="AG21" s="51"/>
      <c r="AI21" s="19"/>
      <c r="AJ21" s="29"/>
      <c r="AK21" s="1"/>
      <c r="AL21" s="1"/>
    </row>
    <row r="22" spans="1:38" ht="15.9" customHeight="1">
      <c r="A22" s="14" t="s">
        <v>23</v>
      </c>
      <c r="B22" s="15"/>
      <c r="C22" s="15"/>
      <c r="D22" s="1095"/>
      <c r="E22" s="47"/>
      <c r="F22" s="48"/>
      <c r="G22" s="47"/>
      <c r="H22" s="1095"/>
      <c r="I22" s="47"/>
      <c r="J22" s="48"/>
      <c r="K22" s="47"/>
      <c r="L22" s="1095"/>
      <c r="M22" s="48"/>
      <c r="N22" s="48"/>
      <c r="O22" s="48"/>
      <c r="P22" s="1095"/>
      <c r="Q22" s="1094"/>
      <c r="R22" s="1095"/>
      <c r="S22" s="50"/>
      <c r="T22" s="50"/>
      <c r="U22" s="51"/>
      <c r="V22" s="1094"/>
      <c r="W22" s="47"/>
      <c r="X22" s="47"/>
      <c r="Y22" s="50"/>
      <c r="Z22" s="52"/>
      <c r="AA22" s="51"/>
      <c r="AB22" s="1094"/>
      <c r="AC22" s="47"/>
      <c r="AD22" s="54"/>
      <c r="AE22" s="54"/>
      <c r="AF22" s="55"/>
      <c r="AG22" s="47"/>
      <c r="AI22" s="19"/>
      <c r="AJ22" s="29"/>
      <c r="AK22" s="1"/>
      <c r="AL22" s="1"/>
    </row>
    <row r="23" spans="1:38" ht="15.9" customHeight="1">
      <c r="A23" s="15" t="s">
        <v>24</v>
      </c>
      <c r="B23" s="36" t="s">
        <v>1048</v>
      </c>
      <c r="C23" s="15"/>
      <c r="D23" s="1101" t="s">
        <v>15</v>
      </c>
      <c r="E23" s="47"/>
      <c r="F23" s="58" t="s">
        <v>15</v>
      </c>
      <c r="G23" s="47"/>
      <c r="H23" s="1099"/>
      <c r="I23" s="47"/>
      <c r="J23" s="75"/>
      <c r="K23" s="47"/>
      <c r="L23" s="1099"/>
      <c r="M23" s="48"/>
      <c r="N23" s="75"/>
      <c r="O23" s="48"/>
      <c r="P23" s="1099"/>
      <c r="Q23" s="1094"/>
      <c r="R23" s="1099"/>
      <c r="S23" s="50"/>
      <c r="T23" s="50"/>
      <c r="U23" s="51"/>
      <c r="V23" s="1098"/>
      <c r="W23" s="47"/>
      <c r="X23" s="60"/>
      <c r="Y23" s="50"/>
      <c r="Z23" s="52"/>
      <c r="AA23" s="51"/>
      <c r="AB23" s="1098"/>
      <c r="AC23" s="47"/>
      <c r="AD23" s="60"/>
      <c r="AE23" s="54"/>
      <c r="AF23" s="55"/>
      <c r="AG23" s="60"/>
      <c r="AI23" s="76"/>
      <c r="AJ23" s="29"/>
      <c r="AK23" s="1"/>
      <c r="AL23" s="1"/>
    </row>
    <row r="24" spans="1:38" ht="18" customHeight="1">
      <c r="A24" s="1568" t="s">
        <v>25</v>
      </c>
      <c r="B24" s="15"/>
      <c r="C24" s="15"/>
      <c r="D24" s="2466">
        <f>+'Exhibit F'!V99</f>
        <v>606.4</v>
      </c>
      <c r="E24" s="47"/>
      <c r="F24" s="48">
        <f>+'Exhibit F'!AC99</f>
        <v>16570.2</v>
      </c>
      <c r="G24" s="47"/>
      <c r="H24" s="2562">
        <f>'Exhibit G'!V91</f>
        <v>2802.8</v>
      </c>
      <c r="I24" s="47"/>
      <c r="J24" s="48">
        <f>+'Exhibit G'!AE91</f>
        <v>8430.1</v>
      </c>
      <c r="K24" s="47"/>
      <c r="L24" s="2457">
        <v>0</v>
      </c>
      <c r="M24" s="74"/>
      <c r="N24" s="78">
        <v>0</v>
      </c>
      <c r="O24" s="48"/>
      <c r="P24" s="2562">
        <f>' Exhbit I '!W69</f>
        <v>4.2</v>
      </c>
      <c r="Q24" s="1093"/>
      <c r="R24" s="1095">
        <f>+' Exhbit I '!AF69</f>
        <v>97.2</v>
      </c>
      <c r="S24" s="50"/>
      <c r="T24" s="50"/>
      <c r="U24" s="51"/>
      <c r="V24" s="1094">
        <f>ROUND(SUM(D24)+SUM(H24)+SUM(L24)+SUM(P24),1)</f>
        <v>3413.4</v>
      </c>
      <c r="W24" s="47" t="s">
        <v>15</v>
      </c>
      <c r="X24" s="47">
        <f>ROUND(SUM(F24)+SUM(J24)+SUM(N24)+SUM(R24),1)</f>
        <v>25097.5</v>
      </c>
      <c r="Y24" s="50"/>
      <c r="Z24" s="52"/>
      <c r="AA24" s="51"/>
      <c r="AB24" s="1094">
        <v>3247.4</v>
      </c>
      <c r="AC24" s="47"/>
      <c r="AD24" s="54">
        <f>ROUND(+'Exhibit F'!AF99+'Exhibit G'!AH91+'Exhibit H'!L49+' Exhbit I '!AI69,1)</f>
        <v>24088.9</v>
      </c>
      <c r="AE24" s="79"/>
      <c r="AF24" s="80"/>
      <c r="AG24" s="47">
        <f>ROUND(SUM(X24-AD24),1)</f>
        <v>1008.6</v>
      </c>
      <c r="AI24" s="45">
        <f>ROUND(SUM((+X24-AD24)/ABS(AD24)),3)</f>
        <v>4.2000000000000003E-2</v>
      </c>
      <c r="AJ24" s="29"/>
      <c r="AK24" s="1"/>
      <c r="AL24" s="1"/>
    </row>
    <row r="25" spans="1:38" ht="18" customHeight="1">
      <c r="A25" s="1568" t="s">
        <v>26</v>
      </c>
      <c r="B25" s="81"/>
      <c r="C25" s="15"/>
      <c r="D25" s="2466">
        <f>+'Exhibit F'!V100</f>
        <v>0.1</v>
      </c>
      <c r="E25" s="47"/>
      <c r="F25" s="48">
        <f>+'Exhibit F'!AC100</f>
        <v>3.6</v>
      </c>
      <c r="G25" s="47"/>
      <c r="H25" s="2562">
        <f>'Exhibit G'!V92</f>
        <v>0.79999999999999993</v>
      </c>
      <c r="I25" s="47"/>
      <c r="J25" s="48">
        <f>+'Exhibit G'!AE92</f>
        <v>4.5999999999999996</v>
      </c>
      <c r="K25" s="47"/>
      <c r="L25" s="2457">
        <v>0</v>
      </c>
      <c r="M25" s="74"/>
      <c r="N25" s="78">
        <v>0</v>
      </c>
      <c r="O25" s="48"/>
      <c r="P25" s="2562">
        <f>' Exhbit I '!W70</f>
        <v>7</v>
      </c>
      <c r="Q25" s="1093"/>
      <c r="R25" s="1095">
        <f>+' Exhbit I '!AF70</f>
        <v>285.89999999999998</v>
      </c>
      <c r="S25" s="50"/>
      <c r="T25" s="50"/>
      <c r="U25" s="51"/>
      <c r="V25" s="1094">
        <f t="shared" ref="V25:V32" si="4">ROUND(SUM(D25)+SUM(H25)+SUM(L25)+SUM(P25),1)</f>
        <v>7.9</v>
      </c>
      <c r="W25" s="47" t="s">
        <v>15</v>
      </c>
      <c r="X25" s="47">
        <f t="shared" ref="X25:X32" si="5">ROUND(SUM(F25)+SUM(J25)+SUM(N25)+SUM(R25),1)</f>
        <v>294.10000000000002</v>
      </c>
      <c r="Y25" s="50"/>
      <c r="Z25" s="52"/>
      <c r="AA25" s="51"/>
      <c r="AB25" s="1142">
        <v>7.6</v>
      </c>
      <c r="AC25" s="49" t="s">
        <v>15</v>
      </c>
      <c r="AD25" s="54">
        <f>ROUND(+'Exhibit F'!AF100+'Exhibit G'!AH92+'Exhibit H'!N49+' Exhbit I '!AI70,1)</f>
        <v>277.60000000000002</v>
      </c>
      <c r="AE25" s="51"/>
      <c r="AF25" s="55"/>
      <c r="AG25" s="47">
        <f t="shared" ref="AG25:AG33" si="6">ROUND(SUM(X25-AD25),1)</f>
        <v>16.5</v>
      </c>
      <c r="AI25" s="45">
        <f t="shared" ref="AI25:AI32" si="7">ROUND(SUM((+X25-AD25)/ABS(AD25)),3)</f>
        <v>5.8999999999999997E-2</v>
      </c>
      <c r="AJ25" s="29"/>
      <c r="AK25" s="1"/>
      <c r="AL25" s="1"/>
    </row>
    <row r="26" spans="1:38" ht="18" customHeight="1">
      <c r="A26" s="1568" t="s">
        <v>27</v>
      </c>
      <c r="B26" s="82"/>
      <c r="C26" s="15"/>
      <c r="D26" s="2466">
        <f>+'Exhibit F'!V101</f>
        <v>3.1</v>
      </c>
      <c r="E26" s="47"/>
      <c r="F26" s="48">
        <f>+'Exhibit F'!AC101</f>
        <v>914.1</v>
      </c>
      <c r="G26" s="47"/>
      <c r="H26" s="2562">
        <f>'Exhibit G'!V93</f>
        <v>11.6</v>
      </c>
      <c r="I26" s="47"/>
      <c r="J26" s="48">
        <f>+'Exhibit G'!AE93</f>
        <v>176.4</v>
      </c>
      <c r="K26" s="47"/>
      <c r="L26" s="2457">
        <v>0</v>
      </c>
      <c r="M26" s="74"/>
      <c r="N26" s="78">
        <v>0</v>
      </c>
      <c r="O26" s="48"/>
      <c r="P26" s="2562">
        <f>' Exhbit I '!W71</f>
        <v>47.7</v>
      </c>
      <c r="Q26" s="1093"/>
      <c r="R26" s="1095">
        <f>+' Exhbit I '!AF71</f>
        <v>513.6</v>
      </c>
      <c r="S26" s="50"/>
      <c r="T26" s="50"/>
      <c r="U26" s="51"/>
      <c r="V26" s="1094">
        <f t="shared" si="4"/>
        <v>62.4</v>
      </c>
      <c r="W26" s="47" t="s">
        <v>15</v>
      </c>
      <c r="X26" s="47">
        <f t="shared" si="5"/>
        <v>1604.1</v>
      </c>
      <c r="Y26" s="50"/>
      <c r="Z26" s="52"/>
      <c r="AA26" s="51"/>
      <c r="AB26" s="1094">
        <v>61.8</v>
      </c>
      <c r="AC26" s="47" t="s">
        <v>15</v>
      </c>
      <c r="AD26" s="54">
        <f>ROUND(+'Exhibit F'!AF101+'Exhibit G'!AH93+'Exhibit H'!J49+' Exhbit I '!AI71,1)</f>
        <v>1487.2</v>
      </c>
      <c r="AE26" s="51"/>
      <c r="AF26" s="55"/>
      <c r="AG26" s="47">
        <f t="shared" si="6"/>
        <v>116.9</v>
      </c>
      <c r="AI26" s="45">
        <f t="shared" si="7"/>
        <v>7.9000000000000001E-2</v>
      </c>
      <c r="AJ26" s="29"/>
      <c r="AK26" s="1"/>
      <c r="AL26" s="1"/>
    </row>
    <row r="27" spans="1:38" ht="18" customHeight="1">
      <c r="A27" s="1568" t="s">
        <v>28</v>
      </c>
      <c r="B27" s="36"/>
      <c r="C27" s="15"/>
      <c r="D27" s="2466" t="s">
        <v>15</v>
      </c>
      <c r="E27" s="47"/>
      <c r="F27" s="48"/>
      <c r="G27" s="47"/>
      <c r="H27" s="2562"/>
      <c r="I27" s="47"/>
      <c r="J27" s="48" t="s">
        <v>15</v>
      </c>
      <c r="K27" s="47"/>
      <c r="L27" s="2559" t="s">
        <v>15</v>
      </c>
      <c r="M27" s="74"/>
      <c r="N27" s="84" t="s">
        <v>15</v>
      </c>
      <c r="O27" s="48"/>
      <c r="P27" s="2562"/>
      <c r="Q27" s="1093"/>
      <c r="R27" s="1095"/>
      <c r="S27" s="50"/>
      <c r="T27" s="50"/>
      <c r="U27" s="51"/>
      <c r="V27" s="1094" t="s">
        <v>15</v>
      </c>
      <c r="W27" s="47"/>
      <c r="X27" s="1094" t="s">
        <v>15</v>
      </c>
      <c r="Y27" s="50"/>
      <c r="Z27" s="52"/>
      <c r="AA27" s="51"/>
      <c r="AB27" s="1094"/>
      <c r="AC27" s="47"/>
      <c r="AD27" s="47"/>
      <c r="AE27" s="51"/>
      <c r="AF27" s="55"/>
      <c r="AG27" s="47"/>
      <c r="AI27" s="1700" t="s">
        <v>15</v>
      </c>
      <c r="AJ27" s="29"/>
      <c r="AK27" s="1"/>
      <c r="AL27" s="1"/>
    </row>
    <row r="28" spans="1:38" ht="18" customHeight="1">
      <c r="A28" s="1569" t="s">
        <v>29</v>
      </c>
      <c r="B28" s="46"/>
      <c r="C28" s="15"/>
      <c r="D28" s="2466">
        <f>+'Exhibit F'!V103</f>
        <v>1321.2</v>
      </c>
      <c r="E28" s="47"/>
      <c r="F28" s="48">
        <f>+'Exhibit F'!AC103</f>
        <v>12831.5</v>
      </c>
      <c r="G28" s="47"/>
      <c r="H28" s="2562">
        <f>'Exhibit G'!V95</f>
        <v>3438.7999999999997</v>
      </c>
      <c r="I28" s="47"/>
      <c r="J28" s="48">
        <f>+'Exhibit G'!AE95</f>
        <v>34766.9</v>
      </c>
      <c r="K28" s="47"/>
      <c r="L28" s="2457">
        <v>0</v>
      </c>
      <c r="M28" s="74"/>
      <c r="N28" s="78">
        <v>0</v>
      </c>
      <c r="O28" s="48"/>
      <c r="P28" s="2562">
        <f>' Exhbit I '!W73</f>
        <v>0</v>
      </c>
      <c r="Q28" s="1093"/>
      <c r="R28" s="1099">
        <f>+' Exhbit I '!AF73</f>
        <v>0</v>
      </c>
      <c r="S28" s="50"/>
      <c r="T28" s="50"/>
      <c r="U28" s="51"/>
      <c r="V28" s="1094">
        <f t="shared" si="4"/>
        <v>4760</v>
      </c>
      <c r="W28" s="47" t="s">
        <v>15</v>
      </c>
      <c r="X28" s="47">
        <f t="shared" si="5"/>
        <v>47598.400000000001</v>
      </c>
      <c r="Y28" s="50"/>
      <c r="Z28" s="52"/>
      <c r="AA28" s="51"/>
      <c r="AB28" s="1094">
        <v>3988.5</v>
      </c>
      <c r="AC28" s="47" t="s">
        <v>15</v>
      </c>
      <c r="AD28" s="47">
        <f>ROUND(+'Exhibit F'!AF103+'Exhibit G'!AH95+'Exhibit H'!F49+' Exhbit I '!AI73,1)</f>
        <v>43178.1</v>
      </c>
      <c r="AE28" s="51"/>
      <c r="AF28" s="55"/>
      <c r="AG28" s="47">
        <f t="shared" si="6"/>
        <v>4420.3</v>
      </c>
      <c r="AI28" s="45">
        <f t="shared" si="7"/>
        <v>0.10199999999999999</v>
      </c>
      <c r="AJ28" s="29"/>
      <c r="AK28" s="2934"/>
      <c r="AL28" s="1"/>
    </row>
    <row r="29" spans="1:38" ht="18" customHeight="1">
      <c r="A29" s="1568" t="s">
        <v>30</v>
      </c>
      <c r="B29" s="46"/>
      <c r="C29" s="15"/>
      <c r="D29" s="2466">
        <f>+'Exhibit F'!V104</f>
        <v>20.100000000000001</v>
      </c>
      <c r="E29" s="47"/>
      <c r="F29" s="48">
        <f>+'Exhibit F'!AC104</f>
        <v>728.3</v>
      </c>
      <c r="G29" s="47"/>
      <c r="H29" s="2562">
        <f>'Exhibit G'!V96</f>
        <v>675.5</v>
      </c>
      <c r="I29" s="47"/>
      <c r="J29" s="48">
        <f>+'Exhibit G'!AE96</f>
        <v>7140.4</v>
      </c>
      <c r="K29" s="47"/>
      <c r="L29" s="2457">
        <v>0</v>
      </c>
      <c r="M29" s="74"/>
      <c r="N29" s="78">
        <v>0</v>
      </c>
      <c r="O29" s="48"/>
      <c r="P29" s="2562">
        <f>' Exhbit I '!W74</f>
        <v>40.4</v>
      </c>
      <c r="Q29" s="1093"/>
      <c r="R29" s="1095">
        <f>+' Exhbit I '!AF74</f>
        <v>206.1</v>
      </c>
      <c r="S29" s="50"/>
      <c r="T29" s="50"/>
      <c r="U29" s="51"/>
      <c r="V29" s="1094">
        <f t="shared" si="4"/>
        <v>736</v>
      </c>
      <c r="W29" s="47" t="s">
        <v>15</v>
      </c>
      <c r="X29" s="47">
        <f t="shared" si="5"/>
        <v>8074.8</v>
      </c>
      <c r="Y29" s="50"/>
      <c r="Z29" s="52"/>
      <c r="AA29" s="51"/>
      <c r="AB29" s="1094">
        <v>741.8</v>
      </c>
      <c r="AC29" s="47" t="s">
        <v>15</v>
      </c>
      <c r="AD29" s="47">
        <f>ROUND(+'Exhibit F'!AF104+'Exhibit G'!AH96+' Exhbit I '!AI74,1)</f>
        <v>7325.7</v>
      </c>
      <c r="AE29" s="51"/>
      <c r="AF29" s="55"/>
      <c r="AG29" s="47">
        <f t="shared" si="6"/>
        <v>749.1</v>
      </c>
      <c r="AI29" s="45">
        <f t="shared" si="7"/>
        <v>0.10199999999999999</v>
      </c>
      <c r="AJ29" s="29"/>
      <c r="AK29" s="1"/>
      <c r="AL29" s="1"/>
    </row>
    <row r="30" spans="1:38" ht="18" customHeight="1">
      <c r="A30" s="1568" t="s">
        <v>31</v>
      </c>
      <c r="B30" s="36"/>
      <c r="C30" s="15"/>
      <c r="D30" s="2466">
        <f>+'Exhibit F'!V105</f>
        <v>15.9</v>
      </c>
      <c r="E30" s="47"/>
      <c r="F30" s="48">
        <f>+'Exhibit F'!AC105</f>
        <v>135.80000000000001</v>
      </c>
      <c r="G30" s="47"/>
      <c r="H30" s="2562">
        <f>'Exhibit G'!V97</f>
        <v>197.1</v>
      </c>
      <c r="I30" s="47"/>
      <c r="J30" s="48">
        <f>+'Exhibit G'!AE97</f>
        <v>1246.9000000000001</v>
      </c>
      <c r="K30" s="47"/>
      <c r="L30" s="2457">
        <v>0</v>
      </c>
      <c r="M30" s="74"/>
      <c r="N30" s="78">
        <v>0</v>
      </c>
      <c r="O30" s="48"/>
      <c r="P30" s="2562">
        <f>' Exhbit I '!W75</f>
        <v>2.7</v>
      </c>
      <c r="Q30" s="1093"/>
      <c r="R30" s="1099">
        <f>+' Exhbit I '!AF75</f>
        <v>20.5</v>
      </c>
      <c r="S30" s="50"/>
      <c r="T30" s="50"/>
      <c r="U30" s="51"/>
      <c r="V30" s="1094">
        <f t="shared" si="4"/>
        <v>215.7</v>
      </c>
      <c r="W30" s="47" t="s">
        <v>15</v>
      </c>
      <c r="X30" s="47">
        <f t="shared" si="5"/>
        <v>1403.2</v>
      </c>
      <c r="Y30" s="50"/>
      <c r="Z30" s="52"/>
      <c r="AA30" s="51"/>
      <c r="AB30" s="1094">
        <v>156.4</v>
      </c>
      <c r="AC30" s="47" t="s">
        <v>15</v>
      </c>
      <c r="AD30" s="47">
        <f>ROUND(+'Exhibit F'!AF105+'Exhibit G'!AH97+' Exhbit I '!AI75,1)</f>
        <v>1484.9</v>
      </c>
      <c r="AE30" s="51"/>
      <c r="AF30" s="55"/>
      <c r="AG30" s="47">
        <f t="shared" si="6"/>
        <v>-81.7</v>
      </c>
      <c r="AI30" s="45">
        <f t="shared" si="7"/>
        <v>-5.5E-2</v>
      </c>
      <c r="AJ30" s="29"/>
      <c r="AK30" s="1"/>
      <c r="AL30" s="1"/>
    </row>
    <row r="31" spans="1:38" ht="18" customHeight="1">
      <c r="A31" s="1568" t="s">
        <v>32</v>
      </c>
      <c r="B31" s="15"/>
      <c r="C31" s="15"/>
      <c r="D31" s="2466">
        <f>+'Exhibit F'!V106</f>
        <v>112.3</v>
      </c>
      <c r="E31" s="47"/>
      <c r="F31" s="48">
        <f>+'Exhibit F'!AC106</f>
        <v>1768.7</v>
      </c>
      <c r="G31" s="47"/>
      <c r="H31" s="2562">
        <f>'Exhibit G'!V98</f>
        <v>156.30000000000001</v>
      </c>
      <c r="I31" s="47"/>
      <c r="J31" s="48">
        <f>+'Exhibit G'!AE98</f>
        <v>2918.4</v>
      </c>
      <c r="K31" s="47"/>
      <c r="L31" s="2457">
        <v>0</v>
      </c>
      <c r="M31" s="74"/>
      <c r="N31" s="78">
        <v>0</v>
      </c>
      <c r="O31" s="48"/>
      <c r="P31" s="2562">
        <f>' Exhbit I '!W76</f>
        <v>16.8</v>
      </c>
      <c r="Q31" s="1093"/>
      <c r="R31" s="1095">
        <f>+' Exhbit I '!AF76</f>
        <v>261.2</v>
      </c>
      <c r="S31" s="50"/>
      <c r="T31" s="50"/>
      <c r="U31" s="51"/>
      <c r="V31" s="1094">
        <f t="shared" si="4"/>
        <v>285.39999999999998</v>
      </c>
      <c r="W31" s="47" t="s">
        <v>15</v>
      </c>
      <c r="X31" s="47">
        <f t="shared" si="5"/>
        <v>4948.3</v>
      </c>
      <c r="Y31" s="50"/>
      <c r="Z31" s="52"/>
      <c r="AA31" s="51"/>
      <c r="AB31" s="1094">
        <v>427</v>
      </c>
      <c r="AC31" s="47" t="s">
        <v>15</v>
      </c>
      <c r="AD31" s="47">
        <f>ROUND(+'Exhibit F'!AF106+'Exhibit G'!AH98+' Exhbit I '!AI76,1)</f>
        <v>5971.4</v>
      </c>
      <c r="AE31" s="51"/>
      <c r="AF31" s="55"/>
      <c r="AG31" s="47">
        <f t="shared" si="6"/>
        <v>-1023.1</v>
      </c>
      <c r="AI31" s="45">
        <f t="shared" si="7"/>
        <v>-0.17100000000000001</v>
      </c>
      <c r="AJ31" s="29"/>
      <c r="AK31" s="1"/>
      <c r="AL31" s="1"/>
    </row>
    <row r="32" spans="1:38" ht="18" customHeight="1">
      <c r="A32" s="1568" t="s">
        <v>33</v>
      </c>
      <c r="B32" s="36"/>
      <c r="C32" s="15"/>
      <c r="D32" s="2466">
        <f>+'Exhibit F'!V107</f>
        <v>11</v>
      </c>
      <c r="E32" s="47"/>
      <c r="F32" s="48">
        <f>+'Exhibit F'!AC107</f>
        <v>149.19999999999999</v>
      </c>
      <c r="G32" s="47"/>
      <c r="H32" s="2562">
        <f>'Exhibit G'!V99</f>
        <v>0.4</v>
      </c>
      <c r="I32" s="47"/>
      <c r="J32" s="48">
        <f>+'Exhibit G'!AE99</f>
        <v>50.7</v>
      </c>
      <c r="K32" s="47"/>
      <c r="L32" s="2457">
        <v>0</v>
      </c>
      <c r="M32" s="74" t="s">
        <v>15</v>
      </c>
      <c r="N32" s="78">
        <v>0</v>
      </c>
      <c r="O32" s="48"/>
      <c r="P32" s="2562">
        <f>' Exhbit I '!W77</f>
        <v>32.799999999999997</v>
      </c>
      <c r="Q32" s="1093"/>
      <c r="R32" s="1095">
        <f>+' Exhbit I '!AF77</f>
        <v>778.8</v>
      </c>
      <c r="S32" s="50"/>
      <c r="T32" s="50"/>
      <c r="U32" s="51"/>
      <c r="V32" s="1094">
        <f t="shared" si="4"/>
        <v>44.2</v>
      </c>
      <c r="W32" s="47" t="s">
        <v>15</v>
      </c>
      <c r="X32" s="47">
        <f t="shared" si="5"/>
        <v>978.7</v>
      </c>
      <c r="Y32" s="50"/>
      <c r="Z32" s="52"/>
      <c r="AA32" s="51"/>
      <c r="AB32" s="1094">
        <v>67.3</v>
      </c>
      <c r="AC32" s="47" t="s">
        <v>15</v>
      </c>
      <c r="AD32" s="47">
        <f>ROUND(+'Exhibit F'!AF107+'Exhibit G'!AH99+' Exhbit I '!AI77,1)</f>
        <v>763.1</v>
      </c>
      <c r="AE32" s="51"/>
      <c r="AF32" s="55"/>
      <c r="AG32" s="47">
        <f t="shared" si="6"/>
        <v>215.6</v>
      </c>
      <c r="AI32" s="2468">
        <f t="shared" si="7"/>
        <v>0.28299999999999997</v>
      </c>
      <c r="AJ32" s="29"/>
      <c r="AK32" s="1"/>
      <c r="AL32" s="1"/>
    </row>
    <row r="33" spans="1:38" ht="18" customHeight="1">
      <c r="A33" s="1568" t="s">
        <v>34</v>
      </c>
      <c r="B33" s="15"/>
      <c r="C33" s="15"/>
      <c r="D33" s="2466">
        <f>+'Exhibit F'!V108</f>
        <v>0.1</v>
      </c>
      <c r="E33" s="47"/>
      <c r="F33" s="48">
        <f>+'Exhibit F'!AC108</f>
        <v>99.9</v>
      </c>
      <c r="G33" s="47"/>
      <c r="H33" s="2562">
        <f>'Exhibit G'!V100</f>
        <v>206.9</v>
      </c>
      <c r="I33" s="47"/>
      <c r="J33" s="48">
        <f>+'Exhibit G'!AE100</f>
        <v>4426.8</v>
      </c>
      <c r="K33" s="47"/>
      <c r="L33" s="2457">
        <v>0</v>
      </c>
      <c r="M33" s="74"/>
      <c r="N33" s="78">
        <v>0</v>
      </c>
      <c r="O33" s="48"/>
      <c r="P33" s="2562">
        <f>' Exhbit I '!W78</f>
        <v>60.9</v>
      </c>
      <c r="Q33" s="1093"/>
      <c r="R33" s="1095">
        <f>+' Exhbit I '!AF78</f>
        <v>878.9</v>
      </c>
      <c r="S33" s="50"/>
      <c r="T33" s="50"/>
      <c r="U33" s="51"/>
      <c r="V33" s="1094">
        <f>ROUND(SUM(D33)+SUM(H33)+SUM(L33)+SUM(P33),1)</f>
        <v>267.89999999999998</v>
      </c>
      <c r="W33" s="47" t="s">
        <v>15</v>
      </c>
      <c r="X33" s="47">
        <f>ROUND(SUM(F33)+SUM(J33)+SUM(N33)+SUM(R33),1)</f>
        <v>5405.6</v>
      </c>
      <c r="Y33" s="50"/>
      <c r="Z33" s="52"/>
      <c r="AA33" s="51"/>
      <c r="AB33" s="1094">
        <v>254.6</v>
      </c>
      <c r="AC33" s="47" t="s">
        <v>15</v>
      </c>
      <c r="AD33" s="48">
        <f>ROUND(+'Exhibit F'!AF108+'Exhibit G'!AH100+' Exhbit I '!AI78,1)</f>
        <v>5526.2</v>
      </c>
      <c r="AE33" s="51"/>
      <c r="AF33" s="55"/>
      <c r="AG33" s="47">
        <f t="shared" si="6"/>
        <v>-120.6</v>
      </c>
      <c r="AI33" s="45">
        <f>ROUND(SUM((+X33-AD33)/ABS(AD33)),3)</f>
        <v>-2.1999999999999999E-2</v>
      </c>
      <c r="AJ33" s="29"/>
      <c r="AK33" s="1"/>
      <c r="AL33" s="1"/>
    </row>
    <row r="34" spans="1:38" ht="18" customHeight="1">
      <c r="A34" s="14" t="s">
        <v>35</v>
      </c>
      <c r="B34" s="15"/>
      <c r="C34" s="15"/>
      <c r="D34" s="65">
        <f>ROUND(SUM(D24:D33),1)</f>
        <v>2090.1999999999998</v>
      </c>
      <c r="E34" s="67"/>
      <c r="F34" s="65">
        <f>ROUND(SUM(F24:F33),1)</f>
        <v>33201.300000000003</v>
      </c>
      <c r="G34" s="63"/>
      <c r="H34" s="65">
        <f>ROUND(SUM(H24:H33),1)</f>
        <v>7490.2</v>
      </c>
      <c r="I34" s="63"/>
      <c r="J34" s="65">
        <f>ROUND(SUM(J24:J33),1)</f>
        <v>59161.2</v>
      </c>
      <c r="K34" s="63"/>
      <c r="L34" s="2564">
        <f>ROUND(SUM(L24:L33),1)</f>
        <v>0</v>
      </c>
      <c r="M34" s="2459"/>
      <c r="N34" s="2564">
        <f>ROUND(SUM(N24:N33),1)</f>
        <v>0</v>
      </c>
      <c r="O34" s="2459"/>
      <c r="P34" s="62">
        <f>ROUND(SUM(P24:P33),1)</f>
        <v>212.5</v>
      </c>
      <c r="Q34" s="63"/>
      <c r="R34" s="62">
        <f>ROUND(SUM(R24:R33),1)</f>
        <v>3042.2</v>
      </c>
      <c r="S34" s="66"/>
      <c r="T34" s="66"/>
      <c r="U34" s="67"/>
      <c r="V34" s="64">
        <f>ROUND(SUM(V24:V33),1)</f>
        <v>9792.9</v>
      </c>
      <c r="W34" s="63"/>
      <c r="X34" s="64">
        <f>ROUND(SUM(X24:X33),1)</f>
        <v>95404.7</v>
      </c>
      <c r="Y34" s="66"/>
      <c r="Z34" s="68"/>
      <c r="AA34" s="67"/>
      <c r="AB34" s="64">
        <f>ROUND(SUM(AB23:AB33),1)</f>
        <v>8952.4</v>
      </c>
      <c r="AC34" s="63"/>
      <c r="AD34" s="64">
        <f>ROUND(SUM(AD23:AD33),1)</f>
        <v>90103.1</v>
      </c>
      <c r="AE34" s="69"/>
      <c r="AF34" s="70"/>
      <c r="AG34" s="64">
        <f>ROUND(SUM(AG24:AG33),1)</f>
        <v>5301.6</v>
      </c>
      <c r="AH34" s="71"/>
      <c r="AI34" s="72">
        <f>ROUND(SUM((+X34-AD34)/ABS(AD34)),3)</f>
        <v>5.8999999999999997E-2</v>
      </c>
      <c r="AJ34" s="18"/>
      <c r="AK34" s="1"/>
      <c r="AL34" s="1"/>
    </row>
    <row r="35" spans="1:38" ht="18" customHeight="1">
      <c r="A35" s="15" t="s">
        <v>36</v>
      </c>
      <c r="B35" s="82"/>
      <c r="C35" s="15"/>
      <c r="D35" s="1095"/>
      <c r="E35" s="47"/>
      <c r="F35" s="48"/>
      <c r="G35" s="47"/>
      <c r="H35" s="1095"/>
      <c r="I35" s="47"/>
      <c r="J35" s="48"/>
      <c r="K35" s="47"/>
      <c r="L35" s="1095"/>
      <c r="M35" s="48"/>
      <c r="N35" s="48"/>
      <c r="O35" s="48"/>
      <c r="P35" s="1095"/>
      <c r="Q35" s="1094"/>
      <c r="R35" s="1095"/>
      <c r="S35" s="50"/>
      <c r="T35" s="50"/>
      <c r="U35" s="51"/>
      <c r="V35" s="1094"/>
      <c r="W35" s="47"/>
      <c r="X35" s="47"/>
      <c r="Y35" s="50"/>
      <c r="Z35" s="52"/>
      <c r="AA35" s="51"/>
      <c r="AB35" s="1094"/>
      <c r="AC35" s="47"/>
      <c r="AD35" s="54"/>
      <c r="AE35" s="54"/>
      <c r="AF35" s="55"/>
      <c r="AG35" s="47"/>
      <c r="AI35" s="19"/>
      <c r="AJ35" s="29"/>
      <c r="AK35" s="1"/>
      <c r="AL35" s="1"/>
    </row>
    <row r="36" spans="1:38" ht="18" customHeight="1">
      <c r="A36" s="15" t="s">
        <v>37</v>
      </c>
      <c r="B36" s="81"/>
      <c r="C36" s="15"/>
      <c r="D36" s="1095">
        <f>+'Exhibit F'!V111</f>
        <v>445.8</v>
      </c>
      <c r="E36" s="47"/>
      <c r="F36" s="48">
        <f>+'Exhibit F'!AC111</f>
        <v>5163.5</v>
      </c>
      <c r="G36" s="47"/>
      <c r="H36" s="2562">
        <f>'Exhibit G'!V103</f>
        <v>587.4</v>
      </c>
      <c r="I36" s="47"/>
      <c r="J36" s="48">
        <f>+'Exhibit G'!AE103</f>
        <v>6418.8</v>
      </c>
      <c r="K36" s="47"/>
      <c r="L36" s="1101">
        <v>0</v>
      </c>
      <c r="M36" s="48"/>
      <c r="N36" s="58">
        <v>0</v>
      </c>
      <c r="O36" s="48"/>
      <c r="P36" s="1101">
        <f>' Exhbit I '!W81</f>
        <v>0</v>
      </c>
      <c r="Q36" s="1094"/>
      <c r="R36" s="1101">
        <f>+' Exhbit I '!AF81</f>
        <v>0</v>
      </c>
      <c r="S36" s="50"/>
      <c r="T36" s="50"/>
      <c r="U36" s="51"/>
      <c r="V36" s="1094">
        <f>ROUND(SUM(D36)+SUM(H36)+SUM(L36)+SUM(P36),1)</f>
        <v>1033.2</v>
      </c>
      <c r="W36" s="47" t="s">
        <v>15</v>
      </c>
      <c r="X36" s="47">
        <f>ROUND(SUM(F36)+SUM(J36)+SUM(N36)+SUM(R36),1)</f>
        <v>11582.3</v>
      </c>
      <c r="Y36" s="50"/>
      <c r="Z36" s="52"/>
      <c r="AA36" s="51"/>
      <c r="AB36" s="1094">
        <v>1037.7</v>
      </c>
      <c r="AC36" s="85"/>
      <c r="AD36" s="47">
        <f>ROUND(+'Exhibit F'!AF111+'Exhibit G'!AH103+' Exhbit I '!AI81,1)</f>
        <v>11474.6</v>
      </c>
      <c r="AE36" s="51"/>
      <c r="AF36" s="55"/>
      <c r="AG36" s="47">
        <f>ROUND(SUM(X36-AD36),1)</f>
        <v>107.7</v>
      </c>
      <c r="AI36" s="45">
        <f>ROUND(SUM((+X36-AD36)/ABS(AD36)),3)</f>
        <v>8.9999999999999993E-3</v>
      </c>
      <c r="AJ36" s="29"/>
      <c r="AK36" s="1"/>
      <c r="AL36" s="1"/>
    </row>
    <row r="37" spans="1:38" ht="18" customHeight="1">
      <c r="A37" s="15" t="s">
        <v>38</v>
      </c>
      <c r="B37" s="82"/>
      <c r="C37" s="15"/>
      <c r="D37" s="1095">
        <f>+'Exhibit F'!V112</f>
        <v>221.5</v>
      </c>
      <c r="E37" s="47"/>
      <c r="F37" s="48">
        <f>+'Exhibit F'!AC112</f>
        <v>1747.7</v>
      </c>
      <c r="G37" s="47"/>
      <c r="H37" s="2562">
        <f>'Exhibit G'!V104</f>
        <v>468.8</v>
      </c>
      <c r="I37" s="47"/>
      <c r="J37" s="48">
        <f>+'Exhibit G'!AE104</f>
        <v>3975.4</v>
      </c>
      <c r="K37" s="47"/>
      <c r="L37" s="2562">
        <f>+'Exhibit H'!T51</f>
        <v>0.9</v>
      </c>
      <c r="M37" s="48"/>
      <c r="N37" s="48">
        <f>+'Exhibit H'!AA51</f>
        <v>33.299999999999997</v>
      </c>
      <c r="O37" s="48" t="s">
        <v>15</v>
      </c>
      <c r="P37" s="1101">
        <f>' Exhbit I '!W82</f>
        <v>0</v>
      </c>
      <c r="Q37" s="1094"/>
      <c r="R37" s="1101">
        <f>+' Exhbit I '!AF82</f>
        <v>0</v>
      </c>
      <c r="S37" s="50"/>
      <c r="T37" s="50"/>
      <c r="U37" s="51"/>
      <c r="V37" s="1094">
        <f>ROUND(SUM(D37)+SUM(H37)+SUM(L37)+SUM(P37),1)</f>
        <v>691.2</v>
      </c>
      <c r="W37" s="47" t="s">
        <v>15</v>
      </c>
      <c r="X37" s="47">
        <f>ROUND(SUM(F37)+SUM(J37)+SUM(N37)+SUM(R37),1)</f>
        <v>5756.4</v>
      </c>
      <c r="Y37" s="50"/>
      <c r="Z37" s="52"/>
      <c r="AA37" s="51"/>
      <c r="AB37" s="1104">
        <v>562.20000000000005</v>
      </c>
      <c r="AC37" s="86"/>
      <c r="AD37" s="47">
        <f>ROUND(+'Exhibit F'!AF112+'Exhibit G'!AH104+' Exhbit I '!AI82+'Exhibit H'!AD51,1)</f>
        <v>5559.8</v>
      </c>
      <c r="AE37" s="51"/>
      <c r="AF37" s="55"/>
      <c r="AG37" s="47">
        <f>ROUND(SUM(X37-AD37),1)</f>
        <v>196.6</v>
      </c>
      <c r="AI37" s="45">
        <f>ROUND(SUM((+X37-AD37)/ABS(AD37)),3)</f>
        <v>3.5000000000000003E-2</v>
      </c>
      <c r="AJ37" s="29"/>
      <c r="AK37" s="1"/>
      <c r="AL37" s="1"/>
    </row>
    <row r="38" spans="1:38" ht="18" customHeight="1">
      <c r="A38" s="15" t="s">
        <v>39</v>
      </c>
      <c r="B38" s="36"/>
      <c r="C38" s="15"/>
      <c r="D38" s="1095">
        <f>+'Exhibit F'!V113</f>
        <v>224.8</v>
      </c>
      <c r="E38" s="47"/>
      <c r="F38" s="48">
        <f>+'Exhibit F'!AC113</f>
        <v>5111.8</v>
      </c>
      <c r="G38" s="87"/>
      <c r="H38" s="2562">
        <f>'Exhibit G'!V105</f>
        <v>253</v>
      </c>
      <c r="I38" s="47"/>
      <c r="J38" s="48">
        <f>+'Exhibit G'!AE105</f>
        <v>2215.6999999999998</v>
      </c>
      <c r="K38" s="47"/>
      <c r="L38" s="1101">
        <v>0</v>
      </c>
      <c r="M38" s="48"/>
      <c r="N38" s="58">
        <v>0</v>
      </c>
      <c r="O38" s="48"/>
      <c r="P38" s="1101">
        <f>' Exhbit I '!W83</f>
        <v>0</v>
      </c>
      <c r="Q38" s="1094"/>
      <c r="R38" s="1101">
        <f>+' Exhbit I '!AF83</f>
        <v>0</v>
      </c>
      <c r="S38" s="50"/>
      <c r="T38" s="50"/>
      <c r="U38" s="51"/>
      <c r="V38" s="1094">
        <f>ROUND(SUM(D38)+SUM(H38)+SUM(L38)+SUM(P38),1)</f>
        <v>477.8</v>
      </c>
      <c r="W38" s="47" t="s">
        <v>15</v>
      </c>
      <c r="X38" s="47">
        <f>ROUND(SUM(F38)+SUM(J38)+SUM(N38)+SUM(R38),1)</f>
        <v>7327.5</v>
      </c>
      <c r="Y38" s="50"/>
      <c r="Z38" s="52"/>
      <c r="AA38" s="51"/>
      <c r="AB38" s="1104">
        <v>465.1</v>
      </c>
      <c r="AC38" s="53"/>
      <c r="AD38" s="47">
        <f>ROUND(+'Exhibit F'!AF113+'Exhibit G'!AH105+' Exhbit I '!AI83,1)</f>
        <v>6996.1</v>
      </c>
      <c r="AE38" s="51"/>
      <c r="AF38" s="55"/>
      <c r="AG38" s="47">
        <f>ROUND(SUM(X38-AD38),1)</f>
        <v>331.4</v>
      </c>
      <c r="AI38" s="45">
        <f>ROUND(SUM((+X38-AD38)/ABS(AD38)),3)</f>
        <v>4.7E-2</v>
      </c>
      <c r="AJ38" s="29"/>
      <c r="AK38" s="1"/>
      <c r="AL38" s="1"/>
    </row>
    <row r="39" spans="1:38" ht="18" customHeight="1">
      <c r="A39" s="15" t="s">
        <v>40</v>
      </c>
      <c r="B39" s="15"/>
      <c r="C39" s="15"/>
      <c r="D39" s="1095"/>
      <c r="E39" s="47"/>
      <c r="F39" s="48"/>
      <c r="G39" s="47"/>
      <c r="H39" s="1095"/>
      <c r="I39" s="47"/>
      <c r="J39" s="88"/>
      <c r="K39" s="47"/>
      <c r="L39" s="1095"/>
      <c r="M39" s="48"/>
      <c r="N39" s="48"/>
      <c r="O39" s="48"/>
      <c r="P39" s="1101"/>
      <c r="Q39" s="1094"/>
      <c r="R39" s="1095"/>
      <c r="S39" s="50"/>
      <c r="T39" s="50"/>
      <c r="U39" s="51"/>
      <c r="V39" s="1094"/>
      <c r="W39" s="47"/>
      <c r="X39" s="47"/>
      <c r="Y39" s="50"/>
      <c r="Z39" s="52"/>
      <c r="AA39" s="51"/>
      <c r="AB39" s="1104" t="s">
        <v>15</v>
      </c>
      <c r="AC39" s="53"/>
      <c r="AD39" s="54"/>
      <c r="AE39" s="51"/>
      <c r="AF39" s="55"/>
      <c r="AG39" s="47"/>
      <c r="AI39" s="45"/>
      <c r="AJ39" s="29"/>
      <c r="AK39" s="1"/>
      <c r="AL39" s="1"/>
    </row>
    <row r="40" spans="1:38" ht="18" customHeight="1">
      <c r="A40" s="15" t="s">
        <v>41</v>
      </c>
      <c r="B40" s="36"/>
      <c r="C40" s="15"/>
      <c r="D40" s="1101">
        <v>0</v>
      </c>
      <c r="E40" s="47"/>
      <c r="F40" s="58">
        <v>0</v>
      </c>
      <c r="G40" s="47"/>
      <c r="H40" s="2562">
        <f>'Exhibit G'!V107</f>
        <v>0</v>
      </c>
      <c r="I40" s="47"/>
      <c r="J40" s="58">
        <v>0</v>
      </c>
      <c r="K40" s="47"/>
      <c r="L40" s="1095">
        <f>+'Exhibit H'!T53</f>
        <v>31.099999999999909</v>
      </c>
      <c r="M40" s="48"/>
      <c r="N40" s="48">
        <f>+'Exhibit H'!AA53</f>
        <v>2224.1</v>
      </c>
      <c r="O40" s="48" t="s">
        <v>15</v>
      </c>
      <c r="P40" s="1101">
        <f>' Exhbit I '!W85</f>
        <v>0</v>
      </c>
      <c r="Q40" s="1094"/>
      <c r="R40" s="1101">
        <v>0</v>
      </c>
      <c r="S40" s="50"/>
      <c r="T40" s="50"/>
      <c r="U40" s="51"/>
      <c r="V40" s="1094">
        <f>ROUND(SUM(D40)+SUM(H40)+SUM(L40)+SUM(P40),1)</f>
        <v>31.1</v>
      </c>
      <c r="W40" s="47" t="s">
        <v>15</v>
      </c>
      <c r="X40" s="47">
        <f>ROUND(SUM(F40)+SUM(J40)+SUM(N40)+SUM(R40),1)</f>
        <v>2224.1</v>
      </c>
      <c r="Y40" s="50"/>
      <c r="Z40" s="52"/>
      <c r="AA40" s="51"/>
      <c r="AB40" s="1104">
        <v>25.6</v>
      </c>
      <c r="AC40" s="53"/>
      <c r="AD40" s="54">
        <f>ROUND(+'Exhibit H'!AD53,1)</f>
        <v>1960</v>
      </c>
      <c r="AE40" s="51"/>
      <c r="AF40" s="55"/>
      <c r="AG40" s="47">
        <f>ROUND(SUM(X40-AD40),1)</f>
        <v>264.10000000000002</v>
      </c>
      <c r="AI40" s="45">
        <f>ROUND(SUM((+X40-AD40)/ABS(AD40)),3)</f>
        <v>0.13500000000000001</v>
      </c>
      <c r="AJ40" s="23"/>
      <c r="AK40" s="1"/>
      <c r="AL40" s="1"/>
    </row>
    <row r="41" spans="1:38" ht="18" customHeight="1">
      <c r="A41" s="15" t="s">
        <v>42</v>
      </c>
      <c r="B41" s="36" t="s">
        <v>1049</v>
      </c>
      <c r="C41" s="15"/>
      <c r="D41" s="2559">
        <v>0</v>
      </c>
      <c r="E41" s="47"/>
      <c r="F41" s="84">
        <v>0</v>
      </c>
      <c r="G41" s="47"/>
      <c r="H41" s="2562">
        <f>'Exhibit G'!V106</f>
        <v>0</v>
      </c>
      <c r="I41" s="47"/>
      <c r="J41" s="48">
        <f>+'Exhibit G'!AE106</f>
        <v>0</v>
      </c>
      <c r="K41" s="47"/>
      <c r="L41" s="2559">
        <v>0</v>
      </c>
      <c r="M41" s="48"/>
      <c r="N41" s="84">
        <v>0</v>
      </c>
      <c r="O41" s="48"/>
      <c r="P41" s="1101">
        <f>' Exhbit I '!W84</f>
        <v>606.70000000000005</v>
      </c>
      <c r="Q41" s="1094"/>
      <c r="R41" s="1102">
        <f>+' Exhbit I '!AF84</f>
        <v>5564.3</v>
      </c>
      <c r="S41" s="50"/>
      <c r="T41" s="50"/>
      <c r="U41" s="51"/>
      <c r="V41" s="1094">
        <f>ROUND(SUM(D41)+SUM(H41)+SUM(L41)+SUM(P41),1)</f>
        <v>606.70000000000005</v>
      </c>
      <c r="W41" s="47" t="s">
        <v>15</v>
      </c>
      <c r="X41" s="47">
        <f>ROUND(SUM(F41)+SUM(J41)+SUM(N41)+SUM(R41),1)</f>
        <v>5564.3</v>
      </c>
      <c r="Y41" s="50"/>
      <c r="Z41" s="52"/>
      <c r="AA41" s="51"/>
      <c r="AB41" s="1103">
        <v>465.2</v>
      </c>
      <c r="AC41" s="53"/>
      <c r="AD41" s="2566">
        <f>'Exhibit G State'!AF105+' Exhibit I State'!AG84+'Exhibit I Federal'!AG66</f>
        <v>5404.9</v>
      </c>
      <c r="AE41" s="51"/>
      <c r="AF41" s="55"/>
      <c r="AG41" s="47">
        <f>ROUND(SUM(X41-AD41),1)</f>
        <v>159.4</v>
      </c>
      <c r="AI41" s="45">
        <f>ROUND(SUM((+X41-AD41)/ABS(AD41)),3)</f>
        <v>2.9000000000000001E-2</v>
      </c>
      <c r="AJ41" s="23"/>
      <c r="AK41" s="1"/>
      <c r="AL41" s="1"/>
    </row>
    <row r="42" spans="1:38" ht="18" customHeight="1">
      <c r="A42" s="14" t="s">
        <v>43</v>
      </c>
      <c r="B42" s="15"/>
      <c r="C42" s="15"/>
      <c r="D42" s="65">
        <f>ROUND(SUM(D34:D41),1)</f>
        <v>2982.3</v>
      </c>
      <c r="E42" s="63"/>
      <c r="F42" s="65">
        <f>ROUND(SUM(F34:F41),1)</f>
        <v>45224.3</v>
      </c>
      <c r="G42" s="63"/>
      <c r="H42" s="65">
        <f>ROUND(SUM(H34:H41),1)</f>
        <v>8799.4</v>
      </c>
      <c r="I42" s="63"/>
      <c r="J42" s="65">
        <f>ROUND(SUM(J34:J41),1)</f>
        <v>71771.100000000006</v>
      </c>
      <c r="K42" s="63"/>
      <c r="L42" s="65">
        <f>ROUND(SUM(L34:L41),1)</f>
        <v>32</v>
      </c>
      <c r="M42" s="2459"/>
      <c r="N42" s="65">
        <f>ROUND(SUM(N34:N41),1)</f>
        <v>2257.4</v>
      </c>
      <c r="O42" s="2459"/>
      <c r="P42" s="65">
        <f>ROUND(SUM(P34:P41),1)</f>
        <v>819.2</v>
      </c>
      <c r="Q42" s="63"/>
      <c r="R42" s="65">
        <f>ROUND(SUM(R34:R41),1)</f>
        <v>8606.5</v>
      </c>
      <c r="S42" s="66"/>
      <c r="T42" s="66"/>
      <c r="U42" s="67"/>
      <c r="V42" s="64">
        <f>ROUND(SUM(V34:V41),1)</f>
        <v>12632.9</v>
      </c>
      <c r="W42" s="63"/>
      <c r="X42" s="64">
        <f>ROUND(SUM(X34:X41),1)</f>
        <v>127859.3</v>
      </c>
      <c r="Y42" s="66"/>
      <c r="Z42" s="68"/>
      <c r="AA42" s="67"/>
      <c r="AB42" s="64">
        <f>ROUND(SUM(AB34:AB41),1)</f>
        <v>11508.2</v>
      </c>
      <c r="AC42" s="63"/>
      <c r="AD42" s="64">
        <f>ROUND(SUM(AD34:AD41),1)</f>
        <v>121498.5</v>
      </c>
      <c r="AE42" s="69"/>
      <c r="AF42" s="70"/>
      <c r="AG42" s="64">
        <f>ROUND(SUM(AG34:AG41),1)</f>
        <v>6360.8</v>
      </c>
      <c r="AH42" s="71"/>
      <c r="AI42" s="72">
        <f>ROUND(SUM((+X42-AD42)/ABS(AD42)),3)</f>
        <v>5.1999999999999998E-2</v>
      </c>
      <c r="AJ42" s="18"/>
      <c r="AK42" s="1"/>
      <c r="AL42" s="1"/>
    </row>
    <row r="43" spans="1:38" ht="15.9" customHeight="1">
      <c r="A43" s="14"/>
      <c r="B43" s="15"/>
      <c r="C43" s="15"/>
      <c r="D43" s="1097"/>
      <c r="E43" s="47"/>
      <c r="F43" s="74"/>
      <c r="G43" s="47"/>
      <c r="H43" s="1097"/>
      <c r="I43" s="47"/>
      <c r="J43" s="74"/>
      <c r="K43" s="47"/>
      <c r="L43" s="1097"/>
      <c r="M43" s="48"/>
      <c r="N43" s="74"/>
      <c r="O43" s="48"/>
      <c r="P43" s="2565"/>
      <c r="Q43" s="1094"/>
      <c r="R43" s="1097"/>
      <c r="S43" s="50"/>
      <c r="T43" s="50"/>
      <c r="U43" s="51"/>
      <c r="V43" s="1096"/>
      <c r="W43" s="47"/>
      <c r="X43" s="51"/>
      <c r="Y43" s="50"/>
      <c r="Z43" s="52"/>
      <c r="AA43" s="51"/>
      <c r="AB43" s="1096" t="s">
        <v>15</v>
      </c>
      <c r="AC43" s="47"/>
      <c r="AD43" s="54"/>
      <c r="AE43" s="54"/>
      <c r="AF43" s="55"/>
      <c r="AG43" s="51"/>
      <c r="AI43" s="19"/>
      <c r="AJ43" s="29"/>
      <c r="AK43" s="1"/>
      <c r="AL43" s="1"/>
    </row>
    <row r="44" spans="1:38" ht="15.9" customHeight="1">
      <c r="A44" s="14" t="s">
        <v>44</v>
      </c>
      <c r="B44" s="14"/>
      <c r="C44" s="15"/>
      <c r="D44" s="1095"/>
      <c r="E44" s="47"/>
      <c r="F44" s="48"/>
      <c r="G44" s="47"/>
      <c r="H44" s="1095"/>
      <c r="I44" s="47"/>
      <c r="J44" s="48"/>
      <c r="K44" s="47"/>
      <c r="L44" s="1095"/>
      <c r="M44" s="48"/>
      <c r="N44" s="48"/>
      <c r="O44" s="48"/>
      <c r="P44" s="2562"/>
      <c r="Q44" s="1094"/>
      <c r="R44" s="1095"/>
      <c r="S44" s="50"/>
      <c r="T44" s="50"/>
      <c r="U44" s="51"/>
      <c r="V44" s="1094"/>
      <c r="W44" s="47"/>
      <c r="X44" s="47"/>
      <c r="Y44" s="50"/>
      <c r="Z44" s="52"/>
      <c r="AA44" s="51"/>
      <c r="AB44" s="1094"/>
      <c r="AC44" s="47"/>
      <c r="AD44" s="54"/>
      <c r="AE44" s="54"/>
      <c r="AF44" s="55"/>
      <c r="AG44" s="47"/>
      <c r="AI44" s="19"/>
      <c r="AJ44" s="29"/>
      <c r="AK44" s="1"/>
      <c r="AL44" s="1"/>
    </row>
    <row r="45" spans="1:38" ht="15.9" customHeight="1">
      <c r="A45" s="14" t="s">
        <v>45</v>
      </c>
      <c r="B45" s="14"/>
      <c r="C45" s="15"/>
      <c r="D45" s="91">
        <f>ROUND(SUM(D20-D42),1)</f>
        <v>3904.4</v>
      </c>
      <c r="E45" s="63"/>
      <c r="F45" s="91">
        <f>ROUND(SUM(F20-F42),1)</f>
        <v>-406.9</v>
      </c>
      <c r="G45" s="63"/>
      <c r="H45" s="91">
        <f>ROUND(SUM(H20-H42),1)</f>
        <v>-726.9</v>
      </c>
      <c r="I45" s="63"/>
      <c r="J45" s="91">
        <f>ROUND(SUM(J20-J42),1)</f>
        <v>-5795.3</v>
      </c>
      <c r="K45" s="63"/>
      <c r="L45" s="91">
        <f>ROUND(SUM(L20-L42),1)</f>
        <v>3465.8</v>
      </c>
      <c r="M45" s="2459" t="s">
        <v>15</v>
      </c>
      <c r="N45" s="91">
        <f>ROUND(SUM(N20-N42),1)</f>
        <v>16021.4</v>
      </c>
      <c r="O45" s="2459" t="s">
        <v>15</v>
      </c>
      <c r="P45" s="92">
        <f>ROUND(SUM(P20-P42),1)</f>
        <v>-356.5</v>
      </c>
      <c r="Q45" s="63" t="s">
        <v>15</v>
      </c>
      <c r="R45" s="92">
        <f>ROUND(SUM(R20-R42),1)</f>
        <v>-689.7</v>
      </c>
      <c r="S45" s="66"/>
      <c r="T45" s="66"/>
      <c r="U45" s="67"/>
      <c r="V45" s="90">
        <f>ROUND(SUM(V20-V42),1)</f>
        <v>6286.8</v>
      </c>
      <c r="W45" s="63" t="s">
        <v>15</v>
      </c>
      <c r="X45" s="90">
        <f>ROUND(SUM(X20-X42),1)</f>
        <v>9129.5</v>
      </c>
      <c r="Y45" s="66"/>
      <c r="Z45" s="68"/>
      <c r="AA45" s="67"/>
      <c r="AB45" s="90">
        <f>ROUND(SUM(AB20-AB42),1)</f>
        <v>3756.1</v>
      </c>
      <c r="AC45" s="63"/>
      <c r="AD45" s="93">
        <f>ROUND(SUM(AD20-AD42),1)</f>
        <v>4952.6000000000004</v>
      </c>
      <c r="AE45" s="69"/>
      <c r="AF45" s="70"/>
      <c r="AG45" s="90">
        <f>ROUND(SUM(X45-AD45),1)</f>
        <v>4176.8999999999996</v>
      </c>
      <c r="AH45" s="94"/>
      <c r="AI45" s="108">
        <f>ROUND(SUM((+X45-AD45)/ABS(AD45)),3)</f>
        <v>0.84299999999999997</v>
      </c>
      <c r="AJ45" s="18"/>
      <c r="AK45" s="1"/>
      <c r="AL45" s="1"/>
    </row>
    <row r="46" spans="1:38" ht="15.9" customHeight="1">
      <c r="A46" s="15"/>
      <c r="B46" s="15"/>
      <c r="C46" s="15"/>
      <c r="D46" s="1097"/>
      <c r="E46" s="47"/>
      <c r="F46" s="74"/>
      <c r="G46" s="47"/>
      <c r="H46" s="1097"/>
      <c r="I46" s="47"/>
      <c r="J46" s="74"/>
      <c r="K46" s="47"/>
      <c r="L46" s="1097"/>
      <c r="M46" s="48"/>
      <c r="N46" s="74"/>
      <c r="O46" s="48"/>
      <c r="P46" s="2565"/>
      <c r="Q46" s="1094"/>
      <c r="R46" s="1097"/>
      <c r="S46" s="50"/>
      <c r="T46" s="50"/>
      <c r="U46" s="51"/>
      <c r="V46" s="1096"/>
      <c r="W46" s="47"/>
      <c r="X46" s="51"/>
      <c r="Y46" s="50"/>
      <c r="Z46" s="52"/>
      <c r="AA46" s="51"/>
      <c r="AB46" s="1096"/>
      <c r="AC46" s="47"/>
      <c r="AD46" s="54"/>
      <c r="AE46" s="54"/>
      <c r="AF46" s="55"/>
      <c r="AG46" s="51"/>
      <c r="AI46" s="19"/>
      <c r="AJ46" s="29"/>
      <c r="AK46" s="1"/>
      <c r="AL46" s="1"/>
    </row>
    <row r="47" spans="1:38" ht="15.9" customHeight="1">
      <c r="A47" s="14" t="s">
        <v>46</v>
      </c>
      <c r="B47" s="14"/>
      <c r="C47" s="15"/>
      <c r="D47" s="1095"/>
      <c r="E47" s="47"/>
      <c r="F47" s="48"/>
      <c r="G47" s="47"/>
      <c r="H47" s="1095"/>
      <c r="I47" s="47"/>
      <c r="J47" s="48"/>
      <c r="K47" s="47"/>
      <c r="L47" s="1095"/>
      <c r="M47" s="48"/>
      <c r="N47" s="48"/>
      <c r="O47" s="48"/>
      <c r="P47" s="2562"/>
      <c r="Q47" s="1094"/>
      <c r="R47" s="1097"/>
      <c r="S47" s="50"/>
      <c r="T47" s="50"/>
      <c r="U47" s="51"/>
      <c r="V47" s="1094"/>
      <c r="W47" s="47"/>
      <c r="X47" s="53"/>
      <c r="Y47" s="50"/>
      <c r="Z47" s="52"/>
      <c r="AA47" s="51"/>
      <c r="AB47" s="1094"/>
      <c r="AC47" s="47"/>
      <c r="AD47" s="54"/>
      <c r="AE47" s="54"/>
      <c r="AF47" s="55"/>
      <c r="AG47" s="47"/>
      <c r="AI47" s="19"/>
      <c r="AJ47" s="29"/>
      <c r="AK47" s="1"/>
      <c r="AL47" s="1"/>
    </row>
    <row r="48" spans="1:38" ht="18" customHeight="1">
      <c r="A48" s="96" t="s">
        <v>47</v>
      </c>
      <c r="B48" s="15"/>
      <c r="C48" s="15"/>
      <c r="D48" s="2560">
        <v>0</v>
      </c>
      <c r="E48" s="47"/>
      <c r="F48" s="97">
        <v>0</v>
      </c>
      <c r="G48" s="47"/>
      <c r="H48" s="1101">
        <v>0</v>
      </c>
      <c r="I48" s="47"/>
      <c r="J48" s="58">
        <v>0</v>
      </c>
      <c r="K48" s="47"/>
      <c r="L48" s="1101">
        <v>0</v>
      </c>
      <c r="M48" s="74"/>
      <c r="N48" s="58">
        <v>0</v>
      </c>
      <c r="O48" s="74"/>
      <c r="P48" s="1101">
        <f>+' Exhbit I '!W92</f>
        <v>0</v>
      </c>
      <c r="Q48" s="1096"/>
      <c r="R48" s="1101">
        <f>' Exhbit I '!AF92</f>
        <v>0</v>
      </c>
      <c r="S48" s="50"/>
      <c r="T48" s="50"/>
      <c r="U48" s="51"/>
      <c r="V48" s="1094">
        <f>ROUND(SUM(D48)+SUM(H48)+SUM(L48)+SUM(P48),1)</f>
        <v>0</v>
      </c>
      <c r="W48" s="83"/>
      <c r="X48" s="47">
        <f>ROUND(SUM(F48)+SUM(J48)+SUM(N48)+SUM(R48),1)</f>
        <v>0</v>
      </c>
      <c r="Y48" s="50"/>
      <c r="Z48" s="52"/>
      <c r="AA48" s="51"/>
      <c r="AB48" s="1100">
        <v>0</v>
      </c>
      <c r="AC48" s="57"/>
      <c r="AD48" s="77">
        <f>+' Exhbit I '!AI92</f>
        <v>0</v>
      </c>
      <c r="AE48" s="83"/>
      <c r="AF48" s="98"/>
      <c r="AG48" s="51">
        <f>X48-AD48</f>
        <v>0</v>
      </c>
      <c r="AH48" s="99"/>
      <c r="AI48" s="2568">
        <f>ROUND(IF(AD48=0,0,AG48/ABS(AD48)),3)</f>
        <v>0</v>
      </c>
      <c r="AJ48" s="100"/>
      <c r="AK48" s="1"/>
      <c r="AL48" s="1"/>
    </row>
    <row r="49" spans="1:40" ht="18" customHeight="1">
      <c r="A49" s="96" t="s">
        <v>48</v>
      </c>
      <c r="B49" s="2833" t="s">
        <v>1367</v>
      </c>
      <c r="C49" s="96"/>
      <c r="D49" s="1105">
        <f>+'Exhibit F'!V122+'Exhibit F'!V123+'Exhibit F'!V124+'Exhibit F'!V125</f>
        <v>1621.3</v>
      </c>
      <c r="E49" s="47"/>
      <c r="F49" s="48">
        <f>+'Exhibit F'!AC122+'Exhibit F'!AC123+'Exhibit F'!AC124+'Exhibit F'!AC125</f>
        <v>15075.600000000002</v>
      </c>
      <c r="G49" s="53"/>
      <c r="H49" s="1105">
        <f>'Exhibit G'!V114-17.7</f>
        <v>332.7</v>
      </c>
      <c r="I49" s="53"/>
      <c r="J49" s="101">
        <f>+'Exhibit G'!AE114</f>
        <v>6695.7</v>
      </c>
      <c r="K49" s="54"/>
      <c r="L49" s="2561">
        <f>+'Exhibit H'!T62</f>
        <v>371</v>
      </c>
      <c r="M49" s="2566"/>
      <c r="N49" s="48">
        <f>+'Exhibit H'!AA62</f>
        <v>2634.4</v>
      </c>
      <c r="O49" s="2566"/>
      <c r="P49" s="1101">
        <f>' Exhbit I '!W93</f>
        <v>251.7</v>
      </c>
      <c r="Q49" s="1103"/>
      <c r="R49" s="1097">
        <f>+' Exhbit I '!AF93</f>
        <v>1187.4000000000001</v>
      </c>
      <c r="S49" s="102"/>
      <c r="T49" s="102"/>
      <c r="U49" s="54"/>
      <c r="V49" s="1095">
        <f>ROUND(SUM(D49)+SUM(H49)+SUM(L49)+SUM(P49),1)</f>
        <v>2576.6999999999998</v>
      </c>
      <c r="W49" s="53" t="s">
        <v>15</v>
      </c>
      <c r="X49" s="48">
        <f>ROUND(SUM(F49)+SUM(J49)+SUM(N49)+SUM(R49),1)</f>
        <v>25593.1</v>
      </c>
      <c r="Y49" s="102"/>
      <c r="Z49" s="103"/>
      <c r="AA49" s="54"/>
      <c r="AB49" s="1104">
        <v>2138.8000000000002</v>
      </c>
      <c r="AC49" s="53"/>
      <c r="AD49" s="54">
        <f>+'Exhibit F'!AF122+'Exhibit F'!AF123+'Exhibit F'!AF124+'Exhibit F'!AF125+'Exhibit G'!AH114+'Exhibit H'!AD62+' Exhbit I '!AI93</f>
        <v>25437.9</v>
      </c>
      <c r="AE49" s="54"/>
      <c r="AF49" s="55"/>
      <c r="AG49" s="51">
        <f>ROUND(SUM(X49-AD49),1)</f>
        <v>155.19999999999999</v>
      </c>
      <c r="AH49" s="99"/>
      <c r="AI49" s="2568">
        <f>ROUND(SUM((+X49-AD49)/ABS(AD49)),3)</f>
        <v>6.0000000000000001E-3</v>
      </c>
      <c r="AJ49" s="29"/>
      <c r="AK49" s="1"/>
      <c r="AL49" s="1"/>
    </row>
    <row r="50" spans="1:40" ht="18" customHeight="1">
      <c r="A50" s="96" t="s">
        <v>49</v>
      </c>
      <c r="B50" s="2833" t="s">
        <v>1367</v>
      </c>
      <c r="C50" s="96"/>
      <c r="D50" s="2561">
        <f>+'Exhibit F'!V126+'Exhibit F'!V129+'Exhibit F'!V130+'Exhibit F'!V128</f>
        <v>-806.8</v>
      </c>
      <c r="E50" s="53"/>
      <c r="F50" s="48">
        <f>+'Exhibit F'!AC126+'Exhibit F'!AC129+'Exhibit F'!AC130+'Exhibit F'!AC128</f>
        <v>-7553.2</v>
      </c>
      <c r="G50" s="53"/>
      <c r="H50" s="1105">
        <f>'Exhibit G'!V115+17.7</f>
        <v>-128.60000000000002</v>
      </c>
      <c r="I50" s="53"/>
      <c r="J50" s="101">
        <f>+'Exhibit G'!AE115</f>
        <v>-1780.5</v>
      </c>
      <c r="K50" s="53"/>
      <c r="L50" s="2561">
        <f>+'Exhibit H'!T63</f>
        <v>-1619.7999999999993</v>
      </c>
      <c r="M50" s="2566"/>
      <c r="N50" s="48">
        <f>+'Exhibit H'!AA63</f>
        <v>-15846.5</v>
      </c>
      <c r="O50" s="2566"/>
      <c r="P50" s="1101">
        <f>' Exhbit I '!W94</f>
        <v>-24.5</v>
      </c>
      <c r="Q50" s="1104"/>
      <c r="R50" s="1097">
        <f>+' Exhbit I '!AF94</f>
        <v>-510.5</v>
      </c>
      <c r="S50" s="102"/>
      <c r="T50" s="102"/>
      <c r="U50" s="54"/>
      <c r="V50" s="1094">
        <f>ROUND(SUM(D50)+SUM(H50)+SUM(L50)+SUM(P50),1)</f>
        <v>-2579.6999999999998</v>
      </c>
      <c r="W50" s="104" t="s">
        <v>15</v>
      </c>
      <c r="X50" s="48">
        <f>ROUND(SUM(F50)+SUM(J50)+SUM(N50)+SUM(R50),1)</f>
        <v>-25690.7</v>
      </c>
      <c r="Y50" s="102"/>
      <c r="Z50" s="103"/>
      <c r="AA50" s="54"/>
      <c r="AB50" s="1103">
        <v>-2138.1999999999998</v>
      </c>
      <c r="AC50" s="53"/>
      <c r="AD50" s="54">
        <f>ROUND(+'Exhibit F'!AF126+'Exhibit F'!AF128+'Exhibit F'!AF129+'Exhibit F'!AF130+'Exhibit G'!AH115+'Exhibit H'!AD63+' Exhbit I '!AI94,1)</f>
        <v>-25469.1</v>
      </c>
      <c r="AE50" s="54"/>
      <c r="AF50" s="55"/>
      <c r="AG50" s="89">
        <f>ROUND(SUM(X50-AD50),1)*-1</f>
        <v>221.6</v>
      </c>
      <c r="AI50" s="2569">
        <f>-ROUND(SUM((+X50-AD50)/ABS(AD50)),3)</f>
        <v>8.9999999999999993E-3</v>
      </c>
      <c r="AJ50" s="29"/>
      <c r="AK50" s="1"/>
      <c r="AL50" s="1"/>
    </row>
    <row r="51" spans="1:40" ht="18" customHeight="1">
      <c r="A51" s="14" t="s">
        <v>50</v>
      </c>
      <c r="B51" s="14"/>
      <c r="C51" s="15"/>
      <c r="D51" s="65">
        <f>ROUND(SUM(D48:D50),1)</f>
        <v>814.5</v>
      </c>
      <c r="E51" s="47"/>
      <c r="F51" s="65">
        <f>ROUND(SUM(F48:F50),1)</f>
        <v>7522.4</v>
      </c>
      <c r="G51" s="63"/>
      <c r="H51" s="2895">
        <f>ROUND(SUM(H48:H50),1)</f>
        <v>204.1</v>
      </c>
      <c r="I51" s="63"/>
      <c r="J51" s="65">
        <f>ROUND(SUM(J48:J50),1)</f>
        <v>4915.2</v>
      </c>
      <c r="K51" s="63"/>
      <c r="L51" s="65">
        <f>ROUND(SUM(L48:L50),1)</f>
        <v>-1248.8</v>
      </c>
      <c r="M51" s="2459"/>
      <c r="N51" s="65">
        <f>ROUND(SUM(N48:N50),1)</f>
        <v>-13212.1</v>
      </c>
      <c r="O51" s="2459"/>
      <c r="P51" s="62">
        <f>ROUND(SUM(P48:P50),1)</f>
        <v>227.2</v>
      </c>
      <c r="Q51" s="63"/>
      <c r="R51" s="62">
        <f>ROUND(SUM(R48:R50),1)</f>
        <v>676.9</v>
      </c>
      <c r="S51" s="66"/>
      <c r="T51" s="66"/>
      <c r="U51" s="67"/>
      <c r="V51" s="2680">
        <f>ROUND(SUM(V48+V49+V50),1)</f>
        <v>-3</v>
      </c>
      <c r="W51" s="63"/>
      <c r="X51" s="2680">
        <f>ROUND(SUM(+X48+X49+X50),1)</f>
        <v>-97.6</v>
      </c>
      <c r="Y51" s="66"/>
      <c r="Z51" s="68"/>
      <c r="AA51" s="67"/>
      <c r="AB51" s="106">
        <f>ROUND(SUM(+AB49+AB50),1)</f>
        <v>0.6</v>
      </c>
      <c r="AC51" s="63"/>
      <c r="AD51" s="106">
        <f>ROUND(SUM(+AD49+AD50),1)</f>
        <v>-31.2</v>
      </c>
      <c r="AE51" s="107"/>
      <c r="AF51" s="70"/>
      <c r="AG51" s="62">
        <f>ROUND(SUM(+AG49-AG50+AG48),1)</f>
        <v>-66.400000000000006</v>
      </c>
      <c r="AH51" s="71"/>
      <c r="AI51" s="2570">
        <f>ROUND(SUM(-AG51/AD51),3)</f>
        <v>-2.1280000000000001</v>
      </c>
      <c r="AJ51" s="18"/>
      <c r="AK51" s="1"/>
      <c r="AL51" s="1"/>
    </row>
    <row r="52" spans="1:40" ht="15.9" customHeight="1">
      <c r="A52" s="15"/>
      <c r="B52" s="15"/>
      <c r="C52" s="15"/>
      <c r="D52" s="1096"/>
      <c r="E52" s="47"/>
      <c r="F52" s="74"/>
      <c r="G52" s="47"/>
      <c r="H52" s="1097"/>
      <c r="I52" s="47"/>
      <c r="J52" s="74"/>
      <c r="K52" s="47"/>
      <c r="L52" s="1097"/>
      <c r="M52" s="48"/>
      <c r="N52" s="74"/>
      <c r="O52" s="48"/>
      <c r="P52" s="1097"/>
      <c r="Q52" s="1094"/>
      <c r="R52" s="1097"/>
      <c r="S52" s="50"/>
      <c r="T52" s="50"/>
      <c r="U52" s="51"/>
      <c r="V52" s="1096"/>
      <c r="W52" s="47"/>
      <c r="X52" s="51"/>
      <c r="Y52" s="50"/>
      <c r="Z52" s="52"/>
      <c r="AA52" s="51"/>
      <c r="AB52" s="1096"/>
      <c r="AC52" s="47"/>
      <c r="AD52" s="54"/>
      <c r="AE52" s="54"/>
      <c r="AF52" s="55"/>
      <c r="AG52" s="51"/>
      <c r="AI52" s="2571"/>
      <c r="AJ52" s="29"/>
      <c r="AK52" s="1"/>
      <c r="AL52" s="1"/>
    </row>
    <row r="53" spans="1:40" ht="18" customHeight="1">
      <c r="A53" s="13" t="s">
        <v>44</v>
      </c>
      <c r="B53" s="14"/>
      <c r="C53" s="15"/>
      <c r="D53" s="1094"/>
      <c r="E53" s="47"/>
      <c r="F53" s="48"/>
      <c r="G53" s="47"/>
      <c r="H53" s="1095"/>
      <c r="I53" s="47"/>
      <c r="J53" s="48"/>
      <c r="K53" s="47"/>
      <c r="L53" s="1095"/>
      <c r="M53" s="48"/>
      <c r="N53" s="48"/>
      <c r="O53" s="48"/>
      <c r="P53" s="1095"/>
      <c r="Q53" s="1094"/>
      <c r="R53" s="1095"/>
      <c r="S53" s="50"/>
      <c r="T53" s="50"/>
      <c r="U53" s="51"/>
      <c r="V53" s="1094"/>
      <c r="W53" s="47"/>
      <c r="X53" s="47"/>
      <c r="Y53" s="50"/>
      <c r="Z53" s="52"/>
      <c r="AA53" s="51"/>
      <c r="AB53" s="1094"/>
      <c r="AC53" s="47"/>
      <c r="AD53" s="54"/>
      <c r="AE53" s="54"/>
      <c r="AF53" s="55"/>
      <c r="AG53" s="47"/>
      <c r="AI53" s="2572"/>
      <c r="AJ53" s="29"/>
      <c r="AK53" s="1"/>
      <c r="AL53" s="1"/>
    </row>
    <row r="54" spans="1:40" ht="18" customHeight="1">
      <c r="A54" s="13" t="s">
        <v>51</v>
      </c>
      <c r="B54" s="13"/>
      <c r="C54" s="96"/>
      <c r="D54" s="1104"/>
      <c r="E54" s="47"/>
      <c r="F54" s="48"/>
      <c r="G54" s="47"/>
      <c r="H54" s="1095"/>
      <c r="I54" s="47"/>
      <c r="J54" s="48"/>
      <c r="K54" s="47"/>
      <c r="L54" s="1095"/>
      <c r="M54" s="48"/>
      <c r="N54" s="48"/>
      <c r="O54" s="48"/>
      <c r="P54" s="1095"/>
      <c r="Q54" s="1094"/>
      <c r="R54" s="1095"/>
      <c r="S54" s="50"/>
      <c r="T54" s="50"/>
      <c r="U54" s="51"/>
      <c r="V54" s="1094" t="s">
        <v>15</v>
      </c>
      <c r="W54" s="47"/>
      <c r="X54" s="47"/>
      <c r="Y54" s="50"/>
      <c r="Z54" s="52"/>
      <c r="AA54" s="51"/>
      <c r="AB54" s="1094"/>
      <c r="AC54" s="47"/>
      <c r="AD54" s="54"/>
      <c r="AE54" s="54"/>
      <c r="AF54" s="55"/>
      <c r="AG54" s="47"/>
      <c r="AI54" s="2571"/>
      <c r="AJ54" s="29"/>
      <c r="AK54" s="1"/>
      <c r="AL54" s="1"/>
    </row>
    <row r="55" spans="1:40" ht="18" customHeight="1">
      <c r="A55" s="13" t="s">
        <v>52</v>
      </c>
      <c r="B55" s="13"/>
      <c r="C55" s="96"/>
      <c r="D55" s="110">
        <f>ROUND(SUM(D45+D51),1)</f>
        <v>4718.8999999999996</v>
      </c>
      <c r="E55" s="110"/>
      <c r="F55" s="111">
        <f>ROUND(SUM(F45)+SUM(F51),1)</f>
        <v>7115.5</v>
      </c>
      <c r="G55" s="110"/>
      <c r="H55" s="111">
        <f>ROUND(SUM(H45+H51),1)</f>
        <v>-522.79999999999995</v>
      </c>
      <c r="I55" s="110"/>
      <c r="J55" s="111">
        <f>ROUND(SUM(J45)+SUM(J51),1)</f>
        <v>-880.1</v>
      </c>
      <c r="K55" s="110"/>
      <c r="L55" s="111">
        <f>ROUND(SUM(L45+L51),1)</f>
        <v>2217</v>
      </c>
      <c r="M55" s="111"/>
      <c r="N55" s="111">
        <f>ROUND(SUM(N45+N51),1)</f>
        <v>2809.3</v>
      </c>
      <c r="O55" s="111"/>
      <c r="P55" s="111">
        <f>ROUND(SUM(P45+P51),1)</f>
        <v>-129.30000000000001</v>
      </c>
      <c r="Q55" s="110"/>
      <c r="R55" s="111">
        <f>ROUND(SUM(R45+R51),1)</f>
        <v>-12.8</v>
      </c>
      <c r="S55" s="112"/>
      <c r="T55" s="112"/>
      <c r="U55" s="69"/>
      <c r="V55" s="110">
        <f>ROUND(SUM(V45)+SUM(V51),1)</f>
        <v>6283.8</v>
      </c>
      <c r="W55" s="110"/>
      <c r="X55" s="110">
        <f>ROUND(SUM(X45)+SUM(X51),1)</f>
        <v>9031.9</v>
      </c>
      <c r="Y55" s="112"/>
      <c r="Z55" s="113"/>
      <c r="AA55" s="69"/>
      <c r="AB55" s="110">
        <f>ROUND(SUM(AB45)+SUM(AB51),1)</f>
        <v>3756.7</v>
      </c>
      <c r="AC55" s="110"/>
      <c r="AD55" s="110">
        <f>ROUND(SUM(AD45)+SUM(AD51),1)</f>
        <v>4921.3999999999996</v>
      </c>
      <c r="AE55" s="69"/>
      <c r="AF55" s="70"/>
      <c r="AG55" s="67">
        <f>ROUND(SUM(+AG45+AG51),1)</f>
        <v>4110.5</v>
      </c>
      <c r="AH55" s="71"/>
      <c r="AI55" s="2661">
        <f>ROUND(SUM((+X55-AD55)/ABS(AD55)),3)</f>
        <v>0.83499999999999996</v>
      </c>
      <c r="AJ55" s="115"/>
      <c r="AK55" s="116"/>
      <c r="AL55" s="1"/>
    </row>
    <row r="56" spans="1:40" ht="15.9" customHeight="1">
      <c r="A56" s="14"/>
      <c r="B56" s="14"/>
      <c r="C56" s="15"/>
      <c r="D56" s="1094"/>
      <c r="E56" s="47"/>
      <c r="F56" s="74"/>
      <c r="G56" s="47"/>
      <c r="H56" s="1095"/>
      <c r="I56" s="47"/>
      <c r="J56" s="48"/>
      <c r="K56" s="47"/>
      <c r="L56" s="1105"/>
      <c r="M56" s="101"/>
      <c r="N56" s="101"/>
      <c r="O56" s="101"/>
      <c r="P56" s="2561"/>
      <c r="Q56" s="1094"/>
      <c r="R56" s="1105"/>
      <c r="S56" s="50"/>
      <c r="T56" s="50"/>
      <c r="U56" s="51"/>
      <c r="V56" s="1094"/>
      <c r="W56" s="47"/>
      <c r="X56" s="47"/>
      <c r="Y56" s="102"/>
      <c r="Z56" s="103"/>
      <c r="AA56" s="54"/>
      <c r="AB56" s="1104"/>
      <c r="AC56" s="53"/>
      <c r="AD56" s="54"/>
      <c r="AE56" s="54"/>
      <c r="AF56" s="55"/>
      <c r="AG56" s="47"/>
      <c r="AI56" s="19"/>
      <c r="AJ56" s="29"/>
      <c r="AK56" s="1"/>
      <c r="AL56" s="1"/>
    </row>
    <row r="57" spans="1:40" ht="18" customHeight="1">
      <c r="A57" s="1572" t="s">
        <v>53</v>
      </c>
      <c r="B57" s="36"/>
      <c r="C57" s="15"/>
      <c r="D57" s="3182">
        <v>10145.200000000001</v>
      </c>
      <c r="E57" s="63"/>
      <c r="F57" s="91">
        <f>+'Exhibit F'!AC14</f>
        <v>7748.6</v>
      </c>
      <c r="G57" s="63"/>
      <c r="H57" s="91">
        <v>3914.9</v>
      </c>
      <c r="I57" s="63"/>
      <c r="J57" s="91">
        <f>'Exhibit G'!AE14</f>
        <v>4272.2</v>
      </c>
      <c r="K57" s="63"/>
      <c r="L57" s="91">
        <v>736.7</v>
      </c>
      <c r="M57" s="2459"/>
      <c r="N57" s="91">
        <f>+'Exhibit H'!AA12</f>
        <v>144.4</v>
      </c>
      <c r="O57" s="2458"/>
      <c r="P57" s="92">
        <v>-944</v>
      </c>
      <c r="Q57" s="67"/>
      <c r="R57" s="91">
        <f>+' Exhbit I '!AF15</f>
        <v>-1060.5</v>
      </c>
      <c r="S57" s="66"/>
      <c r="T57" s="66"/>
      <c r="U57" s="67"/>
      <c r="V57" s="90">
        <f>ROUND(SUM(D57+H57+L57+P57),1)</f>
        <v>13852.8</v>
      </c>
      <c r="W57" s="63" t="s">
        <v>15</v>
      </c>
      <c r="X57" s="90">
        <f>ROUND(SUM(F57+J57+N57+R57),1)</f>
        <v>11104.7</v>
      </c>
      <c r="Y57" s="66"/>
      <c r="Z57" s="68"/>
      <c r="AA57" s="67"/>
      <c r="AB57" s="90">
        <v>12974.8</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3"/>
      <c r="E58" s="47"/>
      <c r="F58" s="74"/>
      <c r="G58" s="47"/>
      <c r="H58" s="1096"/>
      <c r="I58" s="47"/>
      <c r="J58" s="74"/>
      <c r="K58" s="47"/>
      <c r="L58" s="1103"/>
      <c r="M58" s="47"/>
      <c r="N58" s="74"/>
      <c r="O58" s="47"/>
      <c r="P58" s="1096"/>
      <c r="Q58" s="1094"/>
      <c r="R58" s="1097"/>
      <c r="S58" s="50"/>
      <c r="T58" s="50"/>
      <c r="U58" s="51"/>
      <c r="V58" s="1096"/>
      <c r="W58" s="47"/>
      <c r="X58" s="51"/>
      <c r="Y58" s="50"/>
      <c r="Z58" s="52"/>
      <c r="AA58" s="51"/>
      <c r="AB58" s="1096"/>
      <c r="AC58" s="47"/>
      <c r="AD58" s="54"/>
      <c r="AE58" s="54"/>
      <c r="AF58" s="55"/>
      <c r="AG58" s="51"/>
      <c r="AI58" s="19"/>
      <c r="AJ58" s="29"/>
      <c r="AK58" s="1"/>
      <c r="AL58" s="1"/>
    </row>
    <row r="59" spans="1:40" ht="18" customHeight="1" thickBot="1">
      <c r="A59" s="1573" t="s">
        <v>54</v>
      </c>
      <c r="B59" s="117"/>
      <c r="C59" s="118"/>
      <c r="D59" s="119">
        <f>ROUND(SUM(D55+D57),1)</f>
        <v>14864.1</v>
      </c>
      <c r="E59" s="120"/>
      <c r="F59" s="121">
        <f>ROUND(SUM(F55+F57),1)</f>
        <v>14864.1</v>
      </c>
      <c r="G59" s="120"/>
      <c r="H59" s="119">
        <f>ROUND(SUM(H55+H57),1)</f>
        <v>3392.1</v>
      </c>
      <c r="I59" s="120"/>
      <c r="J59" s="121">
        <f>ROUND(SUM(J55)+SUM(J57),1)</f>
        <v>3392.1</v>
      </c>
      <c r="K59" s="120"/>
      <c r="L59" s="119">
        <f>ROUND(SUM(L55+L57),1)</f>
        <v>2953.7</v>
      </c>
      <c r="M59" s="120"/>
      <c r="N59" s="121">
        <f>ROUND(SUM(N55+N57),1)</f>
        <v>2953.7</v>
      </c>
      <c r="O59" s="120"/>
      <c r="P59" s="119">
        <f>ROUND(SUM(P55+P57),1)</f>
        <v>-1073.3</v>
      </c>
      <c r="Q59" s="120"/>
      <c r="R59" s="121">
        <f>ROUND(SUM(R55+R57),1)</f>
        <v>-1073.3</v>
      </c>
      <c r="S59" s="122"/>
      <c r="T59" s="122"/>
      <c r="U59" s="123"/>
      <c r="V59" s="119">
        <f>ROUND(SUM(V55+V57),1)</f>
        <v>20136.599999999999</v>
      </c>
      <c r="W59" s="120"/>
      <c r="X59" s="119">
        <f>ROUND(SUM(X55+X57),1)</f>
        <v>20136.599999999999</v>
      </c>
      <c r="Y59" s="122"/>
      <c r="Z59" s="124"/>
      <c r="AA59" s="123"/>
      <c r="AB59" s="119">
        <f>ROUND(SUM(AB55+AB57),1)</f>
        <v>16731.5</v>
      </c>
      <c r="AC59" s="120"/>
      <c r="AD59" s="119">
        <f>ROUND(SUM(AD55+AD57),1)</f>
        <v>16731.5</v>
      </c>
      <c r="AE59" s="123"/>
      <c r="AF59" s="125"/>
      <c r="AG59" s="126">
        <f>ROUND(SUM(AG55+AG57),1)</f>
        <v>3405.1</v>
      </c>
      <c r="AH59" s="71"/>
      <c r="AI59" s="127">
        <f>ROUND(SUM((+X59-AD59)/ABS(AD59)),3)</f>
        <v>0.20399999999999999</v>
      </c>
      <c r="AJ59" s="128"/>
      <c r="AK59" s="116"/>
      <c r="AL59" s="116"/>
      <c r="AM59" s="129"/>
      <c r="AN59" s="71"/>
    </row>
    <row r="60" spans="1:40" ht="15.6" thickTop="1">
      <c r="A60" s="130"/>
      <c r="B60" s="130"/>
      <c r="C60" s="130"/>
      <c r="D60" s="1118"/>
      <c r="E60" s="131"/>
      <c r="F60" s="131"/>
      <c r="G60" s="131"/>
      <c r="H60" s="1118"/>
      <c r="I60" s="131"/>
      <c r="J60" s="131"/>
      <c r="K60" s="131"/>
      <c r="L60" s="1118"/>
      <c r="M60" s="131"/>
      <c r="N60" s="131"/>
      <c r="O60" s="131"/>
      <c r="P60" s="131"/>
      <c r="Q60" s="131"/>
      <c r="R60" s="131"/>
      <c r="S60" s="131"/>
      <c r="T60" s="131"/>
      <c r="U60" s="131"/>
      <c r="V60" s="1118"/>
      <c r="W60" s="131"/>
      <c r="X60" s="131"/>
      <c r="Y60" s="131"/>
      <c r="Z60" s="131"/>
      <c r="AA60" s="131"/>
      <c r="AB60" s="1118"/>
      <c r="AC60" s="132"/>
      <c r="AD60" s="133"/>
      <c r="AE60" s="133"/>
      <c r="AF60" s="131"/>
      <c r="AG60" s="131"/>
      <c r="AI60" s="134"/>
      <c r="AJ60" s="19"/>
      <c r="AK60" s="1"/>
      <c r="AL60" s="1"/>
    </row>
    <row r="61" spans="1:40" ht="15.6">
      <c r="A61" s="135"/>
      <c r="B61" s="94"/>
      <c r="C61" s="94"/>
      <c r="D61" s="1119"/>
      <c r="E61" s="99"/>
      <c r="F61" s="99"/>
      <c r="G61" s="99"/>
      <c r="H61" s="1119"/>
      <c r="I61" s="99"/>
      <c r="J61" s="99"/>
      <c r="K61" s="99"/>
      <c r="L61" s="1119"/>
      <c r="M61" s="99"/>
      <c r="N61" s="99"/>
      <c r="O61" s="99"/>
      <c r="P61" s="135" t="s">
        <v>15</v>
      </c>
      <c r="Q61" s="99"/>
      <c r="R61" s="99"/>
      <c r="S61" s="99"/>
      <c r="T61" s="99"/>
      <c r="U61" s="99"/>
      <c r="V61" s="1119"/>
      <c r="W61" s="99"/>
      <c r="X61" s="99"/>
      <c r="Y61" s="99"/>
      <c r="Z61" s="99"/>
      <c r="AA61" s="99"/>
      <c r="AB61" s="1119"/>
      <c r="AC61" s="99"/>
      <c r="AI61" s="134"/>
      <c r="AJ61" s="19"/>
      <c r="AK61" s="1"/>
      <c r="AL61" s="1"/>
    </row>
    <row r="62" spans="1:40" ht="15">
      <c r="A62" s="99"/>
      <c r="B62" s="99"/>
      <c r="C62" s="99"/>
      <c r="D62" s="1119"/>
      <c r="E62" s="99"/>
      <c r="F62" s="99"/>
      <c r="G62" s="99"/>
      <c r="H62" s="1119"/>
      <c r="I62" s="99"/>
      <c r="J62" s="99"/>
      <c r="K62" s="99"/>
      <c r="L62" s="1119"/>
      <c r="M62" s="99"/>
      <c r="N62" s="99"/>
      <c r="O62" s="99"/>
      <c r="P62" s="99" t="s">
        <v>15</v>
      </c>
      <c r="Q62" s="99"/>
      <c r="R62" s="99"/>
      <c r="S62" s="99"/>
      <c r="T62" s="99"/>
      <c r="U62" s="99"/>
      <c r="V62" s="1119"/>
      <c r="W62" s="99"/>
      <c r="X62" s="99"/>
      <c r="Y62" s="99"/>
      <c r="Z62" s="99"/>
      <c r="AA62" s="99"/>
      <c r="AB62" s="1119"/>
      <c r="AC62" s="99"/>
      <c r="AD62" s="2679"/>
      <c r="AI62" s="134"/>
      <c r="AJ62" s="19"/>
      <c r="AK62" s="1"/>
      <c r="AL62" s="1"/>
    </row>
    <row r="63" spans="1:40" ht="15">
      <c r="A63" s="99"/>
      <c r="B63" s="99"/>
      <c r="C63" s="99"/>
      <c r="D63" s="1119"/>
      <c r="E63" s="99"/>
      <c r="F63" s="99"/>
      <c r="G63" s="99"/>
      <c r="H63" s="1119"/>
      <c r="I63" s="99"/>
      <c r="J63" s="99"/>
      <c r="K63" s="99"/>
      <c r="L63" s="1119"/>
      <c r="M63" s="99"/>
      <c r="N63" s="99"/>
      <c r="O63" s="99"/>
      <c r="P63" s="99" t="s">
        <v>15</v>
      </c>
      <c r="Q63" s="99"/>
      <c r="R63" s="99"/>
      <c r="S63" s="99"/>
      <c r="T63" s="99"/>
      <c r="U63" s="99"/>
      <c r="V63" s="1119"/>
      <c r="W63" s="99"/>
      <c r="X63" s="99"/>
      <c r="Y63" s="99"/>
      <c r="Z63" s="99"/>
      <c r="AA63" s="99"/>
      <c r="AB63" s="1119"/>
      <c r="AC63" s="99"/>
      <c r="AI63" s="137"/>
      <c r="AJ63" s="19"/>
      <c r="AK63" s="1"/>
      <c r="AL63" s="1"/>
    </row>
    <row r="64" spans="1:40" ht="15.6">
      <c r="A64" s="138"/>
      <c r="B64" s="99"/>
      <c r="C64" s="99"/>
      <c r="D64" s="1119"/>
      <c r="E64" s="99"/>
      <c r="F64" s="99"/>
      <c r="G64" s="99"/>
      <c r="H64" s="1119"/>
      <c r="I64" s="99"/>
      <c r="J64" s="99"/>
      <c r="K64" s="99"/>
      <c r="L64" s="1119"/>
      <c r="M64" s="99"/>
      <c r="N64" s="99"/>
      <c r="O64" s="99"/>
      <c r="P64" s="99"/>
      <c r="Q64" s="99"/>
      <c r="R64" s="99"/>
      <c r="S64" s="99"/>
      <c r="T64" s="99"/>
      <c r="U64" s="99"/>
      <c r="V64" s="1119"/>
      <c r="W64" s="99"/>
      <c r="X64" s="99"/>
      <c r="Y64" s="99"/>
      <c r="Z64" s="99"/>
      <c r="AA64" s="99"/>
      <c r="AB64" s="1119"/>
      <c r="AC64" s="99"/>
      <c r="AI64" s="137"/>
      <c r="AJ64" s="1"/>
      <c r="AK64" s="1"/>
      <c r="AL64" s="1"/>
    </row>
    <row r="65" spans="1:38" ht="15.6">
      <c r="A65" s="138"/>
      <c r="B65" s="99"/>
      <c r="C65" s="99"/>
      <c r="D65" s="1119"/>
      <c r="E65" s="99"/>
      <c r="F65" s="99"/>
      <c r="G65" s="99"/>
      <c r="H65" s="1119"/>
      <c r="I65" s="99"/>
      <c r="J65" s="99"/>
      <c r="K65" s="99"/>
      <c r="L65" s="1119"/>
      <c r="M65" s="99"/>
      <c r="N65" s="99"/>
      <c r="O65" s="99"/>
      <c r="P65" s="99"/>
      <c r="Q65" s="99"/>
      <c r="R65" s="99"/>
      <c r="S65" s="99"/>
      <c r="T65" s="99"/>
      <c r="U65" s="99"/>
      <c r="V65" s="1119"/>
      <c r="W65" s="99"/>
      <c r="X65" s="99"/>
      <c r="Y65" s="99"/>
      <c r="Z65" s="99"/>
      <c r="AA65" s="99"/>
      <c r="AB65" s="1119"/>
      <c r="AC65" s="99"/>
      <c r="AI65" s="137"/>
      <c r="AJ65" s="1" t="s">
        <v>15</v>
      </c>
      <c r="AK65" s="1"/>
      <c r="AL65" s="1"/>
    </row>
    <row r="66" spans="1:38" ht="15.6">
      <c r="A66" s="139"/>
      <c r="B66" s="140"/>
      <c r="C66" s="135"/>
      <c r="D66" s="1122"/>
      <c r="E66" s="35"/>
      <c r="F66" s="35"/>
      <c r="G66" s="35"/>
      <c r="H66" s="1122"/>
      <c r="I66" s="35"/>
      <c r="J66" s="35"/>
      <c r="K66" s="35"/>
      <c r="L66" s="1122"/>
      <c r="M66" s="99"/>
      <c r="N66" s="99"/>
      <c r="O66" s="99"/>
      <c r="P66" s="99"/>
      <c r="Q66" s="99"/>
      <c r="R66" s="99"/>
      <c r="S66" s="99"/>
      <c r="T66" s="99"/>
      <c r="U66" s="99"/>
      <c r="V66" s="1119"/>
      <c r="W66" s="99"/>
      <c r="X66" s="99"/>
      <c r="Y66" s="99"/>
      <c r="Z66" s="99"/>
      <c r="AA66" s="99"/>
      <c r="AB66" s="1119"/>
      <c r="AC66" s="99"/>
      <c r="AI66" s="137"/>
      <c r="AJ66" s="1"/>
      <c r="AK66" s="1"/>
      <c r="AL66" s="1"/>
    </row>
    <row r="67" spans="1:38" ht="15">
      <c r="A67" s="19"/>
      <c r="B67" s="19"/>
      <c r="C67" s="19"/>
      <c r="D67" s="1123"/>
      <c r="E67" s="19"/>
      <c r="F67" s="19"/>
      <c r="G67" s="19"/>
      <c r="H67" s="1123"/>
      <c r="I67" s="19"/>
      <c r="J67" s="19"/>
      <c r="K67" s="19"/>
      <c r="L67" s="1123"/>
      <c r="M67" s="99"/>
      <c r="N67" s="99"/>
      <c r="O67" s="99"/>
      <c r="P67" s="99"/>
      <c r="Q67" s="99"/>
      <c r="R67" s="99"/>
      <c r="S67" s="99"/>
      <c r="T67" s="99"/>
      <c r="U67" s="99"/>
      <c r="V67" s="1119"/>
      <c r="W67" s="99"/>
      <c r="X67" s="99"/>
      <c r="Y67" s="99"/>
      <c r="Z67" s="99"/>
      <c r="AA67" s="99"/>
      <c r="AB67" s="1119"/>
      <c r="AC67" s="99"/>
      <c r="AI67" s="137"/>
      <c r="AJ67" s="1"/>
      <c r="AK67" s="1"/>
      <c r="AL67" s="1"/>
    </row>
    <row r="68" spans="1:38" ht="15">
      <c r="A68" s="19"/>
      <c r="B68" s="19"/>
      <c r="C68" s="19"/>
      <c r="D68" s="1123"/>
      <c r="E68" s="19"/>
      <c r="F68" s="19"/>
      <c r="G68" s="19"/>
      <c r="H68" s="1123"/>
      <c r="I68" s="19"/>
      <c r="J68" s="19"/>
      <c r="K68" s="19"/>
      <c r="L68" s="1123"/>
      <c r="M68" s="99"/>
      <c r="N68" s="99"/>
      <c r="O68" s="99"/>
      <c r="P68" s="99"/>
      <c r="Q68" s="99"/>
      <c r="R68" s="99"/>
      <c r="S68" s="99"/>
      <c r="T68" s="99"/>
      <c r="U68" s="99"/>
      <c r="V68" s="1119"/>
      <c r="W68" s="99"/>
      <c r="X68" s="99"/>
      <c r="Y68" s="99"/>
      <c r="Z68" s="99"/>
      <c r="AA68" s="99"/>
      <c r="AB68" s="1119"/>
      <c r="AC68" s="99"/>
      <c r="AI68" s="137"/>
      <c r="AJ68" s="1"/>
      <c r="AK68" s="1"/>
      <c r="AL68" s="1"/>
    </row>
    <row r="69" spans="1:38" ht="15">
      <c r="A69" s="19"/>
      <c r="B69" s="19"/>
      <c r="C69" s="19"/>
      <c r="D69" s="1123"/>
      <c r="E69" s="19"/>
      <c r="F69" s="19"/>
      <c r="G69" s="19"/>
      <c r="H69" s="1123"/>
      <c r="I69" s="19"/>
      <c r="J69" s="19"/>
      <c r="K69" s="19"/>
      <c r="L69" s="1123"/>
      <c r="M69" s="99"/>
      <c r="N69" s="99"/>
      <c r="O69" s="99"/>
      <c r="P69" s="99"/>
      <c r="Q69" s="99"/>
      <c r="R69" s="99"/>
      <c r="S69" s="99"/>
      <c r="T69" s="99"/>
      <c r="U69" s="99"/>
      <c r="V69" s="1119"/>
      <c r="W69" s="99"/>
      <c r="X69" s="99"/>
      <c r="Y69" s="99"/>
      <c r="Z69" s="99"/>
      <c r="AA69" s="99"/>
      <c r="AB69" s="111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U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W4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4" t="s">
        <v>1066</v>
      </c>
    </row>
    <row r="2" spans="1:39" ht="15.6">
      <c r="A2" s="453"/>
      <c r="M2" s="221"/>
      <c r="N2" s="221"/>
      <c r="O2" s="497"/>
    </row>
    <row r="3" spans="1:39" ht="20.25" customHeight="1">
      <c r="A3" s="453"/>
      <c r="B3" s="458" t="s">
        <v>0</v>
      </c>
      <c r="M3" s="221"/>
      <c r="N3" s="221"/>
      <c r="O3" s="497"/>
      <c r="AE3" s="530"/>
      <c r="AF3" s="530"/>
      <c r="AG3" s="530"/>
      <c r="AH3" s="530"/>
      <c r="AI3" s="530"/>
      <c r="AJ3" s="530"/>
      <c r="AK3" s="733"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03" t="s">
        <v>1437</v>
      </c>
      <c r="L6" s="497"/>
      <c r="M6" s="497"/>
      <c r="O6" s="497"/>
      <c r="AK6" s="503"/>
    </row>
    <row r="7" spans="1:39" ht="17.399999999999999">
      <c r="A7" s="453"/>
      <c r="B7" s="458" t="s">
        <v>1278</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43" t="str">
        <f>+'Exhibit G'!AH10</f>
        <v>10 Months Ended January 31</v>
      </c>
      <c r="AF9" s="3544"/>
      <c r="AG9" s="3544"/>
      <c r="AH9" s="3544"/>
      <c r="AI9" s="3544"/>
      <c r="AJ9" s="532"/>
      <c r="AK9" s="532"/>
    </row>
    <row r="10" spans="1:39" ht="15.6">
      <c r="A10" s="453"/>
      <c r="B10" s="222"/>
      <c r="C10" s="222"/>
      <c r="D10" s="1395">
        <v>2017</v>
      </c>
      <c r="E10" s="221"/>
      <c r="F10" s="221"/>
      <c r="G10" s="221"/>
      <c r="H10" s="221"/>
      <c r="I10" s="221"/>
      <c r="J10" s="221"/>
      <c r="K10" s="221"/>
      <c r="L10" s="221"/>
      <c r="M10" s="221"/>
      <c r="N10" s="221"/>
      <c r="O10" s="221"/>
      <c r="P10" s="221"/>
      <c r="Q10" s="221"/>
      <c r="R10" s="221"/>
      <c r="S10" s="221"/>
      <c r="T10" s="221"/>
      <c r="U10" s="221"/>
      <c r="V10" s="1395">
        <v>2018</v>
      </c>
      <c r="W10" s="221"/>
      <c r="X10" s="221"/>
      <c r="Y10" s="221"/>
      <c r="Z10" s="221"/>
      <c r="AA10" s="221"/>
      <c r="AB10" s="221"/>
      <c r="AC10" s="411"/>
      <c r="AD10" s="411"/>
      <c r="AE10" s="411"/>
      <c r="AF10" s="411"/>
      <c r="AG10" s="411"/>
      <c r="AH10" s="410"/>
      <c r="AI10" s="1402" t="s">
        <v>8</v>
      </c>
      <c r="AJ10" s="1402"/>
      <c r="AK10" s="1402" t="s">
        <v>9</v>
      </c>
      <c r="AL10" s="1407"/>
      <c r="AM10" s="1407"/>
    </row>
    <row r="11" spans="1:39" ht="15.6">
      <c r="A11" s="453"/>
      <c r="B11" s="222"/>
      <c r="C11" s="222"/>
      <c r="D11" s="1917" t="s">
        <v>127</v>
      </c>
      <c r="E11" s="221"/>
      <c r="F11" s="1917" t="s">
        <v>128</v>
      </c>
      <c r="G11" s="221"/>
      <c r="H11" s="1917" t="s">
        <v>129</v>
      </c>
      <c r="I11" s="221"/>
      <c r="J11" s="1917" t="s">
        <v>130</v>
      </c>
      <c r="K11" s="221"/>
      <c r="L11" s="1917" t="s">
        <v>131</v>
      </c>
      <c r="M11" s="221"/>
      <c r="N11" s="1917" t="s">
        <v>132</v>
      </c>
      <c r="O11" s="221"/>
      <c r="P11" s="1917" t="s">
        <v>133</v>
      </c>
      <c r="Q11" s="221"/>
      <c r="R11" s="1917" t="s">
        <v>134</v>
      </c>
      <c r="S11" s="221"/>
      <c r="T11" s="1917" t="s">
        <v>135</v>
      </c>
      <c r="U11" s="221"/>
      <c r="V11" s="1917" t="s">
        <v>152</v>
      </c>
      <c r="W11" s="221"/>
      <c r="X11" s="1917" t="s">
        <v>137</v>
      </c>
      <c r="Y11" s="221"/>
      <c r="Z11" s="1917" t="s">
        <v>138</v>
      </c>
      <c r="AA11" s="221"/>
      <c r="AB11" s="221"/>
      <c r="AC11" s="1923">
        <v>2018</v>
      </c>
      <c r="AD11" s="1395"/>
      <c r="AE11" s="1382" t="s">
        <v>15</v>
      </c>
      <c r="AF11" s="1923">
        <v>2017</v>
      </c>
      <c r="AG11" s="1381"/>
      <c r="AH11" s="410"/>
      <c r="AI11" s="1924" t="s">
        <v>12</v>
      </c>
      <c r="AJ11" s="1400"/>
      <c r="AK11" s="1924" t="s">
        <v>13</v>
      </c>
      <c r="AL11" s="1407"/>
      <c r="AM11" s="1407"/>
    </row>
    <row r="12" spans="1:39" s="1922" customFormat="1" ht="3.75" customHeight="1">
      <c r="A12" s="1920"/>
      <c r="B12" s="229"/>
      <c r="C12" s="229"/>
      <c r="D12" s="1408"/>
      <c r="E12" s="475"/>
      <c r="F12" s="1408"/>
      <c r="G12" s="475"/>
      <c r="H12" s="1408"/>
      <c r="I12" s="475"/>
      <c r="J12" s="1408"/>
      <c r="K12" s="475"/>
      <c r="L12" s="1408"/>
      <c r="M12" s="475"/>
      <c r="N12" s="1408"/>
      <c r="O12" s="475"/>
      <c r="P12" s="1408"/>
      <c r="Q12" s="475"/>
      <c r="R12" s="1408"/>
      <c r="S12" s="475"/>
      <c r="T12" s="1408"/>
      <c r="U12" s="475"/>
      <c r="V12" s="1408"/>
      <c r="W12" s="475"/>
      <c r="X12" s="1408"/>
      <c r="Y12" s="475"/>
      <c r="Z12" s="1408"/>
      <c r="AA12" s="475"/>
      <c r="AB12" s="475"/>
      <c r="AC12" s="1381"/>
      <c r="AD12" s="1381"/>
      <c r="AE12" s="1408"/>
      <c r="AF12" s="1381"/>
      <c r="AG12" s="1381"/>
      <c r="AH12" s="411"/>
      <c r="AI12" s="1400"/>
      <c r="AJ12" s="1400"/>
      <c r="AK12" s="1400"/>
      <c r="AL12" s="1921"/>
      <c r="AM12" s="1921"/>
    </row>
    <row r="13" spans="1:39" s="1922" customFormat="1" ht="15.6">
      <c r="A13" s="1920"/>
      <c r="B13" s="227" t="s">
        <v>139</v>
      </c>
      <c r="C13" s="229"/>
      <c r="D13" s="421">
        <v>3732.3</v>
      </c>
      <c r="E13" s="421"/>
      <c r="F13" s="3047">
        <f>D122</f>
        <v>4804.8999999999996</v>
      </c>
      <c r="G13" s="421"/>
      <c r="H13" s="3047">
        <f>F122</f>
        <v>4536.3</v>
      </c>
      <c r="I13" s="421"/>
      <c r="J13" s="3047">
        <f>H122</f>
        <v>4883</v>
      </c>
      <c r="K13" s="421"/>
      <c r="L13" s="3047">
        <f>J122</f>
        <v>5541.5</v>
      </c>
      <c r="M13" s="421"/>
      <c r="N13" s="3047">
        <f>+L122</f>
        <v>5634.4</v>
      </c>
      <c r="O13" s="421"/>
      <c r="P13" s="3047">
        <f>+N122</f>
        <v>4065.2</v>
      </c>
      <c r="Q13" s="421"/>
      <c r="R13" s="3047">
        <f>P122</f>
        <v>4436.7</v>
      </c>
      <c r="S13" s="421"/>
      <c r="T13" s="3047">
        <f>R122</f>
        <v>4116.3</v>
      </c>
      <c r="U13" s="421"/>
      <c r="V13" s="3047">
        <f>T122</f>
        <v>3609.5</v>
      </c>
      <c r="W13" s="421"/>
      <c r="X13" s="3047"/>
      <c r="Y13" s="421"/>
      <c r="Z13" s="3047"/>
      <c r="AA13" s="222"/>
      <c r="AB13" s="1919"/>
      <c r="AC13" s="3048">
        <f>D13</f>
        <v>3732.3</v>
      </c>
      <c r="AD13" s="222"/>
      <c r="AE13" s="535"/>
      <c r="AF13" s="3048">
        <v>3547.4</v>
      </c>
      <c r="AG13" s="229"/>
      <c r="AH13" s="506"/>
      <c r="AI13" s="292">
        <f>ROUND(SUM(+AC13-AF13),1)</f>
        <v>184.9</v>
      </c>
      <c r="AJ13" s="1719"/>
      <c r="AK13" s="3054">
        <f>ROUND(IF(AF13=0,1,AI13/ABS(AF13)),3)</f>
        <v>5.1999999999999998E-2</v>
      </c>
      <c r="AL13" s="1921"/>
      <c r="AM13" s="1921"/>
    </row>
    <row r="14" spans="1:39" s="1922" customFormat="1" ht="15.6">
      <c r="A14" s="1920"/>
      <c r="B14" s="229"/>
      <c r="C14" s="229"/>
      <c r="D14" s="1408"/>
      <c r="E14" s="475"/>
      <c r="F14" s="1408"/>
      <c r="G14" s="475"/>
      <c r="H14" s="1408"/>
      <c r="I14" s="475"/>
      <c r="J14" s="1408"/>
      <c r="K14" s="475"/>
      <c r="L14" s="1408"/>
      <c r="M14" s="475"/>
      <c r="N14" s="1408"/>
      <c r="O14" s="475"/>
      <c r="P14" s="1408"/>
      <c r="Q14" s="475"/>
      <c r="R14" s="1408"/>
      <c r="S14" s="475"/>
      <c r="T14" s="1408"/>
      <c r="U14" s="475"/>
      <c r="V14" s="1408"/>
      <c r="W14" s="475"/>
      <c r="X14" s="1408"/>
      <c r="Y14" s="475"/>
      <c r="Z14" s="1408"/>
      <c r="AA14" s="222"/>
      <c r="AB14" s="1919"/>
      <c r="AC14" s="1381"/>
      <c r="AD14" s="222"/>
      <c r="AE14" s="535"/>
      <c r="AF14" s="1381"/>
      <c r="AG14" s="229"/>
      <c r="AH14" s="506"/>
      <c r="AI14" s="1400"/>
      <c r="AJ14" s="1400"/>
      <c r="AK14" s="1400"/>
      <c r="AL14" s="1921"/>
      <c r="AM14" s="1921"/>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19"/>
      <c r="AC15" s="229"/>
      <c r="AD15" s="222"/>
      <c r="AE15" s="535"/>
      <c r="AF15" s="222"/>
      <c r="AG15" s="229"/>
      <c r="AH15" s="506"/>
      <c r="AI15" s="222"/>
      <c r="AJ15" s="222"/>
      <c r="AK15" s="222"/>
    </row>
    <row r="16" spans="1:39" ht="15" customHeight="1">
      <c r="A16" s="350"/>
      <c r="B16" s="486" t="s">
        <v>1177</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07" customFormat="1" ht="15" customHeight="1">
      <c r="A17" s="1931"/>
      <c r="B17" s="2203" t="s">
        <v>1180</v>
      </c>
      <c r="C17" s="221"/>
      <c r="D17" s="1674">
        <v>0</v>
      </c>
      <c r="E17" s="2800"/>
      <c r="F17" s="1674">
        <v>0</v>
      </c>
      <c r="G17" s="2800"/>
      <c r="H17" s="1674">
        <v>57.6</v>
      </c>
      <c r="I17" s="2800"/>
      <c r="J17" s="2800">
        <v>0</v>
      </c>
      <c r="K17" s="2800"/>
      <c r="L17" s="2800">
        <v>0</v>
      </c>
      <c r="M17" s="2800"/>
      <c r="N17" s="2800">
        <v>0</v>
      </c>
      <c r="O17" s="2800"/>
      <c r="P17" s="1674">
        <v>5</v>
      </c>
      <c r="Q17" s="2800"/>
      <c r="R17" s="1674">
        <v>11.6</v>
      </c>
      <c r="S17" s="2800"/>
      <c r="T17" s="1674">
        <v>88</v>
      </c>
      <c r="U17" s="2800"/>
      <c r="V17" s="1674">
        <v>2413.5</v>
      </c>
      <c r="W17" s="2800"/>
      <c r="X17" s="1262"/>
      <c r="Y17" s="2800"/>
      <c r="Z17" s="1262"/>
      <c r="AA17" s="2800"/>
      <c r="AB17" s="2516"/>
      <c r="AC17" s="1740">
        <f>ROUND(SUM(D17:Z17),1)</f>
        <v>2575.6999999999998</v>
      </c>
      <c r="AD17" s="1262"/>
      <c r="AE17" s="3049"/>
      <c r="AF17" s="2800">
        <v>2895.9</v>
      </c>
      <c r="AG17" s="3050"/>
      <c r="AH17" s="1740"/>
      <c r="AI17" s="2800">
        <f>ROUND(SUM(+AC17-AF17),1)</f>
        <v>-320.2</v>
      </c>
      <c r="AJ17" s="1111"/>
      <c r="AK17" s="2574">
        <f>ROUND(IF(AF17=0,1,AI17/ABS(AF17)),3)</f>
        <v>-0.111</v>
      </c>
    </row>
    <row r="18" spans="1:37" s="1407" customFormat="1" ht="6" customHeight="1">
      <c r="A18" s="1931"/>
      <c r="B18" s="2203"/>
      <c r="C18" s="221"/>
      <c r="D18" s="2218"/>
      <c r="E18" s="292"/>
      <c r="F18" s="2218"/>
      <c r="G18" s="292"/>
      <c r="H18" s="2219"/>
      <c r="I18" s="292"/>
      <c r="J18" s="2483"/>
      <c r="K18" s="292"/>
      <c r="L18" s="2483"/>
      <c r="M18" s="292"/>
      <c r="N18" s="2483"/>
      <c r="O18" s="292"/>
      <c r="P18" s="292"/>
      <c r="Q18" s="292"/>
      <c r="R18" s="292"/>
      <c r="S18" s="292"/>
      <c r="T18" s="292"/>
      <c r="U18" s="292"/>
      <c r="V18" s="292"/>
      <c r="W18" s="292"/>
      <c r="X18" s="381"/>
      <c r="Y18" s="292"/>
      <c r="Z18" s="381"/>
      <c r="AA18" s="292"/>
      <c r="AB18" s="541"/>
      <c r="AC18" s="421"/>
      <c r="AD18" s="1192"/>
      <c r="AE18" s="2489"/>
      <c r="AF18" s="292" t="s">
        <v>15</v>
      </c>
      <c r="AG18" s="2220"/>
      <c r="AH18" s="1806"/>
      <c r="AI18" s="292"/>
      <c r="AJ18" s="1719"/>
      <c r="AK18" s="2486"/>
    </row>
    <row r="19" spans="1:37" ht="15" customHeight="1">
      <c r="A19" s="350"/>
      <c r="B19" s="2203" t="s">
        <v>1244</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0"/>
      <c r="AF19" s="260"/>
      <c r="AG19" s="511"/>
      <c r="AH19" s="248"/>
      <c r="AI19" s="1111"/>
      <c r="AJ19" s="1715"/>
      <c r="AK19" s="2539"/>
    </row>
    <row r="20" spans="1:37" ht="15" customHeight="1">
      <c r="A20" s="350"/>
      <c r="B20" s="1949" t="s">
        <v>1195</v>
      </c>
      <c r="C20" s="223"/>
      <c r="D20" s="1952">
        <v>92.5</v>
      </c>
      <c r="E20" s="1953"/>
      <c r="F20" s="1952">
        <v>67.900000000000006</v>
      </c>
      <c r="G20" s="1953"/>
      <c r="H20" s="1952">
        <v>93.9</v>
      </c>
      <c r="I20" s="1953"/>
      <c r="J20" s="2955">
        <v>71.8</v>
      </c>
      <c r="K20" s="1953"/>
      <c r="L20" s="2955">
        <v>70.2</v>
      </c>
      <c r="M20" s="1953"/>
      <c r="N20" s="2955">
        <v>93.6</v>
      </c>
      <c r="O20" s="1953"/>
      <c r="P20" s="1142">
        <v>73.099999999999994</v>
      </c>
      <c r="Q20" s="1953"/>
      <c r="R20" s="2815">
        <v>77.5</v>
      </c>
      <c r="S20" s="1953"/>
      <c r="T20" s="2815">
        <v>96.9</v>
      </c>
      <c r="U20" s="1953"/>
      <c r="V20" s="2815">
        <v>78.900000000000006</v>
      </c>
      <c r="W20" s="1953"/>
      <c r="X20" s="1953"/>
      <c r="Y20" s="1953"/>
      <c r="Z20" s="273"/>
      <c r="AA20" s="1953"/>
      <c r="AB20" s="1954"/>
      <c r="AC20" s="1955">
        <f t="shared" ref="AC20:AC27" si="0">ROUND(SUM(D20:Z20),1)</f>
        <v>816.3</v>
      </c>
      <c r="AD20" s="1956"/>
      <c r="AE20" s="1957"/>
      <c r="AF20" s="2432">
        <v>782.8</v>
      </c>
      <c r="AG20" s="511"/>
      <c r="AH20" s="248"/>
      <c r="AI20" s="1111">
        <f t="shared" ref="AI20:AI27" si="1">ROUND(SUM(+AC20-AF20),1)</f>
        <v>33.5</v>
      </c>
      <c r="AJ20" s="1715"/>
      <c r="AK20" s="2505">
        <f t="shared" ref="AK20:AK28" si="2">ROUND(IF(AF20=0,0,AI20/ABS(AF20)),3)</f>
        <v>4.2999999999999997E-2</v>
      </c>
    </row>
    <row r="21" spans="1:37" ht="15" customHeight="1">
      <c r="A21" s="350"/>
      <c r="B21" s="1949" t="s">
        <v>1196</v>
      </c>
      <c r="C21" s="223"/>
      <c r="D21" s="1952">
        <v>3.7</v>
      </c>
      <c r="E21" s="1953"/>
      <c r="F21" s="1952">
        <v>3.3</v>
      </c>
      <c r="G21" s="1953"/>
      <c r="H21" s="1952">
        <v>4.5999999999999996</v>
      </c>
      <c r="I21" s="1953"/>
      <c r="J21" s="2955">
        <v>5.0999999999999996</v>
      </c>
      <c r="K21" s="1953"/>
      <c r="L21" s="2955">
        <v>4.9000000000000004</v>
      </c>
      <c r="M21" s="1953"/>
      <c r="N21" s="2955">
        <v>4.5999999999999996</v>
      </c>
      <c r="O21" s="1953"/>
      <c r="P21" s="2815">
        <v>3.5</v>
      </c>
      <c r="Q21" s="1953"/>
      <c r="R21" s="2815">
        <v>3.7</v>
      </c>
      <c r="S21" s="1953"/>
      <c r="T21" s="2815">
        <v>2.9</v>
      </c>
      <c r="U21" s="1953"/>
      <c r="V21" s="2815">
        <v>0</v>
      </c>
      <c r="W21" s="1953"/>
      <c r="X21" s="1953"/>
      <c r="Y21" s="1953"/>
      <c r="Z21" s="273"/>
      <c r="AA21" s="1953"/>
      <c r="AB21" s="1954"/>
      <c r="AC21" s="3068">
        <f t="shared" si="0"/>
        <v>36.299999999999997</v>
      </c>
      <c r="AD21" s="1956"/>
      <c r="AE21" s="1957"/>
      <c r="AF21" s="2427">
        <v>43.3</v>
      </c>
      <c r="AG21" s="511"/>
      <c r="AH21" s="248"/>
      <c r="AI21" s="1111">
        <f t="shared" si="1"/>
        <v>-7</v>
      </c>
      <c r="AJ21" s="1715"/>
      <c r="AK21" s="2505">
        <f t="shared" si="2"/>
        <v>-0.16200000000000001</v>
      </c>
    </row>
    <row r="22" spans="1:37" ht="15" customHeight="1">
      <c r="A22" s="350"/>
      <c r="B22" s="1949" t="s">
        <v>1197</v>
      </c>
      <c r="C22" s="223"/>
      <c r="D22" s="1952">
        <v>64.099999999999994</v>
      </c>
      <c r="E22" s="1953"/>
      <c r="F22" s="1952">
        <v>76.5</v>
      </c>
      <c r="G22" s="1953"/>
      <c r="H22" s="1952">
        <v>74.8</v>
      </c>
      <c r="I22" s="1953"/>
      <c r="J22" s="2955">
        <v>71.400000000000006</v>
      </c>
      <c r="K22" s="1953"/>
      <c r="L22" s="2955">
        <v>83.6</v>
      </c>
      <c r="M22" s="1953"/>
      <c r="N22" s="2955">
        <v>70.099999999999994</v>
      </c>
      <c r="O22" s="1953"/>
      <c r="P22" s="2815">
        <v>74.900000000000006</v>
      </c>
      <c r="Q22" s="1953"/>
      <c r="R22" s="2815">
        <v>68.2</v>
      </c>
      <c r="S22" s="1953"/>
      <c r="T22" s="2815">
        <v>67.7</v>
      </c>
      <c r="U22" s="1953"/>
      <c r="V22" s="2815">
        <v>72</v>
      </c>
      <c r="W22" s="1953"/>
      <c r="X22" s="1953"/>
      <c r="Y22" s="1953"/>
      <c r="Z22" s="273"/>
      <c r="AA22" s="1953"/>
      <c r="AB22" s="1954"/>
      <c r="AC22" s="3068">
        <f t="shared" si="0"/>
        <v>723.3</v>
      </c>
      <c r="AD22" s="1956"/>
      <c r="AE22" s="1957"/>
      <c r="AF22" s="2427">
        <v>759.3</v>
      </c>
      <c r="AG22" s="511"/>
      <c r="AH22" s="248"/>
      <c r="AI22" s="1111">
        <f t="shared" si="1"/>
        <v>-36</v>
      </c>
      <c r="AJ22" s="1715"/>
      <c r="AK22" s="2505">
        <f t="shared" si="2"/>
        <v>-4.7E-2</v>
      </c>
    </row>
    <row r="23" spans="1:37" ht="15" customHeight="1">
      <c r="A23" s="350"/>
      <c r="B23" s="1206" t="s">
        <v>1361</v>
      </c>
      <c r="C23" s="223"/>
      <c r="D23" s="1952">
        <v>0.1</v>
      </c>
      <c r="E23" s="1953"/>
      <c r="F23" s="1952">
        <v>0.1</v>
      </c>
      <c r="G23" s="1953"/>
      <c r="H23" s="1952">
        <v>0.1</v>
      </c>
      <c r="I23" s="1953"/>
      <c r="J23" s="2955">
        <v>0.1</v>
      </c>
      <c r="K23" s="1953"/>
      <c r="L23" s="2955">
        <v>0.2</v>
      </c>
      <c r="M23" s="1953"/>
      <c r="N23" s="2955">
        <v>0.1</v>
      </c>
      <c r="O23" s="1953"/>
      <c r="P23" s="2815">
        <v>0.2</v>
      </c>
      <c r="Q23" s="1953"/>
      <c r="R23" s="2815">
        <v>0.2</v>
      </c>
      <c r="S23" s="1953"/>
      <c r="T23" s="2815">
        <v>0.2</v>
      </c>
      <c r="U23" s="1953"/>
      <c r="V23" s="2815">
        <v>0.2</v>
      </c>
      <c r="W23" s="1953"/>
      <c r="X23" s="1953"/>
      <c r="Y23" s="1953"/>
      <c r="Z23" s="273"/>
      <c r="AA23" s="1953"/>
      <c r="AB23" s="1954"/>
      <c r="AC23" s="3068">
        <f t="shared" si="0"/>
        <v>1.5</v>
      </c>
      <c r="AD23" s="1956"/>
      <c r="AE23" s="1957"/>
      <c r="AF23" s="2427">
        <v>0.4</v>
      </c>
      <c r="AG23" s="511"/>
      <c r="AH23" s="248"/>
      <c r="AI23" s="2800">
        <f t="shared" ref="AI23" si="3">ROUND(SUM(+AC23-AF23),1)</f>
        <v>1.1000000000000001</v>
      </c>
      <c r="AJ23" s="1715"/>
      <c r="AK23" s="2582">
        <f>ROUND(IF(AF23=0,1,AI23/ABS(AF23)),3)</f>
        <v>2.75</v>
      </c>
    </row>
    <row r="24" spans="1:37" ht="15" customHeight="1">
      <c r="A24" s="350"/>
      <c r="B24" s="1949" t="s">
        <v>1198</v>
      </c>
      <c r="C24" s="223"/>
      <c r="D24" s="1952">
        <v>8.6</v>
      </c>
      <c r="E24" s="1953"/>
      <c r="F24" s="1952">
        <v>8.6999999999999993</v>
      </c>
      <c r="G24" s="1953"/>
      <c r="H24" s="1952">
        <v>9.3000000000000007</v>
      </c>
      <c r="I24" s="1953"/>
      <c r="J24" s="2955">
        <v>9.5</v>
      </c>
      <c r="K24" s="1953"/>
      <c r="L24" s="2955">
        <v>9.3000000000000007</v>
      </c>
      <c r="M24" s="1953"/>
      <c r="N24" s="2955">
        <v>9.9</v>
      </c>
      <c r="O24" s="1953"/>
      <c r="P24" s="2815">
        <v>9.1</v>
      </c>
      <c r="Q24" s="1953"/>
      <c r="R24" s="2815">
        <v>9.1</v>
      </c>
      <c r="S24" s="1953"/>
      <c r="T24" s="2815">
        <v>9.8000000000000007</v>
      </c>
      <c r="U24" s="1953"/>
      <c r="V24" s="2815">
        <v>9.1</v>
      </c>
      <c r="W24" s="1953"/>
      <c r="X24" s="1953"/>
      <c r="Y24" s="1953"/>
      <c r="Z24" s="273"/>
      <c r="AA24" s="1953"/>
      <c r="AB24" s="1954"/>
      <c r="AC24" s="3068">
        <f t="shared" si="0"/>
        <v>92.4</v>
      </c>
      <c r="AD24" s="1956"/>
      <c r="AE24" s="1957"/>
      <c r="AF24" s="2432">
        <v>92.3</v>
      </c>
      <c r="AG24" s="511"/>
      <c r="AH24" s="248"/>
      <c r="AI24" s="1111">
        <f t="shared" si="1"/>
        <v>0.1</v>
      </c>
      <c r="AJ24" s="1715"/>
      <c r="AK24" s="2505">
        <f t="shared" si="2"/>
        <v>1E-3</v>
      </c>
    </row>
    <row r="25" spans="1:37" ht="15" customHeight="1">
      <c r="A25" s="350"/>
      <c r="B25" s="1949" t="s">
        <v>1199</v>
      </c>
      <c r="C25" s="223"/>
      <c r="D25" s="1952">
        <v>0</v>
      </c>
      <c r="E25" s="1953"/>
      <c r="F25" s="1952">
        <v>0</v>
      </c>
      <c r="G25" s="1953"/>
      <c r="H25" s="1952">
        <v>0</v>
      </c>
      <c r="I25" s="1953"/>
      <c r="J25" s="2955">
        <v>0</v>
      </c>
      <c r="K25" s="1953"/>
      <c r="L25" s="2955">
        <v>0</v>
      </c>
      <c r="M25" s="1953"/>
      <c r="N25" s="2955">
        <v>0</v>
      </c>
      <c r="O25" s="1953"/>
      <c r="P25" s="2815">
        <v>0</v>
      </c>
      <c r="Q25" s="1953"/>
      <c r="R25" s="2815">
        <v>0</v>
      </c>
      <c r="S25" s="1953"/>
      <c r="T25" s="2815">
        <v>0</v>
      </c>
      <c r="U25" s="1953"/>
      <c r="V25" s="2815">
        <v>0</v>
      </c>
      <c r="W25" s="1953"/>
      <c r="X25" s="1953"/>
      <c r="Y25" s="1953"/>
      <c r="Z25" s="273"/>
      <c r="AA25" s="1953"/>
      <c r="AB25" s="1954"/>
      <c r="AC25" s="3068">
        <f t="shared" si="0"/>
        <v>0</v>
      </c>
      <c r="AD25" s="1956"/>
      <c r="AE25" s="1957"/>
      <c r="AF25" s="2429">
        <v>0</v>
      </c>
      <c r="AG25" s="511"/>
      <c r="AH25" s="248"/>
      <c r="AI25" s="1111">
        <f t="shared" si="1"/>
        <v>0</v>
      </c>
      <c r="AJ25" s="1715"/>
      <c r="AK25" s="2505">
        <f t="shared" si="2"/>
        <v>0</v>
      </c>
    </row>
    <row r="26" spans="1:37" ht="15" customHeight="1">
      <c r="A26" s="350"/>
      <c r="B26" s="1949" t="s">
        <v>1200</v>
      </c>
      <c r="C26" s="223"/>
      <c r="D26" s="1952">
        <v>0.1</v>
      </c>
      <c r="E26" s="1953"/>
      <c r="F26" s="1952">
        <v>0.2</v>
      </c>
      <c r="G26" s="1953"/>
      <c r="H26" s="1952">
        <v>0.2</v>
      </c>
      <c r="I26" s="1953"/>
      <c r="J26" s="2955">
        <v>0.2</v>
      </c>
      <c r="K26" s="1953"/>
      <c r="L26" s="2955">
        <v>0.2</v>
      </c>
      <c r="M26" s="1953"/>
      <c r="N26" s="2955">
        <v>0.2</v>
      </c>
      <c r="O26" s="1953"/>
      <c r="P26" s="2815">
        <v>0.1</v>
      </c>
      <c r="Q26" s="1953"/>
      <c r="R26" s="2815">
        <v>0.1</v>
      </c>
      <c r="S26" s="1953"/>
      <c r="T26" s="2815">
        <v>0.1</v>
      </c>
      <c r="U26" s="1953"/>
      <c r="V26" s="2815">
        <v>0.1</v>
      </c>
      <c r="W26" s="1953"/>
      <c r="X26" s="1953"/>
      <c r="Y26" s="1953"/>
      <c r="Z26" s="273"/>
      <c r="AA26" s="1953"/>
      <c r="AB26" s="1954"/>
      <c r="AC26" s="3068">
        <f t="shared" si="0"/>
        <v>1.5</v>
      </c>
      <c r="AD26" s="1956"/>
      <c r="AE26" s="1957"/>
      <c r="AF26" s="2429">
        <v>2</v>
      </c>
      <c r="AG26" s="511"/>
      <c r="AH26" s="248"/>
      <c r="AI26" s="1111">
        <f t="shared" si="1"/>
        <v>-0.5</v>
      </c>
      <c r="AJ26" s="1715"/>
      <c r="AK26" s="2574">
        <f>ROUND(IF(AF26=0,1,AI26/ABS(AF26)),3)</f>
        <v>-0.25</v>
      </c>
    </row>
    <row r="27" spans="1:37" ht="15" customHeight="1">
      <c r="A27" s="350"/>
      <c r="B27" s="1951" t="s">
        <v>1201</v>
      </c>
      <c r="C27" s="223"/>
      <c r="D27" s="1952">
        <v>13.4</v>
      </c>
      <c r="E27" s="1953"/>
      <c r="F27" s="1952">
        <v>0.7</v>
      </c>
      <c r="G27" s="1953"/>
      <c r="H27" s="1952">
        <v>0.4</v>
      </c>
      <c r="I27" s="1953"/>
      <c r="J27" s="2955">
        <v>13.1</v>
      </c>
      <c r="K27" s="1953"/>
      <c r="L27" s="2955">
        <v>0.5</v>
      </c>
      <c r="M27" s="1953"/>
      <c r="N27" s="2955">
        <v>0.4</v>
      </c>
      <c r="O27" s="1953"/>
      <c r="P27" s="2815">
        <v>11.4</v>
      </c>
      <c r="Q27" s="1953"/>
      <c r="R27" s="2815">
        <v>1.3</v>
      </c>
      <c r="S27" s="1953"/>
      <c r="T27" s="2815">
        <v>0.6</v>
      </c>
      <c r="U27" s="1953"/>
      <c r="V27" s="2815">
        <v>12.8</v>
      </c>
      <c r="W27" s="1953"/>
      <c r="X27" s="1953"/>
      <c r="Y27" s="1953"/>
      <c r="Z27" s="273"/>
      <c r="AA27" s="1953"/>
      <c r="AB27" s="1954"/>
      <c r="AC27" s="3068">
        <f t="shared" si="0"/>
        <v>54.6</v>
      </c>
      <c r="AD27" s="1956"/>
      <c r="AE27" s="1957"/>
      <c r="AF27" s="2427">
        <v>63.3</v>
      </c>
      <c r="AG27" s="511"/>
      <c r="AH27" s="248"/>
      <c r="AI27" s="1111">
        <f t="shared" si="1"/>
        <v>-8.6999999999999993</v>
      </c>
      <c r="AJ27" s="1715"/>
      <c r="AK27" s="2505">
        <f t="shared" si="2"/>
        <v>-0.13700000000000001</v>
      </c>
    </row>
    <row r="28" spans="1:37" s="1407" customFormat="1" ht="15" customHeight="1">
      <c r="A28" s="1931"/>
      <c r="B28" s="1950" t="s">
        <v>1328</v>
      </c>
      <c r="C28" s="221"/>
      <c r="D28" s="255">
        <f>ROUND(SUM(D20:D27),1)</f>
        <v>182.5</v>
      </c>
      <c r="E28" s="1719"/>
      <c r="F28" s="255">
        <f>ROUND(SUM(F20:F27),1)</f>
        <v>157.4</v>
      </c>
      <c r="G28" s="1719"/>
      <c r="H28" s="255">
        <f>ROUND(SUM(H20:H27),1)</f>
        <v>183.3</v>
      </c>
      <c r="I28" s="1719"/>
      <c r="J28" s="255">
        <f t="shared" ref="J28" si="4">ROUND(SUM(J20:J27),1)</f>
        <v>171.2</v>
      </c>
      <c r="K28" s="1719"/>
      <c r="L28" s="255">
        <f>ROUND(SUM(L20:L27),1)</f>
        <v>168.9</v>
      </c>
      <c r="M28" s="1719"/>
      <c r="N28" s="255">
        <f>ROUND(SUM(N20:N27),1)</f>
        <v>178.9</v>
      </c>
      <c r="O28" s="1719"/>
      <c r="P28" s="255">
        <f>ROUND(SUM(P20:P27),1)</f>
        <v>172.3</v>
      </c>
      <c r="Q28" s="1719"/>
      <c r="R28" s="255">
        <f>ROUND(SUM(R20:R27),1)</f>
        <v>160.1</v>
      </c>
      <c r="S28" s="1719"/>
      <c r="T28" s="255">
        <f>ROUND(SUM(T20:T27),1)</f>
        <v>178.2</v>
      </c>
      <c r="U28" s="1719"/>
      <c r="V28" s="255">
        <f>ROUND(SUM(V20:V27),1)</f>
        <v>173.1</v>
      </c>
      <c r="W28" s="1719"/>
      <c r="X28" s="255">
        <f>ROUND(SUM(X20:X27),1)</f>
        <v>0</v>
      </c>
      <c r="Y28" s="1719"/>
      <c r="Z28" s="255">
        <f>ROUND(SUM(Z20:Z27),1)</f>
        <v>0</v>
      </c>
      <c r="AA28" s="1719"/>
      <c r="AB28" s="737"/>
      <c r="AC28" s="523">
        <f>ROUND(SUM(AC20:AC27),1)</f>
        <v>1725.9</v>
      </c>
      <c r="AD28" s="1719"/>
      <c r="AE28" s="1756"/>
      <c r="AF28" s="523">
        <f>ROUND(SUM(AF20:AF27),1)</f>
        <v>1743.4</v>
      </c>
      <c r="AG28" s="518"/>
      <c r="AH28" s="272"/>
      <c r="AI28" s="255">
        <f>ROUND(SUM(AI20:AI27),1)</f>
        <v>-17.5</v>
      </c>
      <c r="AJ28" s="410"/>
      <c r="AK28" s="1904">
        <f t="shared" si="2"/>
        <v>-0.01</v>
      </c>
    </row>
    <row r="29" spans="1:37" ht="15" customHeight="1">
      <c r="A29" s="350"/>
      <c r="B29" s="2203" t="s">
        <v>1181</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0"/>
      <c r="AF29" s="260"/>
      <c r="AG29" s="511"/>
      <c r="AH29" s="248"/>
      <c r="AI29" s="1111"/>
      <c r="AJ29" s="1715"/>
      <c r="AK29" s="1715"/>
    </row>
    <row r="30" spans="1:37" ht="15" customHeight="1">
      <c r="A30" s="350"/>
      <c r="B30" s="1949" t="s">
        <v>1203</v>
      </c>
      <c r="C30" s="223"/>
      <c r="D30" s="1952">
        <v>83.7</v>
      </c>
      <c r="E30" s="1953"/>
      <c r="F30" s="1952">
        <v>28</v>
      </c>
      <c r="G30" s="1953"/>
      <c r="H30" s="1952">
        <v>101.7</v>
      </c>
      <c r="I30" s="260"/>
      <c r="J30" s="260">
        <v>24.5</v>
      </c>
      <c r="K30" s="260"/>
      <c r="L30" s="260">
        <v>25.5</v>
      </c>
      <c r="M30" s="260"/>
      <c r="N30" s="260">
        <v>106.5</v>
      </c>
      <c r="O30" s="260"/>
      <c r="P30" s="1142">
        <v>24.9</v>
      </c>
      <c r="Q30" s="260"/>
      <c r="R30" s="2815">
        <v>42.2</v>
      </c>
      <c r="S30" s="260"/>
      <c r="T30" s="2815">
        <v>142.4</v>
      </c>
      <c r="U30" s="260"/>
      <c r="V30" s="2815">
        <v>41.2</v>
      </c>
      <c r="W30" s="260"/>
      <c r="X30" s="260"/>
      <c r="Y30" s="260"/>
      <c r="Z30" s="273"/>
      <c r="AA30" s="260"/>
      <c r="AB30" s="251"/>
      <c r="AC30" s="3068">
        <f>ROUND(SUM(D30:Z30),1)</f>
        <v>620.6</v>
      </c>
      <c r="AD30" s="260"/>
      <c r="AE30" s="1490"/>
      <c r="AF30" s="85">
        <v>558</v>
      </c>
      <c r="AG30" s="511"/>
      <c r="AH30" s="248"/>
      <c r="AI30" s="1111">
        <f>ROUND(SUM(+AC30-AF30),1)</f>
        <v>62.6</v>
      </c>
      <c r="AJ30" s="1715"/>
      <c r="AK30" s="2505">
        <f t="shared" ref="AK30:AK35" si="5">ROUND(IF(AF30=0,0,AI30/ABS(AF30)),3)</f>
        <v>0.112</v>
      </c>
    </row>
    <row r="31" spans="1:37" ht="15" customHeight="1">
      <c r="A31" s="350"/>
      <c r="B31" s="1949" t="s">
        <v>1204</v>
      </c>
      <c r="C31" s="223"/>
      <c r="D31" s="1952">
        <v>9.3000000000000007</v>
      </c>
      <c r="E31" s="1953"/>
      <c r="F31" s="1952">
        <v>6.6</v>
      </c>
      <c r="G31" s="1953"/>
      <c r="H31" s="1952">
        <v>25.7</v>
      </c>
      <c r="I31" s="260"/>
      <c r="J31" s="260">
        <v>3.2</v>
      </c>
      <c r="K31" s="260"/>
      <c r="L31" s="260">
        <v>0.6</v>
      </c>
      <c r="M31" s="260"/>
      <c r="N31" s="260">
        <v>26.4</v>
      </c>
      <c r="O31" s="260"/>
      <c r="P31" s="2815">
        <v>0.3</v>
      </c>
      <c r="Q31" s="260"/>
      <c r="R31" s="2815">
        <v>0.5</v>
      </c>
      <c r="S31" s="260"/>
      <c r="T31" s="2815">
        <v>24.8</v>
      </c>
      <c r="U31" s="260"/>
      <c r="V31" s="2815">
        <v>5</v>
      </c>
      <c r="W31" s="260"/>
      <c r="X31" s="260"/>
      <c r="Y31" s="260"/>
      <c r="Z31" s="273"/>
      <c r="AA31" s="260"/>
      <c r="AB31" s="251"/>
      <c r="AC31" s="3068">
        <f>ROUND(SUM(D31:Z31),1)</f>
        <v>102.4</v>
      </c>
      <c r="AD31" s="260"/>
      <c r="AE31" s="1490"/>
      <c r="AF31" s="85">
        <v>121.6</v>
      </c>
      <c r="AG31" s="511"/>
      <c r="AH31" s="248"/>
      <c r="AI31" s="1111">
        <f>ROUND(SUM(+AC31-AF31),1)</f>
        <v>-19.2</v>
      </c>
      <c r="AJ31" s="1715"/>
      <c r="AK31" s="2505">
        <f t="shared" si="5"/>
        <v>-0.158</v>
      </c>
    </row>
    <row r="32" spans="1:37" ht="15" customHeight="1">
      <c r="A32" s="350"/>
      <c r="B32" s="1949" t="s">
        <v>1205</v>
      </c>
      <c r="C32" s="223"/>
      <c r="D32" s="1952">
        <v>5.2</v>
      </c>
      <c r="E32" s="1953"/>
      <c r="F32" s="1952">
        <v>2.9</v>
      </c>
      <c r="G32" s="1953"/>
      <c r="H32" s="1952">
        <v>36.6</v>
      </c>
      <c r="I32" s="260"/>
      <c r="J32" s="260">
        <v>0.2</v>
      </c>
      <c r="K32" s="260"/>
      <c r="L32" s="260">
        <v>-6.2</v>
      </c>
      <c r="M32" s="260"/>
      <c r="N32" s="260">
        <v>33.4</v>
      </c>
      <c r="O32" s="260"/>
      <c r="P32" s="2815">
        <v>-1.8</v>
      </c>
      <c r="Q32" s="260"/>
      <c r="R32" s="2815">
        <v>1</v>
      </c>
      <c r="S32" s="260"/>
      <c r="T32" s="2815">
        <v>40.700000000000003</v>
      </c>
      <c r="U32" s="260"/>
      <c r="V32" s="2815">
        <v>-0.1</v>
      </c>
      <c r="W32" s="260"/>
      <c r="X32" s="260"/>
      <c r="Y32" s="260"/>
      <c r="Z32" s="273"/>
      <c r="AA32" s="260"/>
      <c r="AB32" s="251"/>
      <c r="AC32" s="3068">
        <f>ROUND(SUM(D32:Z32),1)</f>
        <v>111.9</v>
      </c>
      <c r="AD32" s="260"/>
      <c r="AE32" s="1490"/>
      <c r="AF32" s="2427">
        <v>118.7</v>
      </c>
      <c r="AG32" s="511"/>
      <c r="AH32" s="248"/>
      <c r="AI32" s="1111">
        <f>ROUND(SUM(+AC32-AF32),1)</f>
        <v>-6.8</v>
      </c>
      <c r="AJ32" s="1715"/>
      <c r="AK32" s="2993">
        <f t="shared" si="5"/>
        <v>-5.7000000000000002E-2</v>
      </c>
    </row>
    <row r="33" spans="1:38" ht="15" customHeight="1">
      <c r="A33" s="350"/>
      <c r="B33" s="1949" t="s">
        <v>1206</v>
      </c>
      <c r="C33" s="223"/>
      <c r="D33" s="1952">
        <v>0.1</v>
      </c>
      <c r="E33" s="1953"/>
      <c r="F33" s="1952">
        <v>-12.8</v>
      </c>
      <c r="G33" s="1953"/>
      <c r="H33" s="1952">
        <v>0</v>
      </c>
      <c r="I33" s="260"/>
      <c r="J33" s="260">
        <v>3</v>
      </c>
      <c r="K33" s="260"/>
      <c r="L33" s="260">
        <v>37.799999999999997</v>
      </c>
      <c r="M33" s="260"/>
      <c r="N33" s="260">
        <v>2.9</v>
      </c>
      <c r="O33" s="260"/>
      <c r="P33" s="2815">
        <v>0.4</v>
      </c>
      <c r="Q33" s="260"/>
      <c r="R33" s="2815">
        <v>-4.2</v>
      </c>
      <c r="S33" s="260"/>
      <c r="T33" s="2815">
        <v>27.4</v>
      </c>
      <c r="U33" s="260"/>
      <c r="V33" s="2815">
        <v>11.9</v>
      </c>
      <c r="W33" s="260"/>
      <c r="X33" s="260"/>
      <c r="Y33" s="260"/>
      <c r="Z33" s="273"/>
      <c r="AA33" s="260"/>
      <c r="AB33" s="251"/>
      <c r="AC33" s="3068">
        <f>ROUND(SUM(D33:Z33),1)</f>
        <v>66.5</v>
      </c>
      <c r="AD33" s="260"/>
      <c r="AE33" s="1490"/>
      <c r="AF33" s="85">
        <v>55.1</v>
      </c>
      <c r="AG33" s="511"/>
      <c r="AH33" s="248"/>
      <c r="AI33" s="1111">
        <f>ROUND(SUM(+AC33-AF33),1)</f>
        <v>11.4</v>
      </c>
      <c r="AJ33" s="1715"/>
      <c r="AK33" s="2993">
        <f t="shared" si="5"/>
        <v>0.20699999999999999</v>
      </c>
    </row>
    <row r="34" spans="1:38" ht="15" customHeight="1">
      <c r="A34" s="350"/>
      <c r="B34" s="1949" t="s">
        <v>1207</v>
      </c>
      <c r="C34" s="223"/>
      <c r="D34" s="1952">
        <v>36.799999999999997</v>
      </c>
      <c r="E34" s="1953"/>
      <c r="F34" s="1952">
        <v>36.6</v>
      </c>
      <c r="G34" s="1953"/>
      <c r="H34" s="1952">
        <v>42.1</v>
      </c>
      <c r="I34" s="260"/>
      <c r="J34" s="260">
        <v>44.3</v>
      </c>
      <c r="K34" s="260"/>
      <c r="L34" s="260">
        <v>40.299999999999997</v>
      </c>
      <c r="M34" s="260"/>
      <c r="N34" s="260">
        <v>44.2</v>
      </c>
      <c r="O34" s="260"/>
      <c r="P34" s="2815">
        <v>40.5</v>
      </c>
      <c r="Q34" s="260"/>
      <c r="R34" s="2815">
        <v>41.2</v>
      </c>
      <c r="S34" s="260"/>
      <c r="T34" s="2815">
        <v>40.5</v>
      </c>
      <c r="U34" s="260"/>
      <c r="V34" s="2815">
        <v>41.1</v>
      </c>
      <c r="W34" s="260"/>
      <c r="X34" s="260"/>
      <c r="Y34" s="260"/>
      <c r="Z34" s="273"/>
      <c r="AA34" s="260"/>
      <c r="AB34" s="251"/>
      <c r="AC34" s="3068">
        <f>ROUND(SUM(D34:Z34),1)</f>
        <v>407.6</v>
      </c>
      <c r="AD34" s="260"/>
      <c r="AE34" s="1490"/>
      <c r="AF34" s="85">
        <v>423.6</v>
      </c>
      <c r="AG34" s="511"/>
      <c r="AH34" s="248"/>
      <c r="AI34" s="1111">
        <f>ROUND(SUM(+AC34-AF34),1)</f>
        <v>-16</v>
      </c>
      <c r="AJ34" s="1715"/>
      <c r="AK34" s="2505">
        <f t="shared" si="5"/>
        <v>-3.7999999999999999E-2</v>
      </c>
    </row>
    <row r="35" spans="1:38" s="1407" customFormat="1" ht="15" customHeight="1">
      <c r="A35" s="1931"/>
      <c r="B35" s="1950" t="s">
        <v>1332</v>
      </c>
      <c r="C35" s="221"/>
      <c r="D35" s="255">
        <f>ROUND(SUM(D30:D34),1)</f>
        <v>135.1</v>
      </c>
      <c r="E35" s="1719"/>
      <c r="F35" s="255">
        <f>ROUND(SUM(F30:F34),1)</f>
        <v>61.3</v>
      </c>
      <c r="G35" s="1719"/>
      <c r="H35" s="255">
        <f>ROUND(SUM(H30:H34),1)</f>
        <v>206.1</v>
      </c>
      <c r="I35" s="1719"/>
      <c r="J35" s="255">
        <f t="shared" ref="J35" si="6">ROUND(SUM(J30:J34),1)</f>
        <v>75.2</v>
      </c>
      <c r="K35" s="1719"/>
      <c r="L35" s="255">
        <f>ROUND(SUM(L30:L34),1)</f>
        <v>98</v>
      </c>
      <c r="M35" s="1719"/>
      <c r="N35" s="255">
        <f>ROUND(SUM(N30:N34),1)</f>
        <v>213.4</v>
      </c>
      <c r="O35" s="1719"/>
      <c r="P35" s="255">
        <f>ROUND(SUM(P30:P34),1)</f>
        <v>64.3</v>
      </c>
      <c r="Q35" s="1719"/>
      <c r="R35" s="255">
        <f>ROUND(SUM(R30:R34),1)</f>
        <v>80.7</v>
      </c>
      <c r="S35" s="1719"/>
      <c r="T35" s="255">
        <f>ROUND(SUM(T30:T34),1)</f>
        <v>275.8</v>
      </c>
      <c r="U35" s="1719"/>
      <c r="V35" s="255">
        <f>ROUND(SUM(V30:V34),1)</f>
        <v>99.1</v>
      </c>
      <c r="W35" s="1719"/>
      <c r="X35" s="255">
        <f>ROUND(SUM(X30:X34),1)</f>
        <v>0</v>
      </c>
      <c r="Y35" s="1719"/>
      <c r="Z35" s="255">
        <f>ROUND(SUM(Z30:Z34),1)</f>
        <v>0</v>
      </c>
      <c r="AA35" s="1719"/>
      <c r="AB35" s="737"/>
      <c r="AC35" s="255">
        <f>ROUND(SUM(AC30:AC34),1)</f>
        <v>1309</v>
      </c>
      <c r="AD35" s="1719"/>
      <c r="AE35" s="1756"/>
      <c r="AF35" s="255">
        <f>ROUND(SUM(AF30:AF34),1)</f>
        <v>1277</v>
      </c>
      <c r="AG35" s="518"/>
      <c r="AH35" s="272"/>
      <c r="AI35" s="255">
        <f>ROUND(SUM(AI30:AI34),1)</f>
        <v>32</v>
      </c>
      <c r="AJ35" s="410"/>
      <c r="AK35" s="2540">
        <f t="shared" si="5"/>
        <v>2.5000000000000001E-2</v>
      </c>
    </row>
    <row r="36" spans="1:38" ht="15" customHeight="1">
      <c r="A36" s="350"/>
      <c r="B36" s="2203" t="s">
        <v>1182</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0"/>
      <c r="AF36" s="260"/>
      <c r="AG36" s="511"/>
      <c r="AH36" s="248"/>
      <c r="AI36" s="1111"/>
      <c r="AJ36" s="1715"/>
      <c r="AK36" s="1715"/>
    </row>
    <row r="37" spans="1:38" ht="15" customHeight="1">
      <c r="A37" s="350"/>
      <c r="B37" s="1951" t="s">
        <v>1215</v>
      </c>
      <c r="C37" s="223"/>
      <c r="D37" s="1952">
        <v>120.2</v>
      </c>
      <c r="E37" s="1953"/>
      <c r="F37" s="1952">
        <v>106.9</v>
      </c>
      <c r="G37" s="1953"/>
      <c r="H37" s="1952">
        <v>106.2</v>
      </c>
      <c r="I37" s="260"/>
      <c r="J37" s="260">
        <v>98.2</v>
      </c>
      <c r="K37" s="260"/>
      <c r="L37" s="260">
        <v>105.7</v>
      </c>
      <c r="M37" s="260"/>
      <c r="N37" s="260">
        <v>99.3</v>
      </c>
      <c r="O37" s="260"/>
      <c r="P37" s="1142">
        <v>118</v>
      </c>
      <c r="Q37" s="260"/>
      <c r="R37" s="2815">
        <v>90.6</v>
      </c>
      <c r="S37" s="260"/>
      <c r="T37" s="1262">
        <v>117.5</v>
      </c>
      <c r="U37" s="260"/>
      <c r="V37" s="1262">
        <v>203.6</v>
      </c>
      <c r="W37" s="260"/>
      <c r="X37" s="260"/>
      <c r="Y37" s="260"/>
      <c r="Z37" s="273"/>
      <c r="AA37" s="260"/>
      <c r="AB37" s="251"/>
      <c r="AC37" s="1955">
        <f>ROUND(SUM(D37:Z37),1)</f>
        <v>1166.2</v>
      </c>
      <c r="AD37" s="1960"/>
      <c r="AE37" s="1961"/>
      <c r="AF37" s="2427">
        <v>1105.0999999999999</v>
      </c>
      <c r="AG37" s="511"/>
      <c r="AH37" s="248"/>
      <c r="AI37" s="1111">
        <f>ROUND(SUM(+AC37-AF37),1)</f>
        <v>61.1</v>
      </c>
      <c r="AJ37" s="1715"/>
      <c r="AK37" s="2582">
        <f>ROUND(IF(AF37=0,0,AI37/ABS(AF37)),3)</f>
        <v>5.5E-2</v>
      </c>
    </row>
    <row r="38" spans="1:38" s="1407" customFormat="1" ht="15" customHeight="1">
      <c r="A38" s="1931"/>
      <c r="B38" s="1950" t="s">
        <v>1333</v>
      </c>
      <c r="C38" s="221"/>
      <c r="D38" s="255">
        <f>ROUND(SUM(D37:D37),1)</f>
        <v>120.2</v>
      </c>
      <c r="E38" s="1719"/>
      <c r="F38" s="255">
        <f>ROUND(SUM(F37:F37),1)</f>
        <v>106.9</v>
      </c>
      <c r="G38" s="1719"/>
      <c r="H38" s="255">
        <f>ROUND(SUM(H37:H37),1)</f>
        <v>106.2</v>
      </c>
      <c r="I38" s="1719"/>
      <c r="J38" s="480">
        <f t="shared" ref="J38" si="7">ROUND(SUM(J37:J37),1)</f>
        <v>98.2</v>
      </c>
      <c r="K38" s="1719"/>
      <c r="L38" s="255">
        <f>ROUND(SUM(L37:L37),1)</f>
        <v>105.7</v>
      </c>
      <c r="M38" s="1719"/>
      <c r="N38" s="255">
        <f>ROUND(SUM(N37:N37),1)</f>
        <v>99.3</v>
      </c>
      <c r="O38" s="1719"/>
      <c r="P38" s="255">
        <f>ROUND(SUM(P37:P37),1)</f>
        <v>118</v>
      </c>
      <c r="Q38" s="1719"/>
      <c r="R38" s="255">
        <f>ROUND(SUM(R37:R37),1)</f>
        <v>90.6</v>
      </c>
      <c r="S38" s="1719"/>
      <c r="T38" s="255">
        <f>ROUND(SUM(T37:T37),1)</f>
        <v>117.5</v>
      </c>
      <c r="U38" s="1719"/>
      <c r="V38" s="255">
        <f>ROUND(SUM(V37:V37),1)</f>
        <v>203.6</v>
      </c>
      <c r="W38" s="1719"/>
      <c r="X38" s="255">
        <f>ROUND(SUM(X37:X37),1)</f>
        <v>0</v>
      </c>
      <c r="Y38" s="1719"/>
      <c r="Z38" s="255">
        <f>ROUND(SUM(Z37:Z37),1)</f>
        <v>0</v>
      </c>
      <c r="AA38" s="1719"/>
      <c r="AB38" s="737"/>
      <c r="AC38" s="255">
        <f>ROUND(SUM(AC37:AC37),1)</f>
        <v>1166.2</v>
      </c>
      <c r="AD38" s="1719"/>
      <c r="AE38" s="1756"/>
      <c r="AF38" s="255">
        <f>ROUND(SUM(AF37:AF37),1)</f>
        <v>1105.0999999999999</v>
      </c>
      <c r="AG38" s="518"/>
      <c r="AH38" s="272"/>
      <c r="AI38" s="255">
        <f>ROUND(SUM(AI37:AI37),1)</f>
        <v>61.1</v>
      </c>
      <c r="AJ38" s="410"/>
      <c r="AK38" s="2577">
        <f>ROUND(IF(AF38=0,0,AI38/ABS(AF38)),3)</f>
        <v>5.5E-2</v>
      </c>
    </row>
    <row r="39" spans="1:38" ht="15" customHeight="1">
      <c r="A39" s="350"/>
      <c r="B39" s="1950"/>
      <c r="C39" s="223"/>
      <c r="D39" s="260"/>
      <c r="E39" s="260"/>
      <c r="F39" s="260"/>
      <c r="G39" s="260"/>
      <c r="H39" s="260"/>
      <c r="I39" s="260"/>
      <c r="J39" s="3463"/>
      <c r="K39" s="260"/>
      <c r="L39" s="260"/>
      <c r="M39" s="260"/>
      <c r="N39" s="260"/>
      <c r="O39" s="260"/>
      <c r="P39" s="260"/>
      <c r="Q39" s="260"/>
      <c r="R39" s="260"/>
      <c r="S39" s="260"/>
      <c r="T39" s="260"/>
      <c r="U39" s="260"/>
      <c r="V39" s="260"/>
      <c r="W39" s="260"/>
      <c r="X39" s="260"/>
      <c r="Y39" s="260"/>
      <c r="Z39" s="260"/>
      <c r="AA39" s="260"/>
      <c r="AB39" s="1490"/>
      <c r="AC39" s="248"/>
      <c r="AD39" s="260"/>
      <c r="AE39" s="1490"/>
      <c r="AF39" s="248"/>
      <c r="AG39" s="511"/>
      <c r="AH39" s="248"/>
      <c r="AI39" s="1111"/>
      <c r="AJ39" s="1715"/>
      <c r="AK39" s="2576"/>
    </row>
    <row r="40" spans="1:38" ht="15" customHeight="1">
      <c r="A40" s="350"/>
      <c r="B40" s="583" t="s">
        <v>1178</v>
      </c>
      <c r="C40" s="223"/>
      <c r="D40" s="1911">
        <f>ROUND(SUM(D17+D28+D35+D38),1)</f>
        <v>437.8</v>
      </c>
      <c r="E40" s="260"/>
      <c r="F40" s="1911">
        <f>ROUND(SUM(F17+F28+F35+F38),1)</f>
        <v>325.60000000000002</v>
      </c>
      <c r="G40" s="260"/>
      <c r="H40" s="1911">
        <f>ROUND(SUM(H17+H28+H35+H38),1)</f>
        <v>553.20000000000005</v>
      </c>
      <c r="I40" s="260"/>
      <c r="J40" s="2172">
        <f t="shared" ref="J40" si="8">ROUND(SUM(J17+J28+J35+J38),1)</f>
        <v>344.6</v>
      </c>
      <c r="K40" s="260"/>
      <c r="L40" s="1911">
        <f>ROUND(SUM(L17+L28+L35+L38),1)</f>
        <v>372.6</v>
      </c>
      <c r="M40" s="260"/>
      <c r="N40" s="1911">
        <f>ROUND(SUM(N17+N28+N35+N38),1)</f>
        <v>491.6</v>
      </c>
      <c r="O40" s="260"/>
      <c r="P40" s="1911">
        <f>ROUND(SUM(P17+P28+P35+P38),1)</f>
        <v>359.6</v>
      </c>
      <c r="Q40" s="260"/>
      <c r="R40" s="1911">
        <f>ROUND(SUM(R17+R28+R35+R38),1)</f>
        <v>343</v>
      </c>
      <c r="S40" s="260"/>
      <c r="T40" s="1911">
        <f>ROUND(SUM(T17+T28+T35+T38),1)</f>
        <v>659.5</v>
      </c>
      <c r="U40" s="260"/>
      <c r="V40" s="1911">
        <f>ROUND(SUM(V17+V28+V35+V38),1)</f>
        <v>2889.3</v>
      </c>
      <c r="W40" s="260"/>
      <c r="X40" s="1911">
        <f>ROUND(SUM(X17+X28+X35+X38),1)</f>
        <v>0</v>
      </c>
      <c r="Y40" s="260"/>
      <c r="Z40" s="1911">
        <f>ROUND(SUM(Z17+Z28+Z35+Z38),1)</f>
        <v>0</v>
      </c>
      <c r="AA40" s="260"/>
      <c r="AB40" s="249"/>
      <c r="AC40" s="1911">
        <f>ROUND(SUM(AC17+AC28+AC35+AC38),1)</f>
        <v>6776.8</v>
      </c>
      <c r="AD40" s="260"/>
      <c r="AE40" s="249"/>
      <c r="AF40" s="1911">
        <f>ROUND(SUM(AF17+AF28+AF35+AF38),1)</f>
        <v>7021.4</v>
      </c>
      <c r="AG40" s="515"/>
      <c r="AH40" s="248"/>
      <c r="AI40" s="1911">
        <f>ROUND(SUM(AI17+AI28+AI35+AI38),1)</f>
        <v>-244.6</v>
      </c>
      <c r="AJ40" s="1111"/>
      <c r="AK40" s="2589">
        <f>ROUND(IF(AF40=0,0,AI40/ABS(AF40)),3)</f>
        <v>-3.5000000000000003E-2</v>
      </c>
      <c r="AL40" s="1460"/>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1"/>
      <c r="AJ41" s="1111"/>
      <c r="AK41" s="2574"/>
      <c r="AL41" s="1460"/>
    </row>
    <row r="42" spans="1:38" ht="15" customHeight="1">
      <c r="A42" s="350"/>
      <c r="B42" s="486" t="s">
        <v>1128</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1"/>
      <c r="AJ42" s="1111"/>
      <c r="AK42" s="2574"/>
      <c r="AL42" s="1460"/>
    </row>
    <row r="43" spans="1:38" ht="15" customHeight="1">
      <c r="A43" s="350"/>
      <c r="B43" s="1669" t="s">
        <v>1237</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1"/>
      <c r="AJ43" s="1111"/>
      <c r="AK43" s="2574"/>
      <c r="AL43" s="1460"/>
    </row>
    <row r="44" spans="1:38" ht="15" customHeight="1">
      <c r="A44" s="350"/>
      <c r="B44" s="1669" t="s">
        <v>1145</v>
      </c>
      <c r="C44" s="223"/>
      <c r="D44" s="316">
        <v>0.7</v>
      </c>
      <c r="E44" s="316"/>
      <c r="F44" s="316">
        <v>1.3</v>
      </c>
      <c r="G44" s="316"/>
      <c r="H44" s="316">
        <v>0.8</v>
      </c>
      <c r="I44" s="316"/>
      <c r="J44" s="316">
        <v>0.9</v>
      </c>
      <c r="K44" s="260"/>
      <c r="L44" s="316">
        <v>0.8</v>
      </c>
      <c r="M44" s="260"/>
      <c r="N44" s="316">
        <v>0.8</v>
      </c>
      <c r="O44" s="260"/>
      <c r="P44" s="316">
        <v>0.9</v>
      </c>
      <c r="Q44" s="260"/>
      <c r="R44" s="316">
        <v>1.1000000000000001</v>
      </c>
      <c r="S44" s="260"/>
      <c r="T44" s="316">
        <v>0.8</v>
      </c>
      <c r="U44" s="260"/>
      <c r="V44" s="316">
        <v>0.8</v>
      </c>
      <c r="W44" s="260"/>
      <c r="X44" s="273"/>
      <c r="Y44" s="260"/>
      <c r="Z44" s="273"/>
      <c r="AA44" s="260"/>
      <c r="AB44" s="249"/>
      <c r="AC44" s="316">
        <f>ROUND(SUM(D44:Z44),1)</f>
        <v>8.9</v>
      </c>
      <c r="AD44" s="260"/>
      <c r="AE44" s="251"/>
      <c r="AF44" s="260">
        <v>8.5</v>
      </c>
      <c r="AG44" s="511"/>
      <c r="AH44" s="248"/>
      <c r="AI44" s="1111">
        <f t="shared" ref="AI44:AI81" si="9">ROUND(SUM(+AC44-AF44),1)</f>
        <v>0.4</v>
      </c>
      <c r="AJ44" s="1111"/>
      <c r="AK44" s="2574">
        <f>ROUND(IF(AF44=0,0,AI44/ABS(AF44)),3)</f>
        <v>4.7E-2</v>
      </c>
      <c r="AL44" s="1460"/>
    </row>
    <row r="45" spans="1:38" ht="15" customHeight="1">
      <c r="A45" s="350"/>
      <c r="B45" s="1669" t="s">
        <v>1238</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1"/>
      <c r="AJ45" s="1111"/>
      <c r="AK45" s="2574"/>
      <c r="AL45" s="1460"/>
    </row>
    <row r="46" spans="1:38" ht="15" customHeight="1">
      <c r="A46" s="350"/>
      <c r="B46" s="1669" t="s">
        <v>1147</v>
      </c>
      <c r="C46" s="223"/>
      <c r="D46" s="273">
        <v>14.4</v>
      </c>
      <c r="E46" s="260"/>
      <c r="F46" s="273">
        <v>28.7</v>
      </c>
      <c r="G46" s="260"/>
      <c r="H46" s="260">
        <v>84.4</v>
      </c>
      <c r="I46" s="260"/>
      <c r="J46" s="273">
        <v>11.1</v>
      </c>
      <c r="K46" s="260"/>
      <c r="L46" s="273">
        <v>52.4</v>
      </c>
      <c r="M46" s="260"/>
      <c r="N46" s="273">
        <v>108.5</v>
      </c>
      <c r="O46" s="260"/>
      <c r="P46" s="273">
        <v>6.5</v>
      </c>
      <c r="Q46" s="260"/>
      <c r="R46" s="273">
        <v>6.9</v>
      </c>
      <c r="S46" s="260"/>
      <c r="T46" s="273">
        <v>184.9</v>
      </c>
      <c r="U46" s="260"/>
      <c r="V46" s="273">
        <v>46.5</v>
      </c>
      <c r="W46" s="260"/>
      <c r="X46" s="273"/>
      <c r="Y46" s="260"/>
      <c r="Z46" s="273"/>
      <c r="AA46" s="260"/>
      <c r="AB46" s="249"/>
      <c r="AC46" s="316">
        <f>ROUND(SUM(D46:Z46),1)</f>
        <v>544.29999999999995</v>
      </c>
      <c r="AD46" s="260"/>
      <c r="AE46" s="251"/>
      <c r="AF46" s="260">
        <v>474.6</v>
      </c>
      <c r="AG46" s="511"/>
      <c r="AH46" s="248"/>
      <c r="AI46" s="1111">
        <f t="shared" si="9"/>
        <v>69.7</v>
      </c>
      <c r="AJ46" s="1111"/>
      <c r="AK46" s="2574">
        <f>ROUND(IF(AF46=0,0,AI46/ABS(AF46)),3)</f>
        <v>0.14699999999999999</v>
      </c>
      <c r="AL46" s="1460"/>
    </row>
    <row r="47" spans="1:38" ht="15" customHeight="1">
      <c r="A47" s="350"/>
      <c r="B47" s="1669" t="s">
        <v>1148</v>
      </c>
      <c r="C47" s="223"/>
      <c r="D47" s="273">
        <v>460.4</v>
      </c>
      <c r="E47" s="260"/>
      <c r="F47" s="273">
        <v>457.9</v>
      </c>
      <c r="G47" s="260"/>
      <c r="H47" s="260">
        <v>453.1</v>
      </c>
      <c r="I47" s="260"/>
      <c r="J47" s="273">
        <v>538.20000000000005</v>
      </c>
      <c r="K47" s="260"/>
      <c r="L47" s="273">
        <v>500.8</v>
      </c>
      <c r="M47" s="260"/>
      <c r="N47" s="273">
        <v>475.5</v>
      </c>
      <c r="O47" s="260"/>
      <c r="P47" s="273">
        <v>500.9</v>
      </c>
      <c r="Q47" s="260"/>
      <c r="R47" s="273">
        <v>466.7</v>
      </c>
      <c r="S47" s="260"/>
      <c r="T47" s="273">
        <v>528</v>
      </c>
      <c r="U47" s="260"/>
      <c r="V47" s="273">
        <v>487.6</v>
      </c>
      <c r="W47" s="260"/>
      <c r="X47" s="273"/>
      <c r="Y47" s="260"/>
      <c r="Z47" s="273"/>
      <c r="AA47" s="260"/>
      <c r="AB47" s="249"/>
      <c r="AC47" s="316">
        <f>ROUND(SUM(D47:Z47),1)</f>
        <v>4869.1000000000004</v>
      </c>
      <c r="AD47" s="260"/>
      <c r="AE47" s="251"/>
      <c r="AF47" s="2800">
        <v>4592.3999999999996</v>
      </c>
      <c r="AG47" s="511"/>
      <c r="AH47" s="248"/>
      <c r="AI47" s="1111">
        <f t="shared" si="9"/>
        <v>276.7</v>
      </c>
      <c r="AJ47" s="1111"/>
      <c r="AK47" s="2574">
        <f>ROUND(IF(AF47=0,0,AI47/ABS(AF47)),3)</f>
        <v>0.06</v>
      </c>
      <c r="AL47" s="1460"/>
    </row>
    <row r="48" spans="1:38" ht="15" customHeight="1">
      <c r="A48" s="350"/>
      <c r="B48" s="1669" t="s">
        <v>1149</v>
      </c>
      <c r="C48" s="223"/>
      <c r="D48" s="273">
        <v>1.4</v>
      </c>
      <c r="E48" s="260"/>
      <c r="F48" s="273">
        <v>0</v>
      </c>
      <c r="G48" s="260"/>
      <c r="H48" s="260">
        <v>0.7</v>
      </c>
      <c r="I48" s="260"/>
      <c r="J48" s="273">
        <v>0.1</v>
      </c>
      <c r="K48" s="260"/>
      <c r="L48" s="273">
        <v>0.4</v>
      </c>
      <c r="M48" s="260"/>
      <c r="N48" s="273">
        <v>45.9</v>
      </c>
      <c r="O48" s="260"/>
      <c r="P48" s="273">
        <v>-9.6</v>
      </c>
      <c r="Q48" s="260"/>
      <c r="R48" s="273">
        <v>0.3</v>
      </c>
      <c r="S48" s="260"/>
      <c r="T48" s="273">
        <v>0.6</v>
      </c>
      <c r="U48" s="260"/>
      <c r="V48" s="273">
        <v>0</v>
      </c>
      <c r="W48" s="260"/>
      <c r="X48" s="273"/>
      <c r="Y48" s="260"/>
      <c r="Z48" s="273"/>
      <c r="AA48" s="260"/>
      <c r="AB48" s="249"/>
      <c r="AC48" s="316">
        <f>ROUND(SUM(D48:Z48),1)</f>
        <v>39.799999999999997</v>
      </c>
      <c r="AD48" s="260"/>
      <c r="AE48" s="251"/>
      <c r="AF48" s="260">
        <v>34.5</v>
      </c>
      <c r="AG48" s="511"/>
      <c r="AH48" s="248"/>
      <c r="AI48" s="1111">
        <f t="shared" si="9"/>
        <v>5.3</v>
      </c>
      <c r="AJ48" s="1111"/>
      <c r="AK48" s="2574">
        <f>ROUND(IF(AF48=0,0,AI48/ABS(AF48)),3)</f>
        <v>0.154</v>
      </c>
      <c r="AL48" s="1460"/>
    </row>
    <row r="49" spans="1:38" ht="15" customHeight="1">
      <c r="A49" s="350"/>
      <c r="B49" s="1669" t="s">
        <v>1150</v>
      </c>
      <c r="C49" s="223"/>
      <c r="D49" s="273">
        <v>0.9</v>
      </c>
      <c r="E49" s="260"/>
      <c r="F49" s="273">
        <v>-0.2</v>
      </c>
      <c r="G49" s="260"/>
      <c r="H49" s="260">
        <v>1.2</v>
      </c>
      <c r="I49" s="260"/>
      <c r="J49" s="273">
        <v>5.7</v>
      </c>
      <c r="K49" s="260"/>
      <c r="L49" s="273">
        <v>0</v>
      </c>
      <c r="M49" s="260"/>
      <c r="N49" s="273">
        <v>0.1</v>
      </c>
      <c r="O49" s="260"/>
      <c r="P49" s="273">
        <v>-5.6</v>
      </c>
      <c r="Q49" s="260"/>
      <c r="R49" s="273">
        <v>0</v>
      </c>
      <c r="S49" s="260"/>
      <c r="T49" s="273">
        <v>-0.7</v>
      </c>
      <c r="U49" s="260"/>
      <c r="V49" s="273">
        <v>-7.3</v>
      </c>
      <c r="W49" s="260"/>
      <c r="X49" s="273"/>
      <c r="Y49" s="260"/>
      <c r="Z49" s="273"/>
      <c r="AA49" s="260"/>
      <c r="AB49" s="249"/>
      <c r="AC49" s="316">
        <f>ROUND(SUM(D49:Z49),1)</f>
        <v>-5.9</v>
      </c>
      <c r="AD49" s="260"/>
      <c r="AE49" s="251"/>
      <c r="AF49" s="260">
        <v>173.9</v>
      </c>
      <c r="AG49" s="511"/>
      <c r="AH49" s="248"/>
      <c r="AI49" s="1111">
        <f t="shared" si="9"/>
        <v>-179.8</v>
      </c>
      <c r="AJ49" s="1111"/>
      <c r="AK49" s="2574">
        <f>ROUND(IF(AF49=0,0,AI49/ABS(AF49)),3)</f>
        <v>-1.034</v>
      </c>
      <c r="AL49" s="1460"/>
    </row>
    <row r="50" spans="1:38" ht="15" customHeight="1">
      <c r="A50" s="350"/>
      <c r="B50" s="1669" t="s">
        <v>1242</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55"/>
      <c r="AG50" s="511"/>
      <c r="AH50" s="248"/>
      <c r="AI50" s="1111"/>
      <c r="AJ50" s="1111"/>
      <c r="AK50" s="2574"/>
      <c r="AL50" s="1460"/>
    </row>
    <row r="51" spans="1:38" ht="15" customHeight="1">
      <c r="A51" s="350"/>
      <c r="B51" s="1669" t="s">
        <v>1353</v>
      </c>
      <c r="C51" s="223"/>
      <c r="D51" s="273">
        <v>0</v>
      </c>
      <c r="E51" s="260"/>
      <c r="F51" s="273">
        <v>0.8</v>
      </c>
      <c r="G51" s="260"/>
      <c r="H51" s="260">
        <v>1.1000000000000001</v>
      </c>
      <c r="I51" s="260"/>
      <c r="J51" s="273">
        <v>0</v>
      </c>
      <c r="K51" s="260"/>
      <c r="L51" s="273">
        <v>0.1</v>
      </c>
      <c r="M51" s="260"/>
      <c r="N51" s="273">
        <v>0</v>
      </c>
      <c r="O51" s="260"/>
      <c r="P51" s="273">
        <v>0</v>
      </c>
      <c r="Q51" s="260"/>
      <c r="R51" s="273">
        <v>0</v>
      </c>
      <c r="S51" s="260"/>
      <c r="T51" s="273">
        <v>0</v>
      </c>
      <c r="U51" s="260"/>
      <c r="V51" s="273">
        <v>0</v>
      </c>
      <c r="W51" s="260"/>
      <c r="X51" s="273"/>
      <c r="Y51" s="260"/>
      <c r="Z51" s="273"/>
      <c r="AA51" s="260"/>
      <c r="AB51" s="249"/>
      <c r="AC51" s="316">
        <f t="shared" ref="AC51:AC57" si="10">ROUND(SUM(D51:Z51),1)</f>
        <v>2</v>
      </c>
      <c r="AD51" s="260"/>
      <c r="AE51" s="251"/>
      <c r="AF51" s="2955">
        <v>2.2000000000000002</v>
      </c>
      <c r="AG51" s="511"/>
      <c r="AH51" s="248"/>
      <c r="AI51" s="2800">
        <f>ROUND(SUM(+AC51-AF51),1)</f>
        <v>-0.2</v>
      </c>
      <c r="AJ51" s="2800"/>
      <c r="AK51" s="2582">
        <f>ROUND(IF(AF51=0,0,AI51/ABS(AF51)),3)</f>
        <v>-9.0999999999999998E-2</v>
      </c>
      <c r="AL51" s="1460"/>
    </row>
    <row r="52" spans="1:38" ht="15" customHeight="1">
      <c r="A52" s="350"/>
      <c r="B52" s="1669" t="s">
        <v>1151</v>
      </c>
      <c r="C52" s="223"/>
      <c r="D52" s="273">
        <v>46.3</v>
      </c>
      <c r="E52" s="260"/>
      <c r="F52" s="273">
        <v>32.799999999999997</v>
      </c>
      <c r="G52" s="260"/>
      <c r="H52" s="260">
        <v>83.8</v>
      </c>
      <c r="I52" s="260"/>
      <c r="J52" s="273">
        <v>41.1</v>
      </c>
      <c r="K52" s="260"/>
      <c r="L52" s="273">
        <v>43.4</v>
      </c>
      <c r="M52" s="260"/>
      <c r="N52" s="273">
        <v>75.099999999999994</v>
      </c>
      <c r="O52" s="260"/>
      <c r="P52" s="273">
        <v>51.3</v>
      </c>
      <c r="Q52" s="260"/>
      <c r="R52" s="273">
        <v>53.8</v>
      </c>
      <c r="S52" s="260"/>
      <c r="T52" s="1262">
        <v>63.3</v>
      </c>
      <c r="U52" s="260"/>
      <c r="V52" s="1262">
        <v>40.9</v>
      </c>
      <c r="W52" s="260"/>
      <c r="X52" s="273"/>
      <c r="Y52" s="260"/>
      <c r="Z52" s="273"/>
      <c r="AA52" s="260"/>
      <c r="AB52" s="249"/>
      <c r="AC52" s="316">
        <f t="shared" si="10"/>
        <v>531.79999999999995</v>
      </c>
      <c r="AD52" s="260"/>
      <c r="AE52" s="251"/>
      <c r="AF52" s="260">
        <v>553.5</v>
      </c>
      <c r="AG52" s="511"/>
      <c r="AH52" s="248"/>
      <c r="AI52" s="1111">
        <f t="shared" si="9"/>
        <v>-21.7</v>
      </c>
      <c r="AJ52" s="1111"/>
      <c r="AK52" s="2574">
        <f t="shared" ref="AK52:AK57" si="11">ROUND(IF(AF52=0,0,AI52/ABS(AF52)),3)</f>
        <v>-3.9E-2</v>
      </c>
      <c r="AL52" s="1460"/>
    </row>
    <row r="53" spans="1:38" ht="15" customHeight="1">
      <c r="A53" s="350"/>
      <c r="B53" s="1669" t="s">
        <v>1152</v>
      </c>
      <c r="C53" s="223"/>
      <c r="D53" s="273">
        <v>4.9000000000000004</v>
      </c>
      <c r="E53" s="260"/>
      <c r="F53" s="273">
        <v>4.2</v>
      </c>
      <c r="G53" s="260"/>
      <c r="H53" s="260">
        <v>5.0999999999999996</v>
      </c>
      <c r="I53" s="260"/>
      <c r="J53" s="273">
        <v>4.0999999999999996</v>
      </c>
      <c r="K53" s="260"/>
      <c r="L53" s="273">
        <v>5.5</v>
      </c>
      <c r="M53" s="260"/>
      <c r="N53" s="273">
        <v>5.5</v>
      </c>
      <c r="O53" s="260"/>
      <c r="P53" s="273">
        <v>4.9000000000000004</v>
      </c>
      <c r="Q53" s="260"/>
      <c r="R53" s="273">
        <v>5.5</v>
      </c>
      <c r="S53" s="260"/>
      <c r="T53" s="273">
        <v>4.2</v>
      </c>
      <c r="U53" s="260"/>
      <c r="V53" s="273">
        <v>4</v>
      </c>
      <c r="W53" s="260"/>
      <c r="X53" s="273"/>
      <c r="Y53" s="260"/>
      <c r="Z53" s="273"/>
      <c r="AA53" s="260"/>
      <c r="AB53" s="249"/>
      <c r="AC53" s="316">
        <f t="shared" si="10"/>
        <v>47.9</v>
      </c>
      <c r="AD53" s="260"/>
      <c r="AE53" s="251"/>
      <c r="AF53" s="260">
        <v>48.1</v>
      </c>
      <c r="AG53" s="511"/>
      <c r="AH53" s="248"/>
      <c r="AI53" s="1111">
        <f t="shared" si="9"/>
        <v>-0.2</v>
      </c>
      <c r="AJ53" s="1111"/>
      <c r="AK53" s="2574">
        <f t="shared" si="11"/>
        <v>-4.0000000000000001E-3</v>
      </c>
      <c r="AL53" s="1460"/>
    </row>
    <row r="54" spans="1:38" ht="15" customHeight="1">
      <c r="A54" s="350"/>
      <c r="B54" s="1669" t="s">
        <v>1153</v>
      </c>
      <c r="C54" s="223"/>
      <c r="D54" s="273">
        <v>0</v>
      </c>
      <c r="E54" s="260"/>
      <c r="F54" s="273">
        <v>1.5</v>
      </c>
      <c r="G54" s="260"/>
      <c r="H54" s="260">
        <v>0.4</v>
      </c>
      <c r="I54" s="260"/>
      <c r="J54" s="273">
        <v>0</v>
      </c>
      <c r="K54" s="260"/>
      <c r="L54" s="273">
        <v>0.6</v>
      </c>
      <c r="M54" s="260"/>
      <c r="N54" s="273">
        <v>1.6</v>
      </c>
      <c r="O54" s="260"/>
      <c r="P54" s="273">
        <v>0.8</v>
      </c>
      <c r="Q54" s="260"/>
      <c r="R54" s="273">
        <v>0.3</v>
      </c>
      <c r="S54" s="260"/>
      <c r="T54" s="273">
        <v>1.2</v>
      </c>
      <c r="U54" s="260"/>
      <c r="V54" s="273">
        <v>0.3</v>
      </c>
      <c r="W54" s="260"/>
      <c r="X54" s="273"/>
      <c r="Y54" s="260"/>
      <c r="Z54" s="273"/>
      <c r="AA54" s="260"/>
      <c r="AB54" s="249"/>
      <c r="AC54" s="316">
        <f t="shared" si="10"/>
        <v>6.7</v>
      </c>
      <c r="AD54" s="260"/>
      <c r="AE54" s="251"/>
      <c r="AF54" s="260">
        <v>6.9</v>
      </c>
      <c r="AG54" s="511"/>
      <c r="AH54" s="248"/>
      <c r="AI54" s="1111">
        <f t="shared" si="9"/>
        <v>-0.2</v>
      </c>
      <c r="AJ54" s="1111"/>
      <c r="AK54" s="2574">
        <f t="shared" si="11"/>
        <v>-2.9000000000000001E-2</v>
      </c>
      <c r="AL54" s="1460"/>
    </row>
    <row r="55" spans="1:38" ht="15" customHeight="1">
      <c r="A55" s="350"/>
      <c r="B55" s="1669" t="s">
        <v>1154</v>
      </c>
      <c r="C55" s="223"/>
      <c r="D55" s="273">
        <v>42.9</v>
      </c>
      <c r="E55" s="260"/>
      <c r="F55" s="273">
        <v>42</v>
      </c>
      <c r="G55" s="260"/>
      <c r="H55" s="260">
        <v>49.3</v>
      </c>
      <c r="I55" s="260"/>
      <c r="J55" s="273">
        <v>42.6</v>
      </c>
      <c r="K55" s="260"/>
      <c r="L55" s="273">
        <v>30.5</v>
      </c>
      <c r="M55" s="260"/>
      <c r="N55" s="273">
        <v>47.8</v>
      </c>
      <c r="O55" s="260"/>
      <c r="P55" s="273">
        <v>43.4</v>
      </c>
      <c r="Q55" s="260"/>
      <c r="R55" s="273">
        <v>44.7</v>
      </c>
      <c r="S55" s="260"/>
      <c r="T55" s="273">
        <v>37.700000000000003</v>
      </c>
      <c r="U55" s="260"/>
      <c r="V55" s="273">
        <v>32.6</v>
      </c>
      <c r="W55" s="260"/>
      <c r="X55" s="317"/>
      <c r="Y55" s="260"/>
      <c r="Z55" s="273"/>
      <c r="AA55" s="260"/>
      <c r="AB55" s="249"/>
      <c r="AC55" s="316">
        <f t="shared" si="10"/>
        <v>413.5</v>
      </c>
      <c r="AD55" s="260"/>
      <c r="AE55" s="251"/>
      <c r="AF55" s="260">
        <v>400.5</v>
      </c>
      <c r="AG55" s="511"/>
      <c r="AH55" s="248"/>
      <c r="AI55" s="1111">
        <f t="shared" si="9"/>
        <v>13</v>
      </c>
      <c r="AJ55" s="1111"/>
      <c r="AK55" s="2574">
        <f t="shared" si="11"/>
        <v>3.2000000000000001E-2</v>
      </c>
      <c r="AL55" s="1460"/>
    </row>
    <row r="56" spans="1:38" ht="15" customHeight="1">
      <c r="A56" s="350"/>
      <c r="B56" s="1669" t="s">
        <v>1155</v>
      </c>
      <c r="C56" s="223"/>
      <c r="D56" s="273">
        <v>42.5</v>
      </c>
      <c r="E56" s="260"/>
      <c r="F56" s="317">
        <v>48.9</v>
      </c>
      <c r="G56" s="260"/>
      <c r="H56" s="260">
        <v>39</v>
      </c>
      <c r="I56" s="260"/>
      <c r="J56" s="273">
        <v>51.5</v>
      </c>
      <c r="K56" s="260"/>
      <c r="L56" s="273">
        <v>74</v>
      </c>
      <c r="M56" s="260"/>
      <c r="N56" s="273">
        <v>90.9</v>
      </c>
      <c r="O56" s="260"/>
      <c r="P56" s="273">
        <v>69.7</v>
      </c>
      <c r="Q56" s="260"/>
      <c r="R56" s="273">
        <v>65.599999999999994</v>
      </c>
      <c r="S56" s="260"/>
      <c r="T56" s="273">
        <v>41.2</v>
      </c>
      <c r="U56" s="260"/>
      <c r="V56" s="273">
        <v>79.599999999999994</v>
      </c>
      <c r="W56" s="260"/>
      <c r="X56" s="317"/>
      <c r="Y56" s="260"/>
      <c r="Z56" s="273"/>
      <c r="AA56" s="260"/>
      <c r="AB56" s="249"/>
      <c r="AC56" s="316">
        <f t="shared" si="10"/>
        <v>602.9</v>
      </c>
      <c r="AD56" s="260"/>
      <c r="AE56" s="251"/>
      <c r="AF56" s="260">
        <v>583.6</v>
      </c>
      <c r="AG56" s="511"/>
      <c r="AH56" s="248"/>
      <c r="AI56" s="1111">
        <f t="shared" si="9"/>
        <v>19.3</v>
      </c>
      <c r="AJ56" s="1111"/>
      <c r="AK56" s="2574">
        <f t="shared" si="11"/>
        <v>3.3000000000000002E-2</v>
      </c>
      <c r="AL56" s="1460"/>
    </row>
    <row r="57" spans="1:38" ht="15" customHeight="1">
      <c r="A57" s="350"/>
      <c r="B57" s="1669" t="s">
        <v>1129</v>
      </c>
      <c r="C57" s="223"/>
      <c r="D57" s="273">
        <v>6.5</v>
      </c>
      <c r="E57" s="260"/>
      <c r="F57" s="273">
        <v>13.1</v>
      </c>
      <c r="G57" s="260"/>
      <c r="H57" s="260">
        <v>21.6</v>
      </c>
      <c r="I57" s="260"/>
      <c r="J57" s="273">
        <v>21.4</v>
      </c>
      <c r="K57" s="260"/>
      <c r="L57" s="273">
        <v>47.2</v>
      </c>
      <c r="M57" s="260"/>
      <c r="N57" s="273">
        <v>6.4</v>
      </c>
      <c r="O57" s="260"/>
      <c r="P57" s="273">
        <v>11.7</v>
      </c>
      <c r="Q57" s="260"/>
      <c r="R57" s="273">
        <v>10.9</v>
      </c>
      <c r="S57" s="260"/>
      <c r="T57" s="273">
        <v>5.7</v>
      </c>
      <c r="U57" s="260"/>
      <c r="V57" s="273">
        <v>7.8</v>
      </c>
      <c r="W57" s="260"/>
      <c r="X57" s="273"/>
      <c r="Y57" s="260"/>
      <c r="Z57" s="273"/>
      <c r="AA57" s="260"/>
      <c r="AB57" s="249"/>
      <c r="AC57" s="316">
        <f t="shared" si="10"/>
        <v>152.30000000000001</v>
      </c>
      <c r="AD57" s="260"/>
      <c r="AE57" s="251"/>
      <c r="AF57" s="260">
        <v>102.7</v>
      </c>
      <c r="AG57" s="511"/>
      <c r="AH57" s="248"/>
      <c r="AI57" s="1111">
        <f t="shared" si="9"/>
        <v>49.6</v>
      </c>
      <c r="AJ57" s="1111"/>
      <c r="AK57" s="2636">
        <f t="shared" si="11"/>
        <v>0.48299999999999998</v>
      </c>
      <c r="AL57" s="1460"/>
    </row>
    <row r="58" spans="1:38" ht="15" customHeight="1">
      <c r="A58" s="350"/>
      <c r="B58" s="1669" t="s">
        <v>1239</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1"/>
      <c r="AJ58" s="1111"/>
      <c r="AK58" s="2574"/>
      <c r="AL58" s="1460"/>
    </row>
    <row r="59" spans="1:38" ht="15" customHeight="1">
      <c r="A59" s="350"/>
      <c r="B59" s="1669" t="s">
        <v>1156</v>
      </c>
      <c r="C59" s="223"/>
      <c r="D59" s="273">
        <v>22.7</v>
      </c>
      <c r="E59" s="260"/>
      <c r="F59" s="273">
        <v>10.4</v>
      </c>
      <c r="G59" s="260"/>
      <c r="H59" s="260">
        <v>12.5</v>
      </c>
      <c r="I59" s="260"/>
      <c r="J59" s="317">
        <v>24.4</v>
      </c>
      <c r="K59" s="260"/>
      <c r="L59" s="317">
        <v>10.9</v>
      </c>
      <c r="M59" s="260"/>
      <c r="N59" s="317">
        <v>14</v>
      </c>
      <c r="O59" s="260"/>
      <c r="P59" s="317">
        <v>25.6</v>
      </c>
      <c r="Q59" s="260"/>
      <c r="R59" s="317">
        <v>10.1</v>
      </c>
      <c r="S59" s="260"/>
      <c r="T59" s="317">
        <v>12.9</v>
      </c>
      <c r="U59" s="260"/>
      <c r="V59" s="317">
        <v>25</v>
      </c>
      <c r="W59" s="260"/>
      <c r="X59" s="273"/>
      <c r="Y59" s="260"/>
      <c r="Z59" s="273"/>
      <c r="AA59" s="260"/>
      <c r="AB59" s="249"/>
      <c r="AC59" s="316">
        <f>ROUND(SUM(D59:Z59),1)</f>
        <v>168.5</v>
      </c>
      <c r="AD59" s="260"/>
      <c r="AE59" s="251"/>
      <c r="AF59" s="260">
        <v>174.3</v>
      </c>
      <c r="AG59" s="511"/>
      <c r="AH59" s="248"/>
      <c r="AI59" s="1111">
        <f t="shared" si="9"/>
        <v>-5.8</v>
      </c>
      <c r="AJ59" s="1111"/>
      <c r="AK59" s="2636">
        <f>ROUND(IF(AF59=0,0,AI59/ABS(AF59)),3)</f>
        <v>-3.3000000000000002E-2</v>
      </c>
      <c r="AL59" s="1460"/>
    </row>
    <row r="60" spans="1:38" ht="15" customHeight="1">
      <c r="A60" s="350"/>
      <c r="B60" s="1669" t="s">
        <v>1157</v>
      </c>
      <c r="C60" s="223"/>
      <c r="D60" s="317">
        <v>190.4</v>
      </c>
      <c r="E60" s="260"/>
      <c r="F60" s="317">
        <v>234.2</v>
      </c>
      <c r="G60" s="260"/>
      <c r="H60" s="260">
        <v>193.7</v>
      </c>
      <c r="I60" s="260"/>
      <c r="J60" s="273">
        <v>182.6</v>
      </c>
      <c r="K60" s="260"/>
      <c r="L60" s="273">
        <v>268.10000000000002</v>
      </c>
      <c r="M60" s="260"/>
      <c r="N60" s="273">
        <v>184.5</v>
      </c>
      <c r="O60" s="260"/>
      <c r="P60" s="273">
        <v>181.6</v>
      </c>
      <c r="Q60" s="260"/>
      <c r="R60" s="273">
        <v>224.9</v>
      </c>
      <c r="S60" s="260"/>
      <c r="T60" s="273">
        <v>196.7</v>
      </c>
      <c r="U60" s="260"/>
      <c r="V60" s="273">
        <v>248.4</v>
      </c>
      <c r="W60" s="260"/>
      <c r="X60" s="317"/>
      <c r="Y60" s="260"/>
      <c r="Z60" s="273"/>
      <c r="AA60" s="260"/>
      <c r="AB60" s="249"/>
      <c r="AC60" s="316">
        <f>ROUND(SUM(D60:Z60),1)</f>
        <v>2105.1</v>
      </c>
      <c r="AD60" s="260"/>
      <c r="AE60" s="251"/>
      <c r="AF60" s="260">
        <v>1997.3</v>
      </c>
      <c r="AG60" s="511"/>
      <c r="AH60" s="248"/>
      <c r="AI60" s="1111">
        <f t="shared" si="9"/>
        <v>107.8</v>
      </c>
      <c r="AJ60" s="1111"/>
      <c r="AK60" s="2574">
        <f>ROUND(IF(AF60=0,0,AI60/ABS(AF60)),3)</f>
        <v>5.3999999999999999E-2</v>
      </c>
      <c r="AL60" s="1460"/>
    </row>
    <row r="61" spans="1:38" ht="15" customHeight="1">
      <c r="A61" s="350"/>
      <c r="B61" s="1669" t="s">
        <v>1158</v>
      </c>
      <c r="C61" s="223"/>
      <c r="D61" s="273">
        <v>72.5</v>
      </c>
      <c r="E61" s="260"/>
      <c r="F61" s="273">
        <v>73.599999999999994</v>
      </c>
      <c r="G61" s="260"/>
      <c r="H61" s="260">
        <v>94.2</v>
      </c>
      <c r="I61" s="260"/>
      <c r="J61" s="273">
        <v>76.5</v>
      </c>
      <c r="K61" s="260"/>
      <c r="L61" s="273">
        <v>93.8</v>
      </c>
      <c r="M61" s="260"/>
      <c r="N61" s="273">
        <v>75.3</v>
      </c>
      <c r="O61" s="260"/>
      <c r="P61" s="273">
        <v>73.900000000000006</v>
      </c>
      <c r="Q61" s="260"/>
      <c r="R61" s="273">
        <v>89.4</v>
      </c>
      <c r="S61" s="260"/>
      <c r="T61" s="273">
        <v>66.5</v>
      </c>
      <c r="U61" s="260"/>
      <c r="V61" s="273">
        <v>88</v>
      </c>
      <c r="W61" s="260"/>
      <c r="X61" s="273"/>
      <c r="Y61" s="260"/>
      <c r="Z61" s="273"/>
      <c r="AA61" s="260"/>
      <c r="AB61" s="249"/>
      <c r="AC61" s="316">
        <f t="shared" ref="AC61" si="12">ROUND(SUM(D61:Z61),1)</f>
        <v>803.7</v>
      </c>
      <c r="AD61" s="260"/>
      <c r="AE61" s="251"/>
      <c r="AF61" s="260">
        <v>788.1</v>
      </c>
      <c r="AG61" s="511"/>
      <c r="AH61" s="248"/>
      <c r="AI61" s="1111">
        <f t="shared" si="9"/>
        <v>15.6</v>
      </c>
      <c r="AJ61" s="1111"/>
      <c r="AK61" s="2574">
        <f>ROUND(IF(AF61=0,0,AI61/ABS(AF61)),3)</f>
        <v>0.02</v>
      </c>
      <c r="AL61" s="1460"/>
    </row>
    <row r="62" spans="1:38" ht="15" customHeight="1">
      <c r="A62" s="350"/>
      <c r="B62" s="1669" t="s">
        <v>1130</v>
      </c>
      <c r="C62" s="223"/>
      <c r="D62" s="273">
        <v>5.5</v>
      </c>
      <c r="E62" s="260"/>
      <c r="F62" s="273">
        <v>5.5</v>
      </c>
      <c r="G62" s="260"/>
      <c r="H62" s="260">
        <v>6.6</v>
      </c>
      <c r="I62" s="260"/>
      <c r="J62" s="273">
        <v>6.7</v>
      </c>
      <c r="K62" s="260"/>
      <c r="L62" s="273">
        <v>8</v>
      </c>
      <c r="M62" s="260"/>
      <c r="N62" s="273">
        <v>7.6</v>
      </c>
      <c r="O62" s="260"/>
      <c r="P62" s="273">
        <v>7.9</v>
      </c>
      <c r="Q62" s="260"/>
      <c r="R62" s="273">
        <v>7.7</v>
      </c>
      <c r="S62" s="260"/>
      <c r="T62" s="273">
        <v>8</v>
      </c>
      <c r="U62" s="260"/>
      <c r="V62" s="273">
        <v>8.1999999999999993</v>
      </c>
      <c r="W62" s="260"/>
      <c r="X62" s="273"/>
      <c r="Y62" s="260"/>
      <c r="Z62" s="273"/>
      <c r="AA62" s="260"/>
      <c r="AB62" s="249"/>
      <c r="AC62" s="316">
        <f>ROUND(SUM(D62:Z62),1)</f>
        <v>71.7</v>
      </c>
      <c r="AD62" s="260"/>
      <c r="AE62" s="251"/>
      <c r="AF62" s="260">
        <v>42</v>
      </c>
      <c r="AG62" s="511"/>
      <c r="AH62" s="248"/>
      <c r="AI62" s="1111">
        <f t="shared" si="9"/>
        <v>29.7</v>
      </c>
      <c r="AJ62" s="1111"/>
      <c r="AK62" s="2574">
        <f>ROUND(IF(AF62=0,0,AI62/ABS(AF62)),3)</f>
        <v>0.70699999999999996</v>
      </c>
      <c r="AL62" s="1460"/>
    </row>
    <row r="63" spans="1:38" ht="15" customHeight="1">
      <c r="A63" s="350"/>
      <c r="B63" s="1669" t="s">
        <v>1240</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1"/>
      <c r="AJ63" s="1111"/>
      <c r="AK63" s="2574"/>
      <c r="AL63" s="1460"/>
    </row>
    <row r="64" spans="1:38" ht="15" customHeight="1">
      <c r="A64" s="350"/>
      <c r="B64" s="1669" t="s">
        <v>1159</v>
      </c>
      <c r="C64" s="223"/>
      <c r="D64" s="273">
        <v>0</v>
      </c>
      <c r="E64" s="260"/>
      <c r="F64" s="273">
        <v>0</v>
      </c>
      <c r="G64" s="260"/>
      <c r="H64" s="260">
        <v>0</v>
      </c>
      <c r="I64" s="260"/>
      <c r="J64" s="273">
        <v>0</v>
      </c>
      <c r="K64" s="260"/>
      <c r="L64" s="273">
        <v>0</v>
      </c>
      <c r="M64" s="260"/>
      <c r="N64" s="273">
        <v>0</v>
      </c>
      <c r="O64" s="260"/>
      <c r="P64" s="273">
        <v>0</v>
      </c>
      <c r="Q64" s="260"/>
      <c r="R64" s="273">
        <v>0</v>
      </c>
      <c r="S64" s="260"/>
      <c r="T64" s="273">
        <v>0</v>
      </c>
      <c r="U64" s="260"/>
      <c r="V64" s="273">
        <v>0</v>
      </c>
      <c r="W64" s="260"/>
      <c r="X64" s="273"/>
      <c r="Y64" s="260"/>
      <c r="Z64" s="273"/>
      <c r="AA64" s="260"/>
      <c r="AB64" s="249"/>
      <c r="AC64" s="316">
        <f t="shared" ref="AC64:AC69" si="13">ROUND(SUM(D64:Z64),1)</f>
        <v>0</v>
      </c>
      <c r="AD64" s="260"/>
      <c r="AE64" s="251"/>
      <c r="AF64" s="260">
        <v>0</v>
      </c>
      <c r="AG64" s="511"/>
      <c r="AH64" s="248"/>
      <c r="AI64" s="1111">
        <f t="shared" si="9"/>
        <v>0</v>
      </c>
      <c r="AJ64" s="1111"/>
      <c r="AK64" s="2574">
        <f>ROUND(IF(AF64=0,0,AI64/ABS(AF64)),3)</f>
        <v>0</v>
      </c>
      <c r="AL64" s="1460"/>
    </row>
    <row r="65" spans="1:38" ht="15" customHeight="1">
      <c r="A65" s="350"/>
      <c r="B65" s="1669" t="s">
        <v>1160</v>
      </c>
      <c r="C65" s="223"/>
      <c r="D65" s="273">
        <v>0</v>
      </c>
      <c r="E65" s="260"/>
      <c r="F65" s="273">
        <v>0</v>
      </c>
      <c r="G65" s="260"/>
      <c r="H65" s="260">
        <v>0</v>
      </c>
      <c r="I65" s="260"/>
      <c r="J65" s="273">
        <v>0</v>
      </c>
      <c r="K65" s="260"/>
      <c r="L65" s="273">
        <v>20.399999999999999</v>
      </c>
      <c r="M65" s="260"/>
      <c r="N65" s="273">
        <v>0</v>
      </c>
      <c r="O65" s="260"/>
      <c r="P65" s="273">
        <v>0</v>
      </c>
      <c r="Q65" s="260"/>
      <c r="R65" s="273">
        <v>0</v>
      </c>
      <c r="S65" s="260"/>
      <c r="T65" s="273">
        <v>0</v>
      </c>
      <c r="U65" s="260"/>
      <c r="V65" s="273">
        <v>0</v>
      </c>
      <c r="W65" s="260"/>
      <c r="X65" s="273"/>
      <c r="Y65" s="260"/>
      <c r="Z65" s="273"/>
      <c r="AA65" s="260"/>
      <c r="AB65" s="249"/>
      <c r="AC65" s="316">
        <f t="shared" si="13"/>
        <v>20.399999999999999</v>
      </c>
      <c r="AD65" s="260"/>
      <c r="AE65" s="251"/>
      <c r="AF65" s="260">
        <v>20.399999999999999</v>
      </c>
      <c r="AG65" s="511"/>
      <c r="AH65" s="248"/>
      <c r="AI65" s="1111">
        <f t="shared" si="9"/>
        <v>0</v>
      </c>
      <c r="AJ65" s="1111"/>
      <c r="AK65" s="2574">
        <f>ROUND(IF(AF65=0,0,AI65/ABS(AF65)),3)</f>
        <v>0</v>
      </c>
      <c r="AL65" s="1460"/>
    </row>
    <row r="66" spans="1:38" ht="15" customHeight="1">
      <c r="A66" s="350"/>
      <c r="B66" s="1669" t="s">
        <v>1161</v>
      </c>
      <c r="C66" s="223"/>
      <c r="D66" s="273">
        <v>3</v>
      </c>
      <c r="E66" s="260"/>
      <c r="F66" s="273">
        <v>4.2</v>
      </c>
      <c r="G66" s="260"/>
      <c r="H66" s="260">
        <v>0</v>
      </c>
      <c r="I66" s="260"/>
      <c r="J66" s="273">
        <v>0</v>
      </c>
      <c r="K66" s="260"/>
      <c r="L66" s="273">
        <v>0</v>
      </c>
      <c r="M66" s="260"/>
      <c r="N66" s="273">
        <v>0</v>
      </c>
      <c r="O66" s="260"/>
      <c r="P66" s="273">
        <v>0</v>
      </c>
      <c r="Q66" s="260"/>
      <c r="R66" s="273">
        <v>0</v>
      </c>
      <c r="S66" s="260"/>
      <c r="T66" s="273">
        <v>0</v>
      </c>
      <c r="U66" s="260"/>
      <c r="V66" s="273">
        <v>0</v>
      </c>
      <c r="W66" s="260"/>
      <c r="X66" s="273"/>
      <c r="Y66" s="260"/>
      <c r="Z66" s="273"/>
      <c r="AA66" s="260"/>
      <c r="AB66" s="249"/>
      <c r="AC66" s="316">
        <f t="shared" si="13"/>
        <v>7.2</v>
      </c>
      <c r="AD66" s="260"/>
      <c r="AE66" s="251"/>
      <c r="AF66" s="260">
        <v>7.2</v>
      </c>
      <c r="AG66" s="511"/>
      <c r="AH66" s="248"/>
      <c r="AI66" s="1111">
        <f t="shared" si="9"/>
        <v>0</v>
      </c>
      <c r="AJ66" s="1111"/>
      <c r="AK66" s="2590">
        <f>ROUND(IF(AF66=0,0,AI66/ABS(AF66)),3)</f>
        <v>0</v>
      </c>
      <c r="AL66" s="1460"/>
    </row>
    <row r="67" spans="1:38" ht="15" customHeight="1">
      <c r="A67" s="350"/>
      <c r="B67" s="1669" t="s">
        <v>1162</v>
      </c>
      <c r="C67" s="223"/>
      <c r="D67" s="273">
        <v>7.7</v>
      </c>
      <c r="E67" s="260"/>
      <c r="F67" s="273">
        <v>1.1000000000000001</v>
      </c>
      <c r="G67" s="260"/>
      <c r="H67" s="260">
        <v>0</v>
      </c>
      <c r="I67" s="260"/>
      <c r="J67" s="273">
        <v>6</v>
      </c>
      <c r="K67" s="260"/>
      <c r="L67" s="273">
        <v>0.3</v>
      </c>
      <c r="M67" s="260"/>
      <c r="N67" s="273">
        <v>0.4</v>
      </c>
      <c r="O67" s="260"/>
      <c r="P67" s="273">
        <v>5.5</v>
      </c>
      <c r="Q67" s="260"/>
      <c r="R67" s="273">
        <v>0.1</v>
      </c>
      <c r="S67" s="260"/>
      <c r="T67" s="273">
        <v>26.3</v>
      </c>
      <c r="U67" s="260"/>
      <c r="V67" s="273">
        <v>10</v>
      </c>
      <c r="W67" s="260"/>
      <c r="X67" s="273"/>
      <c r="Y67" s="260"/>
      <c r="Z67" s="273"/>
      <c r="AA67" s="260"/>
      <c r="AB67" s="249"/>
      <c r="AC67" s="316">
        <f t="shared" si="13"/>
        <v>57.4</v>
      </c>
      <c r="AD67" s="260"/>
      <c r="AE67" s="251"/>
      <c r="AF67" s="260">
        <v>45.2</v>
      </c>
      <c r="AG67" s="511"/>
      <c r="AH67" s="248"/>
      <c r="AI67" s="1111">
        <f t="shared" si="9"/>
        <v>12.2</v>
      </c>
      <c r="AJ67" s="1111"/>
      <c r="AK67" s="2636">
        <f>ROUND(IF(AF67=0,0,AI67/ABS(AF67)),3)</f>
        <v>0.27</v>
      </c>
      <c r="AL67" s="1460"/>
    </row>
    <row r="68" spans="1:38" ht="15" customHeight="1">
      <c r="A68" s="350"/>
      <c r="B68" s="1669" t="s">
        <v>1141</v>
      </c>
      <c r="C68" s="223"/>
      <c r="D68" s="273">
        <v>5.3</v>
      </c>
      <c r="E68" s="260"/>
      <c r="F68" s="273">
        <v>3.1</v>
      </c>
      <c r="G68" s="260"/>
      <c r="H68" s="260">
        <v>7.9</v>
      </c>
      <c r="I68" s="260"/>
      <c r="J68" s="273">
        <v>4.7</v>
      </c>
      <c r="K68" s="260"/>
      <c r="L68" s="273">
        <v>6.5</v>
      </c>
      <c r="M68" s="260"/>
      <c r="N68" s="273">
        <v>41.3</v>
      </c>
      <c r="O68" s="260"/>
      <c r="P68" s="273">
        <v>14.3</v>
      </c>
      <c r="Q68" s="260"/>
      <c r="R68" s="273">
        <v>6.3</v>
      </c>
      <c r="S68" s="260"/>
      <c r="T68" s="273">
        <v>8.6999999999999993</v>
      </c>
      <c r="U68" s="260"/>
      <c r="V68" s="273">
        <v>5.2</v>
      </c>
      <c r="W68" s="260"/>
      <c r="X68" s="273"/>
      <c r="Y68" s="260"/>
      <c r="Z68" s="273"/>
      <c r="AA68" s="260"/>
      <c r="AB68" s="249"/>
      <c r="AC68" s="316">
        <f t="shared" si="13"/>
        <v>103.3</v>
      </c>
      <c r="AD68" s="260"/>
      <c r="AE68" s="251"/>
      <c r="AF68" s="2800">
        <v>138.19999999999999</v>
      </c>
      <c r="AG68" s="511"/>
      <c r="AH68" s="248"/>
      <c r="AI68" s="1111">
        <f t="shared" si="9"/>
        <v>-34.9</v>
      </c>
      <c r="AJ68" s="1111"/>
      <c r="AK68" s="2574">
        <f t="shared" ref="AK68:AK69" si="14">ROUND(IF(AF68=0,0,AI68/ABS(AF68)),3)</f>
        <v>-0.253</v>
      </c>
      <c r="AL68" s="1460"/>
    </row>
    <row r="69" spans="1:38" ht="15" customHeight="1">
      <c r="A69" s="350"/>
      <c r="B69" s="1669" t="s">
        <v>1142</v>
      </c>
      <c r="C69" s="223"/>
      <c r="D69" s="317">
        <v>44.6</v>
      </c>
      <c r="E69" s="260"/>
      <c r="F69" s="317">
        <v>28.6</v>
      </c>
      <c r="G69" s="260"/>
      <c r="H69" s="260">
        <v>15.3</v>
      </c>
      <c r="I69" s="260"/>
      <c r="J69" s="273">
        <v>26.8</v>
      </c>
      <c r="K69" s="260"/>
      <c r="L69" s="273">
        <v>4.5999999999999996</v>
      </c>
      <c r="M69" s="260"/>
      <c r="N69" s="273">
        <v>5.9</v>
      </c>
      <c r="O69" s="260"/>
      <c r="P69" s="273">
        <v>1.3</v>
      </c>
      <c r="Q69" s="260"/>
      <c r="R69" s="273">
        <v>62.5</v>
      </c>
      <c r="S69" s="260"/>
      <c r="T69" s="273">
        <v>36.799999999999997</v>
      </c>
      <c r="U69" s="260"/>
      <c r="V69" s="273">
        <v>32.700000000000003</v>
      </c>
      <c r="W69" s="260"/>
      <c r="X69" s="273"/>
      <c r="Y69" s="260"/>
      <c r="Z69" s="273"/>
      <c r="AA69" s="260"/>
      <c r="AB69" s="249"/>
      <c r="AC69" s="316">
        <f t="shared" si="13"/>
        <v>259.10000000000002</v>
      </c>
      <c r="AD69" s="260"/>
      <c r="AE69" s="251"/>
      <c r="AF69" s="260">
        <v>320</v>
      </c>
      <c r="AG69" s="511"/>
      <c r="AH69" s="248"/>
      <c r="AI69" s="1111">
        <f t="shared" si="9"/>
        <v>-60.9</v>
      </c>
      <c r="AJ69" s="1111"/>
      <c r="AK69" s="2590">
        <f t="shared" si="14"/>
        <v>-0.19</v>
      </c>
      <c r="AL69" s="1460"/>
    </row>
    <row r="70" spans="1:38" ht="15" customHeight="1">
      <c r="A70" s="350"/>
      <c r="B70" s="1669" t="s">
        <v>1241</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1"/>
      <c r="AJ70" s="1111"/>
      <c r="AK70" s="2574"/>
      <c r="AL70" s="1460"/>
    </row>
    <row r="71" spans="1:38" ht="15" customHeight="1">
      <c r="A71" s="350"/>
      <c r="B71" s="1669" t="s">
        <v>1163</v>
      </c>
      <c r="C71" s="223"/>
      <c r="D71" s="273">
        <v>12.4</v>
      </c>
      <c r="E71" s="260"/>
      <c r="F71" s="273">
        <v>9.1</v>
      </c>
      <c r="G71" s="260"/>
      <c r="H71" s="260">
        <v>8.4</v>
      </c>
      <c r="I71" s="260"/>
      <c r="J71" s="273">
        <v>23</v>
      </c>
      <c r="K71" s="260"/>
      <c r="L71" s="273">
        <v>8.6999999999999993</v>
      </c>
      <c r="M71" s="260"/>
      <c r="N71" s="273">
        <v>9.1</v>
      </c>
      <c r="O71" s="260"/>
      <c r="P71" s="273">
        <v>21.6</v>
      </c>
      <c r="Q71" s="260"/>
      <c r="R71" s="273">
        <f>-10.3+21</f>
        <v>10.7</v>
      </c>
      <c r="S71" s="260"/>
      <c r="T71" s="273">
        <v>8.9</v>
      </c>
      <c r="U71" s="260"/>
      <c r="V71" s="273">
        <v>6</v>
      </c>
      <c r="W71" s="260"/>
      <c r="X71" s="273"/>
      <c r="Y71" s="260"/>
      <c r="Z71" s="273"/>
      <c r="AA71" s="260"/>
      <c r="AB71" s="249"/>
      <c r="AC71" s="316">
        <f t="shared" ref="AC71:AC81" si="15">ROUND(SUM(D71:Z71),1)</f>
        <v>117.9</v>
      </c>
      <c r="AD71" s="260"/>
      <c r="AE71" s="251"/>
      <c r="AF71" s="260">
        <v>120.7</v>
      </c>
      <c r="AG71" s="511"/>
      <c r="AH71" s="248"/>
      <c r="AI71" s="1111">
        <f t="shared" si="9"/>
        <v>-2.8</v>
      </c>
      <c r="AJ71" s="1111"/>
      <c r="AK71" s="2590">
        <f>ROUND(IF(AF71=0,0,AI71/ABS(AF71)),3)</f>
        <v>-2.3E-2</v>
      </c>
      <c r="AL71" s="1460"/>
    </row>
    <row r="72" spans="1:38" ht="15" customHeight="1">
      <c r="A72" s="350"/>
      <c r="B72" s="1669" t="s">
        <v>1164</v>
      </c>
      <c r="C72" s="223"/>
      <c r="D72" s="1262">
        <v>0</v>
      </c>
      <c r="E72" s="260"/>
      <c r="F72" s="1262">
        <v>1</v>
      </c>
      <c r="G72" s="260"/>
      <c r="H72" s="260">
        <v>0</v>
      </c>
      <c r="I72" s="260"/>
      <c r="J72" s="273">
        <v>0.4</v>
      </c>
      <c r="K72" s="260"/>
      <c r="L72" s="273">
        <v>0.3</v>
      </c>
      <c r="M72" s="260"/>
      <c r="N72" s="273">
        <v>0.3</v>
      </c>
      <c r="O72" s="260"/>
      <c r="P72" s="273">
        <v>0.4</v>
      </c>
      <c r="Q72" s="260"/>
      <c r="R72" s="273">
        <v>0.8</v>
      </c>
      <c r="S72" s="260"/>
      <c r="T72" s="273">
        <v>0.6</v>
      </c>
      <c r="U72" s="260"/>
      <c r="V72" s="273">
        <v>0.7</v>
      </c>
      <c r="W72" s="260"/>
      <c r="X72" s="273"/>
      <c r="Y72" s="260"/>
      <c r="Z72" s="273"/>
      <c r="AA72" s="260"/>
      <c r="AB72" s="249"/>
      <c r="AC72" s="316">
        <f t="shared" si="15"/>
        <v>4.5</v>
      </c>
      <c r="AD72" s="260"/>
      <c r="AE72" s="251"/>
      <c r="AF72" s="2800">
        <v>4.5</v>
      </c>
      <c r="AG72" s="511"/>
      <c r="AH72" s="248"/>
      <c r="AI72" s="1111">
        <f t="shared" si="9"/>
        <v>0</v>
      </c>
      <c r="AJ72" s="1111"/>
      <c r="AK72" s="2574">
        <f>ROUND(IF(AF72=0,0,AI72/ABS(AF72)),3)</f>
        <v>0</v>
      </c>
      <c r="AL72" s="1460"/>
    </row>
    <row r="73" spans="1:38" ht="15" customHeight="1">
      <c r="A73" s="350"/>
      <c r="B73" s="1669" t="s">
        <v>1165</v>
      </c>
      <c r="C73" s="223"/>
      <c r="D73" s="273">
        <v>1.1000000000000001</v>
      </c>
      <c r="E73" s="260"/>
      <c r="F73" s="273">
        <v>1.3</v>
      </c>
      <c r="G73" s="260"/>
      <c r="H73" s="260">
        <v>1.1000000000000001</v>
      </c>
      <c r="I73" s="260"/>
      <c r="J73" s="273">
        <v>0.5</v>
      </c>
      <c r="K73" s="260"/>
      <c r="L73" s="273">
        <v>1</v>
      </c>
      <c r="M73" s="260"/>
      <c r="N73" s="273">
        <v>1.7</v>
      </c>
      <c r="O73" s="260"/>
      <c r="P73" s="273">
        <v>0.9</v>
      </c>
      <c r="Q73" s="260"/>
      <c r="R73" s="273">
        <v>0.5</v>
      </c>
      <c r="S73" s="260"/>
      <c r="T73" s="273">
        <v>0.1</v>
      </c>
      <c r="U73" s="260"/>
      <c r="V73" s="273">
        <v>0.9</v>
      </c>
      <c r="W73" s="260"/>
      <c r="X73" s="273"/>
      <c r="Y73" s="260"/>
      <c r="Z73" s="273"/>
      <c r="AA73" s="260"/>
      <c r="AB73" s="249"/>
      <c r="AC73" s="316">
        <f>ROUND(SUM(D73:Z73),1)</f>
        <v>9.1</v>
      </c>
      <c r="AD73" s="260"/>
      <c r="AE73" s="251"/>
      <c r="AF73" s="260">
        <v>9.8000000000000007</v>
      </c>
      <c r="AG73" s="511"/>
      <c r="AH73" s="248"/>
      <c r="AI73" s="1111">
        <f t="shared" si="9"/>
        <v>-0.7</v>
      </c>
      <c r="AJ73" s="1111"/>
      <c r="AK73" s="2574">
        <f>ROUND(IF(AF73=0,0,AI73/ABS(AF73)),3)</f>
        <v>-7.0999999999999994E-2</v>
      </c>
      <c r="AL73" s="1460"/>
    </row>
    <row r="74" spans="1:38" ht="15" customHeight="1">
      <c r="A74" s="350"/>
      <c r="B74" s="1669" t="s">
        <v>1166</v>
      </c>
      <c r="C74" s="223"/>
      <c r="D74" s="273">
        <v>0</v>
      </c>
      <c r="E74" s="260"/>
      <c r="F74" s="273">
        <v>0</v>
      </c>
      <c r="G74" s="260"/>
      <c r="H74" s="260">
        <v>0.1</v>
      </c>
      <c r="I74" s="260"/>
      <c r="J74" s="273">
        <v>0</v>
      </c>
      <c r="K74" s="260"/>
      <c r="L74" s="273">
        <v>0</v>
      </c>
      <c r="M74" s="260"/>
      <c r="N74" s="273">
        <v>-0.1</v>
      </c>
      <c r="O74" s="260"/>
      <c r="P74" s="273">
        <v>0</v>
      </c>
      <c r="Q74" s="260"/>
      <c r="R74" s="273">
        <v>0</v>
      </c>
      <c r="S74" s="260"/>
      <c r="T74" s="273">
        <v>0</v>
      </c>
      <c r="U74" s="260"/>
      <c r="V74" s="273">
        <v>0</v>
      </c>
      <c r="W74" s="260"/>
      <c r="X74" s="273"/>
      <c r="Y74" s="260"/>
      <c r="Z74" s="273"/>
      <c r="AA74" s="260"/>
      <c r="AB74" s="249"/>
      <c r="AC74" s="316">
        <f t="shared" si="15"/>
        <v>0</v>
      </c>
      <c r="AD74" s="260"/>
      <c r="AE74" s="251"/>
      <c r="AF74" s="260">
        <v>5.0999999999999996</v>
      </c>
      <c r="AG74" s="511"/>
      <c r="AH74" s="248"/>
      <c r="AI74" s="1111">
        <f t="shared" si="9"/>
        <v>-5.0999999999999996</v>
      </c>
      <c r="AJ74" s="1111"/>
      <c r="AK74" s="2574">
        <f t="shared" ref="AK74" si="16">ROUND(IF(AF74=0,0,AI74/ABS(AF74)),3)</f>
        <v>-1</v>
      </c>
      <c r="AL74" s="1460"/>
    </row>
    <row r="75" spans="1:38" ht="15" customHeight="1">
      <c r="A75" s="350"/>
      <c r="B75" s="1669" t="s">
        <v>1167</v>
      </c>
      <c r="C75" s="223"/>
      <c r="D75" s="273">
        <v>145.5</v>
      </c>
      <c r="E75" s="260"/>
      <c r="F75" s="273">
        <v>96.6</v>
      </c>
      <c r="G75" s="260"/>
      <c r="H75" s="260">
        <v>245.3</v>
      </c>
      <c r="I75" s="260"/>
      <c r="J75" s="273">
        <v>133.1</v>
      </c>
      <c r="K75" s="260"/>
      <c r="L75" s="273">
        <v>52.9</v>
      </c>
      <c r="M75" s="260"/>
      <c r="N75" s="273">
        <v>281.5</v>
      </c>
      <c r="O75" s="260"/>
      <c r="P75" s="273">
        <v>131.80000000000007</v>
      </c>
      <c r="Q75" s="260"/>
      <c r="R75" s="273">
        <v>207.8</v>
      </c>
      <c r="S75" s="260"/>
      <c r="T75" s="273">
        <v>170.5</v>
      </c>
      <c r="U75" s="260"/>
      <c r="V75" s="273">
        <v>90.9</v>
      </c>
      <c r="W75" s="260"/>
      <c r="X75" s="273"/>
      <c r="Y75" s="260"/>
      <c r="Z75" s="273"/>
      <c r="AA75" s="260"/>
      <c r="AB75" s="249"/>
      <c r="AC75" s="316">
        <f>ROUND(SUM(D75:Z75),1)</f>
        <v>1555.9</v>
      </c>
      <c r="AD75" s="260"/>
      <c r="AE75" s="251"/>
      <c r="AF75" s="260">
        <v>1459.5</v>
      </c>
      <c r="AG75" s="511"/>
      <c r="AH75" s="248"/>
      <c r="AI75" s="1111">
        <f t="shared" si="9"/>
        <v>96.4</v>
      </c>
      <c r="AJ75" s="1111"/>
      <c r="AK75" s="2616">
        <f>ROUND(IF(AF75=0,0,AI75/ABS(AF75)),3)</f>
        <v>6.6000000000000003E-2</v>
      </c>
      <c r="AL75" s="1460"/>
    </row>
    <row r="76" spans="1:38" ht="15" customHeight="1">
      <c r="A76" s="350"/>
      <c r="B76" s="1669" t="s">
        <v>1168</v>
      </c>
      <c r="C76" s="223"/>
      <c r="D76" s="273">
        <v>4.3</v>
      </c>
      <c r="E76" s="260"/>
      <c r="F76" s="273">
        <v>1.9</v>
      </c>
      <c r="G76" s="260"/>
      <c r="H76" s="260">
        <v>8.1999999999999993</v>
      </c>
      <c r="I76" s="260"/>
      <c r="J76" s="273">
        <v>7.3</v>
      </c>
      <c r="K76" s="260"/>
      <c r="L76" s="273">
        <v>5.8</v>
      </c>
      <c r="M76" s="260"/>
      <c r="N76" s="273">
        <v>0.3</v>
      </c>
      <c r="O76" s="260"/>
      <c r="P76" s="273">
        <v>10</v>
      </c>
      <c r="Q76" s="260"/>
      <c r="R76" s="273">
        <v>5</v>
      </c>
      <c r="S76" s="260"/>
      <c r="T76" s="273">
        <v>0</v>
      </c>
      <c r="U76" s="260"/>
      <c r="V76" s="273">
        <v>5.8</v>
      </c>
      <c r="W76" s="260"/>
      <c r="X76" s="317"/>
      <c r="Y76" s="260"/>
      <c r="Z76" s="273"/>
      <c r="AA76" s="260"/>
      <c r="AB76" s="249"/>
      <c r="AC76" s="316">
        <f t="shared" si="15"/>
        <v>48.6</v>
      </c>
      <c r="AD76" s="260"/>
      <c r="AE76" s="251"/>
      <c r="AF76" s="260">
        <v>41.6</v>
      </c>
      <c r="AG76" s="511"/>
      <c r="AH76" s="248"/>
      <c r="AI76" s="1111">
        <f t="shared" si="9"/>
        <v>7</v>
      </c>
      <c r="AJ76" s="1111"/>
      <c r="AK76" s="2590">
        <f>ROUND(IF(AF76=0,0,AI76/ABS(AF76)),3)</f>
        <v>0.16800000000000001</v>
      </c>
      <c r="AL76" s="1460"/>
    </row>
    <row r="77" spans="1:38" ht="15" customHeight="1">
      <c r="A77" s="350"/>
      <c r="B77" s="1669" t="s">
        <v>1169</v>
      </c>
      <c r="C77" s="223"/>
      <c r="D77" s="273">
        <v>5.3</v>
      </c>
      <c r="E77" s="260"/>
      <c r="F77" s="273">
        <v>0.8</v>
      </c>
      <c r="G77" s="260"/>
      <c r="H77" s="260">
        <v>1</v>
      </c>
      <c r="I77" s="260"/>
      <c r="J77" s="273">
        <v>10.3</v>
      </c>
      <c r="K77" s="260"/>
      <c r="L77" s="273">
        <v>0.3</v>
      </c>
      <c r="M77" s="260"/>
      <c r="N77" s="273">
        <v>1.8</v>
      </c>
      <c r="O77" s="260"/>
      <c r="P77" s="273">
        <v>6.1</v>
      </c>
      <c r="Q77" s="260"/>
      <c r="R77" s="273">
        <v>7.5</v>
      </c>
      <c r="S77" s="260"/>
      <c r="T77" s="273">
        <v>0.8</v>
      </c>
      <c r="U77" s="260"/>
      <c r="V77" s="273">
        <v>2</v>
      </c>
      <c r="W77" s="260"/>
      <c r="X77" s="273"/>
      <c r="Y77" s="260"/>
      <c r="Z77" s="273"/>
      <c r="AA77" s="260"/>
      <c r="AB77" s="249"/>
      <c r="AC77" s="316">
        <f t="shared" si="15"/>
        <v>35.9</v>
      </c>
      <c r="AD77" s="260"/>
      <c r="AE77" s="251"/>
      <c r="AF77" s="260">
        <v>121.2</v>
      </c>
      <c r="AG77" s="511"/>
      <c r="AH77" s="248"/>
      <c r="AI77" s="2800">
        <f t="shared" si="9"/>
        <v>-85.3</v>
      </c>
      <c r="AJ77" s="1111"/>
      <c r="AK77" s="2590">
        <f>ROUND(IF(AF77=0,1,AI77/ABS(AF77)),3)</f>
        <v>-0.70399999999999996</v>
      </c>
      <c r="AL77" s="1460"/>
    </row>
    <row r="78" spans="1:38" ht="15" customHeight="1">
      <c r="A78" s="350"/>
      <c r="B78" s="1669" t="s">
        <v>1170</v>
      </c>
      <c r="C78" s="223"/>
      <c r="D78" s="317">
        <v>8.1</v>
      </c>
      <c r="E78" s="316"/>
      <c r="F78" s="317">
        <v>9.3000000000000007</v>
      </c>
      <c r="G78" s="316"/>
      <c r="H78" s="316">
        <v>13.3</v>
      </c>
      <c r="I78" s="316"/>
      <c r="J78" s="317">
        <v>8.1999999999999993</v>
      </c>
      <c r="K78" s="316"/>
      <c r="L78" s="317">
        <v>10.5</v>
      </c>
      <c r="M78" s="260"/>
      <c r="N78" s="317">
        <v>31.8</v>
      </c>
      <c r="O78" s="260"/>
      <c r="P78" s="317">
        <v>7.3</v>
      </c>
      <c r="Q78" s="260"/>
      <c r="R78" s="317">
        <v>6.2</v>
      </c>
      <c r="S78" s="260"/>
      <c r="T78" s="317">
        <v>8.1</v>
      </c>
      <c r="U78" s="260"/>
      <c r="V78" s="317">
        <v>7.8</v>
      </c>
      <c r="W78" s="260"/>
      <c r="X78" s="273"/>
      <c r="Y78" s="260"/>
      <c r="Z78" s="273"/>
      <c r="AA78" s="260"/>
      <c r="AB78" s="249"/>
      <c r="AC78" s="316">
        <f t="shared" si="15"/>
        <v>110.6</v>
      </c>
      <c r="AD78" s="260"/>
      <c r="AE78" s="251"/>
      <c r="AF78" s="260">
        <v>97.3</v>
      </c>
      <c r="AG78" s="511"/>
      <c r="AH78" s="248"/>
      <c r="AI78" s="1111">
        <f t="shared" si="9"/>
        <v>13.3</v>
      </c>
      <c r="AJ78" s="1111"/>
      <c r="AK78" s="2574">
        <f>ROUND(IF(AF78=0,0,AI78/ABS(AF78)),3)</f>
        <v>0.13700000000000001</v>
      </c>
      <c r="AL78" s="1460"/>
    </row>
    <row r="79" spans="1:38" ht="15" customHeight="1">
      <c r="A79" s="350"/>
      <c r="B79" s="1669" t="s">
        <v>1171</v>
      </c>
      <c r="C79" s="223"/>
      <c r="D79" s="317">
        <v>49.4</v>
      </c>
      <c r="E79" s="316"/>
      <c r="F79" s="317">
        <v>33.700000000000003</v>
      </c>
      <c r="G79" s="316"/>
      <c r="H79" s="316">
        <v>35.200000000000003</v>
      </c>
      <c r="I79" s="316"/>
      <c r="J79" s="317">
        <v>26.4</v>
      </c>
      <c r="K79" s="316"/>
      <c r="L79" s="317">
        <v>43.2</v>
      </c>
      <c r="M79" s="260"/>
      <c r="N79" s="317">
        <v>38.700000000000003</v>
      </c>
      <c r="O79" s="260"/>
      <c r="P79" s="317">
        <v>47.6</v>
      </c>
      <c r="Q79" s="260"/>
      <c r="R79" s="317">
        <v>41.6</v>
      </c>
      <c r="S79" s="260"/>
      <c r="T79" s="317">
        <v>29.2</v>
      </c>
      <c r="U79" s="260"/>
      <c r="V79" s="317">
        <v>23.5</v>
      </c>
      <c r="W79" s="260"/>
      <c r="X79" s="1262"/>
      <c r="Y79" s="260"/>
      <c r="Z79" s="273"/>
      <c r="AA79" s="260"/>
      <c r="AB79" s="249"/>
      <c r="AC79" s="316">
        <f t="shared" si="15"/>
        <v>368.5</v>
      </c>
      <c r="AD79" s="260"/>
      <c r="AE79" s="251"/>
      <c r="AF79" s="260">
        <v>388.6</v>
      </c>
      <c r="AG79" s="511"/>
      <c r="AH79" s="248"/>
      <c r="AI79" s="1111">
        <f t="shared" si="9"/>
        <v>-20.100000000000001</v>
      </c>
      <c r="AJ79" s="1111"/>
      <c r="AK79" s="2590">
        <f>ROUND(IF(AF79=0,0,AI79/ABS(AF79)),3)</f>
        <v>-5.1999999999999998E-2</v>
      </c>
      <c r="AL79" s="1460"/>
    </row>
    <row r="80" spans="1:38" ht="15" customHeight="1">
      <c r="A80" s="350"/>
      <c r="B80" s="1669" t="s">
        <v>1143</v>
      </c>
      <c r="C80" s="223"/>
      <c r="D80" s="317">
        <v>0.4</v>
      </c>
      <c r="E80" s="316"/>
      <c r="F80" s="317">
        <v>1.3</v>
      </c>
      <c r="G80" s="316"/>
      <c r="H80" s="316">
        <v>0.9</v>
      </c>
      <c r="I80" s="316"/>
      <c r="J80" s="317">
        <v>1.3</v>
      </c>
      <c r="K80" s="316"/>
      <c r="L80" s="317">
        <v>1</v>
      </c>
      <c r="M80" s="260"/>
      <c r="N80" s="317">
        <v>1.2</v>
      </c>
      <c r="O80" s="260"/>
      <c r="P80" s="317">
        <v>1.2</v>
      </c>
      <c r="Q80" s="260"/>
      <c r="R80" s="317">
        <v>1.2</v>
      </c>
      <c r="S80" s="260"/>
      <c r="T80" s="317">
        <v>1.1000000000000001</v>
      </c>
      <c r="U80" s="260"/>
      <c r="V80" s="317">
        <v>4.0999999999999996</v>
      </c>
      <c r="W80" s="260"/>
      <c r="X80" s="273"/>
      <c r="Y80" s="260"/>
      <c r="Z80" s="273"/>
      <c r="AA80" s="260"/>
      <c r="AB80" s="249"/>
      <c r="AC80" s="316">
        <f t="shared" si="15"/>
        <v>13.7</v>
      </c>
      <c r="AD80" s="260"/>
      <c r="AE80" s="251"/>
      <c r="AF80" s="260">
        <v>21.5</v>
      </c>
      <c r="AG80" s="511"/>
      <c r="AH80" s="248"/>
      <c r="AI80" s="1111">
        <f t="shared" si="9"/>
        <v>-7.8</v>
      </c>
      <c r="AJ80" s="1111"/>
      <c r="AK80" s="2574">
        <f>ROUND(IF(AF80=0,0,AI80/ABS(AF80)),3)</f>
        <v>-0.36299999999999999</v>
      </c>
      <c r="AL80" s="1460"/>
    </row>
    <row r="81" spans="1:38" ht="15" customHeight="1">
      <c r="A81" s="350"/>
      <c r="B81" s="1669" t="s">
        <v>1144</v>
      </c>
      <c r="C81" s="223"/>
      <c r="D81" s="317">
        <v>43.8</v>
      </c>
      <c r="E81" s="316"/>
      <c r="F81" s="317">
        <v>42.4</v>
      </c>
      <c r="G81" s="316"/>
      <c r="H81" s="316">
        <v>77.3</v>
      </c>
      <c r="I81" s="316"/>
      <c r="J81" s="317">
        <v>37.799999999999997</v>
      </c>
      <c r="K81" s="316"/>
      <c r="L81" s="317">
        <v>193.3</v>
      </c>
      <c r="M81" s="260"/>
      <c r="N81" s="317">
        <v>415.2</v>
      </c>
      <c r="O81" s="260"/>
      <c r="P81" s="317">
        <v>167.1</v>
      </c>
      <c r="Q81" s="260"/>
      <c r="R81" s="317">
        <v>67.3</v>
      </c>
      <c r="S81" s="260"/>
      <c r="T81" s="317">
        <v>54.1</v>
      </c>
      <c r="U81" s="260"/>
      <c r="V81" s="317">
        <v>285.8</v>
      </c>
      <c r="W81" s="260"/>
      <c r="X81" s="273"/>
      <c r="Y81" s="260"/>
      <c r="Z81" s="273"/>
      <c r="AA81" s="260"/>
      <c r="AB81" s="249"/>
      <c r="AC81" s="316">
        <f t="shared" si="15"/>
        <v>1384.1</v>
      </c>
      <c r="AD81" s="260"/>
      <c r="AE81" s="251"/>
      <c r="AF81" s="260">
        <v>1368.3</v>
      </c>
      <c r="AG81" s="511"/>
      <c r="AH81" s="248"/>
      <c r="AI81" s="1111">
        <f t="shared" si="9"/>
        <v>15.8</v>
      </c>
      <c r="AJ81" s="1111"/>
      <c r="AK81" s="2574">
        <f>ROUND(IF(AF81=0,0,AI81/ABS(AF81)),3)</f>
        <v>1.2E-2</v>
      </c>
      <c r="AL81" s="1460"/>
    </row>
    <row r="82" spans="1:38" ht="15" customHeight="1">
      <c r="A82" s="350"/>
      <c r="B82" s="583" t="s">
        <v>1290</v>
      </c>
      <c r="C82" s="223"/>
      <c r="D82" s="1219">
        <f>ROUND(SUM(D44:D81),1)</f>
        <v>1242.9000000000001</v>
      </c>
      <c r="E82" s="316"/>
      <c r="F82" s="1219">
        <f>ROUND(SUM(F44:F81),1)</f>
        <v>1189.0999999999999</v>
      </c>
      <c r="G82" s="316"/>
      <c r="H82" s="1219">
        <f>ROUND(SUM(H44:H81),1)</f>
        <v>1461.5</v>
      </c>
      <c r="I82" s="316"/>
      <c r="J82" s="1219">
        <f>ROUND(SUM(J44:J81),1)</f>
        <v>1292.7</v>
      </c>
      <c r="K82" s="316"/>
      <c r="L82" s="1219">
        <f>ROUND(SUM(L44:L81),1)</f>
        <v>1485.3</v>
      </c>
      <c r="M82" s="260"/>
      <c r="N82" s="2816">
        <f>ROUND(SUM(N44:N81),1)</f>
        <v>1968.6</v>
      </c>
      <c r="O82" s="260"/>
      <c r="P82" s="1219">
        <f>ROUND(SUM(P44:P81),1)</f>
        <v>1379</v>
      </c>
      <c r="Q82" s="260"/>
      <c r="R82" s="2816">
        <f>ROUND(SUM(R44:R81),1)</f>
        <v>1405.4</v>
      </c>
      <c r="S82" s="260"/>
      <c r="T82" s="1219">
        <f>ROUND(SUM(T44:T81),1)</f>
        <v>1496.2</v>
      </c>
      <c r="U82" s="260"/>
      <c r="V82" s="2816">
        <f>ROUND(SUM(V44:V81),1)</f>
        <v>1537.8</v>
      </c>
      <c r="W82" s="260"/>
      <c r="X82" s="1219">
        <f>ROUND(SUM(X44:X81),1)</f>
        <v>0</v>
      </c>
      <c r="Y82" s="260"/>
      <c r="Z82" s="1219">
        <f>ROUND(SUM(Z44:Z81),1)</f>
        <v>0</v>
      </c>
      <c r="AA82" s="260"/>
      <c r="AB82" s="249"/>
      <c r="AC82" s="2816">
        <f>ROUND(SUM(AC44:AC81),1)</f>
        <v>14458.5</v>
      </c>
      <c r="AD82" s="260"/>
      <c r="AE82" s="251"/>
      <c r="AF82" s="2816">
        <f>ROUND(SUM(AF44:AF81),1)</f>
        <v>14152.2</v>
      </c>
      <c r="AG82" s="511"/>
      <c r="AH82" s="248"/>
      <c r="AI82" s="1219">
        <f>ROUND(SUM(AI44:AI81),1)</f>
        <v>306.3</v>
      </c>
      <c r="AJ82" s="1111"/>
      <c r="AK82" s="2589">
        <f>ROUND(SUM(+AI82/AF82),3)</f>
        <v>2.1999999999999999E-2</v>
      </c>
      <c r="AL82" s="1460"/>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1"/>
      <c r="AK83" s="2591"/>
      <c r="AL83" s="1460"/>
    </row>
    <row r="84" spans="1:38" ht="15" customHeight="1">
      <c r="A84" s="350"/>
      <c r="B84" s="516" t="s">
        <v>153</v>
      </c>
      <c r="C84" s="223"/>
      <c r="D84" s="681">
        <v>0</v>
      </c>
      <c r="E84" s="316"/>
      <c r="F84" s="681">
        <v>0</v>
      </c>
      <c r="G84" s="316"/>
      <c r="H84" s="681">
        <v>0</v>
      </c>
      <c r="I84" s="316"/>
      <c r="J84" s="681">
        <v>0.4</v>
      </c>
      <c r="K84" s="316"/>
      <c r="L84" s="681">
        <v>0</v>
      </c>
      <c r="M84" s="260"/>
      <c r="N84" s="681">
        <v>0</v>
      </c>
      <c r="O84" s="260"/>
      <c r="P84" s="1142">
        <v>0</v>
      </c>
      <c r="Q84" s="260"/>
      <c r="R84" s="2815">
        <v>0</v>
      </c>
      <c r="S84" s="260"/>
      <c r="T84" s="273">
        <v>0</v>
      </c>
      <c r="U84" s="260"/>
      <c r="V84" s="273">
        <v>0.1</v>
      </c>
      <c r="W84" s="260"/>
      <c r="X84" s="273"/>
      <c r="Y84" s="260"/>
      <c r="Z84" s="370"/>
      <c r="AA84" s="260"/>
      <c r="AB84" s="249"/>
      <c r="AC84" s="316">
        <f>ROUND(SUM(D84:Z84),1)</f>
        <v>0.5</v>
      </c>
      <c r="AD84" s="248"/>
      <c r="AE84" s="251"/>
      <c r="AF84" s="513">
        <v>-1.4</v>
      </c>
      <c r="AG84" s="511"/>
      <c r="AH84" s="248"/>
      <c r="AI84" s="1740">
        <f>ROUND(SUM(+AC84-AF84),1)</f>
        <v>1.9</v>
      </c>
      <c r="AJ84" s="1111"/>
      <c r="AK84" s="2636">
        <f>+ROUND(IF(AF84=0,1,AI84/ABS(AF84)),3)</f>
        <v>1.357</v>
      </c>
      <c r="AL84" s="1460"/>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27"/>
      <c r="AJ85" s="1715"/>
      <c r="AK85" s="2592"/>
      <c r="AL85" s="1460"/>
    </row>
    <row r="86" spans="1:38" ht="15" customHeight="1">
      <c r="A86" s="350"/>
      <c r="B86" s="221" t="s">
        <v>154</v>
      </c>
      <c r="C86" s="223"/>
      <c r="D86" s="1719">
        <f>ROUND(SUM(D40+D82+D84),1)</f>
        <v>1680.7</v>
      </c>
      <c r="E86" s="1719"/>
      <c r="F86" s="1719">
        <f>ROUND(SUM(F40+F82+F84),1)</f>
        <v>1514.7</v>
      </c>
      <c r="G86" s="1719"/>
      <c r="H86" s="1719">
        <f>ROUND(SUM(H40+H82+H84),1)</f>
        <v>2014.7</v>
      </c>
      <c r="I86" s="1719"/>
      <c r="J86" s="1719">
        <f>ROUND(SUM(J40+J82+J84),1)</f>
        <v>1637.7</v>
      </c>
      <c r="K86" s="1719"/>
      <c r="L86" s="1719">
        <f>ROUND(SUM(L40+L82+L84),1)</f>
        <v>1857.9</v>
      </c>
      <c r="M86" s="1719"/>
      <c r="N86" s="1719">
        <f>ROUND(SUM(N40+N82+N84),1)</f>
        <v>2460.1999999999998</v>
      </c>
      <c r="O86" s="1719"/>
      <c r="P86" s="1719">
        <f>ROUND(SUM(P40+P82+P84),1)</f>
        <v>1738.6</v>
      </c>
      <c r="Q86" s="1719"/>
      <c r="R86" s="1719">
        <f>ROUND(SUM(R40+R82+R84),1)</f>
        <v>1748.4</v>
      </c>
      <c r="S86" s="1719"/>
      <c r="T86" s="1719">
        <f>ROUND(SUM(T40+T82+T84),1)</f>
        <v>2155.6999999999998</v>
      </c>
      <c r="U86" s="1719"/>
      <c r="V86" s="1719">
        <f>ROUND(SUM(V40+V82+V84),1)</f>
        <v>4427.2</v>
      </c>
      <c r="W86" s="1719"/>
      <c r="X86" s="1719">
        <f>ROUND(SUM(X40+X82+X84),1)</f>
        <v>0</v>
      </c>
      <c r="Y86" s="1719"/>
      <c r="Z86" s="1719">
        <f>ROUND(SUM(Z40+Z82+Z84),1)</f>
        <v>0</v>
      </c>
      <c r="AA86" s="1719"/>
      <c r="AB86" s="258"/>
      <c r="AC86" s="310">
        <f>ROUND(SUM(AC40+AC82+AC84),1)</f>
        <v>21235.8</v>
      </c>
      <c r="AD86" s="272"/>
      <c r="AE86" s="737"/>
      <c r="AF86" s="310">
        <f>ROUND(SUM(AF40+AF82+AF84),1)</f>
        <v>21172.2</v>
      </c>
      <c r="AG86" s="518"/>
      <c r="AH86" s="272"/>
      <c r="AI86" s="1584">
        <f>ROUND(SUM(AI40+AI82+AI84),1)</f>
        <v>63.6</v>
      </c>
      <c r="AJ86" s="520"/>
      <c r="AK86" s="2578">
        <f>ROUND(SUM((AC86-AF86)/ABS(AF86)),3)</f>
        <v>3.0000000000000001E-3</v>
      </c>
      <c r="AL86" s="1460"/>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1"/>
      <c r="AJ87" s="1715"/>
      <c r="AK87" s="2574"/>
      <c r="AL87" s="1460"/>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1"/>
      <c r="AJ88" s="1715"/>
      <c r="AK88" s="2574"/>
      <c r="AL88" s="1460"/>
    </row>
    <row r="89" spans="1:38" ht="12.75" customHeight="1">
      <c r="A89" s="350"/>
      <c r="B89" s="1279" t="s">
        <v>155</v>
      </c>
      <c r="C89" s="223"/>
      <c r="D89" s="273"/>
      <c r="E89" s="260"/>
      <c r="F89" s="273"/>
      <c r="G89" s="260"/>
      <c r="H89" s="260"/>
      <c r="I89" s="260"/>
      <c r="J89" s="273"/>
      <c r="K89" s="260"/>
      <c r="L89" s="273"/>
      <c r="M89" s="260"/>
      <c r="N89" s="273"/>
      <c r="O89" s="260"/>
      <c r="P89" s="273"/>
      <c r="Q89" s="260"/>
      <c r="R89" s="273"/>
      <c r="S89" s="260"/>
      <c r="T89" s="273"/>
      <c r="U89" s="260"/>
      <c r="V89" s="273"/>
      <c r="W89" s="260"/>
      <c r="X89" s="273"/>
      <c r="Y89" s="260"/>
      <c r="Z89" s="260"/>
      <c r="AA89" s="260"/>
      <c r="AB89" s="249"/>
      <c r="AC89" s="681"/>
      <c r="AD89" s="260"/>
      <c r="AE89" s="251"/>
      <c r="AF89" s="370"/>
      <c r="AG89" s="511"/>
      <c r="AH89" s="248"/>
      <c r="AI89" s="1111"/>
      <c r="AJ89" s="1715"/>
      <c r="AK89" s="2593"/>
      <c r="AL89" s="1460"/>
    </row>
    <row r="90" spans="1:38" ht="15" customHeight="1">
      <c r="A90" s="350"/>
      <c r="B90" s="379" t="s">
        <v>25</v>
      </c>
      <c r="C90" s="223"/>
      <c r="D90" s="273">
        <v>0</v>
      </c>
      <c r="E90" s="260"/>
      <c r="F90" s="273">
        <v>0.2</v>
      </c>
      <c r="G90" s="260"/>
      <c r="H90" s="316">
        <v>384.7</v>
      </c>
      <c r="I90" s="260"/>
      <c r="J90" s="1262">
        <v>1.6</v>
      </c>
      <c r="K90" s="260"/>
      <c r="L90" s="1262">
        <v>2.6</v>
      </c>
      <c r="M90" s="260"/>
      <c r="N90" s="1262">
        <v>2189.9</v>
      </c>
      <c r="O90" s="260"/>
      <c r="P90" s="1142">
        <v>146.30000000000001</v>
      </c>
      <c r="Q90" s="260"/>
      <c r="R90" s="2815">
        <v>156</v>
      </c>
      <c r="S90" s="260"/>
      <c r="T90" s="2815">
        <v>238.6</v>
      </c>
      <c r="U90" s="260"/>
      <c r="V90" s="2815">
        <v>2559.3000000000002</v>
      </c>
      <c r="W90" s="260"/>
      <c r="X90" s="273"/>
      <c r="Y90" s="260"/>
      <c r="Z90" s="273"/>
      <c r="AA90" s="260"/>
      <c r="AB90" s="249"/>
      <c r="AC90" s="316">
        <f>ROUND(SUM(D90:Z90),1)</f>
        <v>5679.2</v>
      </c>
      <c r="AD90" s="260"/>
      <c r="AE90" s="251"/>
      <c r="AF90" s="1213">
        <v>5934.8</v>
      </c>
      <c r="AG90" s="511"/>
      <c r="AH90" s="248"/>
      <c r="AI90" s="1111">
        <f>ROUND(SUM(+AC90-AF90),1)</f>
        <v>-255.6</v>
      </c>
      <c r="AJ90" s="1111"/>
      <c r="AK90" s="2636">
        <f>ROUND(IF(AF90=0,1,AI90/ABS(AF90)),3)</f>
        <v>-4.2999999999999997E-2</v>
      </c>
      <c r="AL90" s="1460"/>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42">
        <v>0</v>
      </c>
      <c r="Q91" s="260"/>
      <c r="R91" s="2815">
        <v>0.1</v>
      </c>
      <c r="S91" s="260"/>
      <c r="T91" s="2815">
        <v>1.6</v>
      </c>
      <c r="U91" s="260"/>
      <c r="V91" s="2815">
        <v>0.7</v>
      </c>
      <c r="W91" s="260"/>
      <c r="X91" s="273"/>
      <c r="Y91" s="260"/>
      <c r="Z91" s="273"/>
      <c r="AA91" s="260"/>
      <c r="AB91" s="249"/>
      <c r="AC91" s="316">
        <f>ROUND(SUM(D91:Z91),1)</f>
        <v>3.7</v>
      </c>
      <c r="AD91" s="260"/>
      <c r="AE91" s="251"/>
      <c r="AF91" s="1213">
        <v>3.2</v>
      </c>
      <c r="AG91" s="511"/>
      <c r="AH91" s="248"/>
      <c r="AI91" s="1111">
        <f>ROUND(SUM(+AC91-AF91),1)</f>
        <v>0.5</v>
      </c>
      <c r="AJ91" s="1111"/>
      <c r="AK91" s="2574">
        <f>ROUND(IF(AF91=0,1,AI91/ABS(AF91)),3)</f>
        <v>0.156</v>
      </c>
      <c r="AL91" s="1460"/>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42">
        <v>10.6</v>
      </c>
      <c r="Q92" s="260"/>
      <c r="R92" s="2815">
        <v>10.6</v>
      </c>
      <c r="S92" s="260"/>
      <c r="T92" s="2815">
        <v>4</v>
      </c>
      <c r="U92" s="260"/>
      <c r="V92" s="2815">
        <v>10.1</v>
      </c>
      <c r="W92" s="260"/>
      <c r="X92" s="273"/>
      <c r="Y92" s="260"/>
      <c r="Z92" s="273"/>
      <c r="AA92" s="260"/>
      <c r="AB92" s="249"/>
      <c r="AC92" s="316">
        <f>ROUND(SUM(D92:Z92),1)</f>
        <v>126.7</v>
      </c>
      <c r="AD92" s="260"/>
      <c r="AE92" s="251"/>
      <c r="AF92" s="1213">
        <v>157.9</v>
      </c>
      <c r="AG92" s="511"/>
      <c r="AH92" s="248"/>
      <c r="AI92" s="1111">
        <f>ROUND(SUM(+AC92-AF92),1)</f>
        <v>-31.2</v>
      </c>
      <c r="AJ92" s="1111"/>
      <c r="AK92" s="2574">
        <f>ROUND(IF(AF92=0,0,AI92/ABS(AF92)),3)</f>
        <v>-0.19800000000000001</v>
      </c>
      <c r="AL92" s="1460"/>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73"/>
      <c r="W93" s="260"/>
      <c r="X93" s="273"/>
      <c r="Y93" s="260"/>
      <c r="Z93" s="273"/>
      <c r="AA93" s="260"/>
      <c r="AB93" s="249"/>
      <c r="AC93" s="316"/>
      <c r="AD93" s="260"/>
      <c r="AE93" s="251"/>
      <c r="AF93" s="316"/>
      <c r="AG93" s="511"/>
      <c r="AH93" s="248"/>
      <c r="AI93" s="1111"/>
      <c r="AJ93" s="1560"/>
      <c r="AK93" s="2574"/>
      <c r="AL93" s="1460"/>
    </row>
    <row r="94" spans="1:38" ht="15" customHeight="1">
      <c r="A94" s="350"/>
      <c r="B94" s="1567" t="s">
        <v>29</v>
      </c>
      <c r="C94" s="223"/>
      <c r="D94" s="273">
        <v>388.7</v>
      </c>
      <c r="E94" s="260"/>
      <c r="F94" s="273">
        <v>530.79999999999995</v>
      </c>
      <c r="G94" s="260"/>
      <c r="H94" s="316">
        <v>346.9</v>
      </c>
      <c r="I94" s="260"/>
      <c r="J94" s="273">
        <v>320.7</v>
      </c>
      <c r="K94" s="260"/>
      <c r="L94" s="273">
        <v>666.3</v>
      </c>
      <c r="M94" s="260"/>
      <c r="N94" s="273">
        <v>517.9</v>
      </c>
      <c r="O94" s="260"/>
      <c r="P94" s="1142">
        <v>390.9</v>
      </c>
      <c r="Q94" s="260"/>
      <c r="R94" s="2815">
        <v>612.20000000000005</v>
      </c>
      <c r="S94" s="260"/>
      <c r="T94" s="2815">
        <v>469.2</v>
      </c>
      <c r="U94" s="260"/>
      <c r="V94" s="2815">
        <v>480.6</v>
      </c>
      <c r="W94" s="260"/>
      <c r="X94" s="273"/>
      <c r="Y94" s="260"/>
      <c r="Z94" s="273"/>
      <c r="AA94" s="260"/>
      <c r="AB94" s="249"/>
      <c r="AC94" s="316">
        <f t="shared" ref="AC94:AC99" si="17">ROUND(SUM(D94:Z94),1)</f>
        <v>4724.2</v>
      </c>
      <c r="AD94" s="260"/>
      <c r="AE94" s="251"/>
      <c r="AF94" s="2480">
        <v>4785.1000000000004</v>
      </c>
      <c r="AG94" s="511"/>
      <c r="AH94" s="248"/>
      <c r="AI94" s="1111">
        <f t="shared" ref="AI94:AI99" si="18">ROUND(SUM(+AC94-AF94),1)</f>
        <v>-60.9</v>
      </c>
      <c r="AJ94" s="1111"/>
      <c r="AK94" s="2574">
        <f>ROUND(IF(AF94=0,0,AI94/ABS(AF94)),3)</f>
        <v>-1.2999999999999999E-2</v>
      </c>
      <c r="AL94" s="1460"/>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42">
        <v>100.1</v>
      </c>
      <c r="Q95" s="260"/>
      <c r="R95" s="2815">
        <v>125.3</v>
      </c>
      <c r="S95" s="260"/>
      <c r="T95" s="2815">
        <v>322.39999999999998</v>
      </c>
      <c r="U95" s="260"/>
      <c r="V95" s="2815">
        <v>171.9</v>
      </c>
      <c r="W95" s="260"/>
      <c r="X95" s="273"/>
      <c r="Y95" s="260"/>
      <c r="Z95" s="273"/>
      <c r="AA95" s="260"/>
      <c r="AB95" s="249"/>
      <c r="AC95" s="316">
        <f t="shared" si="17"/>
        <v>1945.6</v>
      </c>
      <c r="AD95" s="260"/>
      <c r="AE95" s="251"/>
      <c r="AF95" s="316">
        <v>1864.5</v>
      </c>
      <c r="AG95" s="511"/>
      <c r="AH95" s="248"/>
      <c r="AI95" s="1111">
        <f t="shared" si="18"/>
        <v>81.099999999999994</v>
      </c>
      <c r="AJ95" s="1111"/>
      <c r="AK95" s="2574">
        <f t="shared" ref="AK95:AK99" si="19">ROUND(IF(AF95=0,0,AI95/ABS(AF95)),3)</f>
        <v>4.2999999999999997E-2</v>
      </c>
      <c r="AL95" s="1460"/>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42">
        <v>15.5</v>
      </c>
      <c r="Q96" s="260"/>
      <c r="R96" s="2815">
        <v>13.3</v>
      </c>
      <c r="S96" s="260"/>
      <c r="T96" s="2815">
        <v>14.8</v>
      </c>
      <c r="U96" s="260"/>
      <c r="V96" s="2815">
        <v>13</v>
      </c>
      <c r="W96" s="260"/>
      <c r="X96" s="273"/>
      <c r="Y96" s="260"/>
      <c r="Z96" s="273"/>
      <c r="AA96" s="260"/>
      <c r="AB96" s="249"/>
      <c r="AC96" s="316">
        <f t="shared" si="17"/>
        <v>119.9</v>
      </c>
      <c r="AD96" s="260"/>
      <c r="AE96" s="251"/>
      <c r="AF96" s="316">
        <v>112</v>
      </c>
      <c r="AG96" s="511"/>
      <c r="AH96" s="248"/>
      <c r="AI96" s="1111">
        <f t="shared" si="18"/>
        <v>7.9</v>
      </c>
      <c r="AJ96" s="1111"/>
      <c r="AK96" s="2574">
        <f t="shared" si="19"/>
        <v>7.0999999999999994E-2</v>
      </c>
      <c r="AL96" s="1460"/>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42">
        <v>0.7</v>
      </c>
      <c r="Q97" s="260"/>
      <c r="R97" s="2815">
        <v>0.9</v>
      </c>
      <c r="S97" s="260"/>
      <c r="T97" s="2815">
        <v>0.1</v>
      </c>
      <c r="U97" s="260"/>
      <c r="V97" s="2815">
        <v>0.4</v>
      </c>
      <c r="W97" s="260"/>
      <c r="X97" s="273"/>
      <c r="Y97" s="260"/>
      <c r="Z97" s="273"/>
      <c r="AA97" s="260"/>
      <c r="AB97" s="249"/>
      <c r="AC97" s="316">
        <f t="shared" si="17"/>
        <v>4.7</v>
      </c>
      <c r="AD97" s="260"/>
      <c r="AE97" s="251"/>
      <c r="AF97" s="316">
        <v>3</v>
      </c>
      <c r="AG97" s="511"/>
      <c r="AH97" s="248"/>
      <c r="AI97" s="1111">
        <f t="shared" si="18"/>
        <v>1.7</v>
      </c>
      <c r="AJ97" s="1111"/>
      <c r="AK97" s="2574">
        <f t="shared" si="19"/>
        <v>0.56699999999999995</v>
      </c>
      <c r="AL97" s="1460"/>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42">
        <v>24.4</v>
      </c>
      <c r="Q98" s="260"/>
      <c r="R98" s="2815">
        <v>8.5</v>
      </c>
      <c r="S98" s="260"/>
      <c r="T98" s="2815">
        <v>2.8</v>
      </c>
      <c r="U98" s="260"/>
      <c r="V98" s="2815">
        <v>0.4</v>
      </c>
      <c r="W98" s="370"/>
      <c r="X98" s="273"/>
      <c r="Y98" s="260"/>
      <c r="Z98" s="273"/>
      <c r="AA98" s="260"/>
      <c r="AB98" s="249"/>
      <c r="AC98" s="316">
        <f t="shared" si="17"/>
        <v>46.1</v>
      </c>
      <c r="AD98" s="260"/>
      <c r="AE98" s="251"/>
      <c r="AF98" s="1213">
        <v>56.8</v>
      </c>
      <c r="AG98" s="511"/>
      <c r="AH98" s="248"/>
      <c r="AI98" s="1111">
        <f t="shared" si="18"/>
        <v>-10.7</v>
      </c>
      <c r="AJ98" s="1111"/>
      <c r="AK98" s="2590">
        <f>ROUND(IF(AF98=0,0,AI98/ABS(AF98)),3)</f>
        <v>-0.188</v>
      </c>
      <c r="AL98" s="1460"/>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42">
        <v>362</v>
      </c>
      <c r="Q99" s="260"/>
      <c r="R99" s="2815">
        <v>560.20000000000005</v>
      </c>
      <c r="S99" s="260"/>
      <c r="T99" s="2815">
        <v>850.8</v>
      </c>
      <c r="U99" s="260"/>
      <c r="V99" s="2815">
        <v>204.1</v>
      </c>
      <c r="W99" s="260"/>
      <c r="X99" s="273"/>
      <c r="Y99" s="260"/>
      <c r="Z99" s="273"/>
      <c r="AA99" s="260"/>
      <c r="AB99" s="249"/>
      <c r="AC99" s="316">
        <f t="shared" si="17"/>
        <v>4377.2</v>
      </c>
      <c r="AD99" s="248"/>
      <c r="AE99" s="251"/>
      <c r="AF99" s="522">
        <v>4417.6000000000004</v>
      </c>
      <c r="AG99" s="511"/>
      <c r="AH99" s="248"/>
      <c r="AI99" s="1111">
        <f t="shared" si="18"/>
        <v>-40.4</v>
      </c>
      <c r="AJ99" s="1111"/>
      <c r="AK99" s="2574">
        <f t="shared" si="19"/>
        <v>-8.9999999999999993E-3</v>
      </c>
      <c r="AL99" s="1460"/>
    </row>
    <row r="100" spans="1:38" ht="15" customHeight="1">
      <c r="A100" s="350"/>
      <c r="B100" s="221" t="s">
        <v>1291</v>
      </c>
      <c r="C100" s="223"/>
      <c r="D100" s="540">
        <f>ROUND(SUM(D90:D99),1)</f>
        <v>744.5</v>
      </c>
      <c r="E100" s="1719"/>
      <c r="F100" s="540">
        <f>ROUND(SUM(F90:F99),1)</f>
        <v>1203</v>
      </c>
      <c r="G100" s="1719"/>
      <c r="H100" s="540">
        <f>ROUND(SUM(H90:H99),1)</f>
        <v>1529.5</v>
      </c>
      <c r="I100" s="1719"/>
      <c r="J100" s="540">
        <f>ROUND(SUM(J90:J99),1)</f>
        <v>1024.4000000000001</v>
      </c>
      <c r="K100" s="1719"/>
      <c r="L100" s="540">
        <f>ROUND(SUM(L90:L99),1)</f>
        <v>1263.3</v>
      </c>
      <c r="M100" s="1719"/>
      <c r="N100" s="540">
        <f>ROUND(SUM(N90:N99),1)</f>
        <v>3380.2</v>
      </c>
      <c r="O100" s="1719"/>
      <c r="P100" s="540">
        <f>ROUND(SUM(P90:P99),1)</f>
        <v>1050.5</v>
      </c>
      <c r="Q100" s="1719"/>
      <c r="R100" s="540">
        <f>ROUND(SUM(R90:R99),1)</f>
        <v>1487.1</v>
      </c>
      <c r="S100" s="1719"/>
      <c r="T100" s="540">
        <f>ROUND(SUM(T90:T99),1)</f>
        <v>1904.3</v>
      </c>
      <c r="U100" s="1719"/>
      <c r="V100" s="540">
        <f>ROUND(SUM(V90:V99),1)</f>
        <v>3440.5</v>
      </c>
      <c r="W100" s="1719"/>
      <c r="X100" s="540">
        <f>ROUND(SUM(X90:X99),1)</f>
        <v>0</v>
      </c>
      <c r="Y100" s="1719"/>
      <c r="Z100" s="540">
        <f>ROUND(SUM(Z90:Z99),1)</f>
        <v>0</v>
      </c>
      <c r="AA100" s="1719"/>
      <c r="AB100" s="258"/>
      <c r="AC100" s="523">
        <f>ROUND(SUM(AC90:AC99),1)</f>
        <v>17027.3</v>
      </c>
      <c r="AD100" s="272"/>
      <c r="AE100" s="737"/>
      <c r="AF100" s="523">
        <f>ROUND(SUM(AF90:AF99),1)</f>
        <v>17334.900000000001</v>
      </c>
      <c r="AG100" s="518"/>
      <c r="AH100" s="272"/>
      <c r="AI100" s="255">
        <f>ROUND(SUM(AC100-AF100),1)</f>
        <v>-307.60000000000002</v>
      </c>
      <c r="AJ100" s="366"/>
      <c r="AK100" s="2577">
        <f>ROUND(SUM((AC100-AF100)/ABS(AF100)),3)</f>
        <v>-1.7999999999999999E-2</v>
      </c>
      <c r="AL100" s="1460"/>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1"/>
      <c r="AJ101" s="1715"/>
      <c r="AK101" s="2574"/>
      <c r="AL101" s="1460"/>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42">
        <v>566.1</v>
      </c>
      <c r="Q102" s="260"/>
      <c r="R102" s="2815">
        <v>721.5</v>
      </c>
      <c r="S102" s="260"/>
      <c r="T102" s="2815">
        <v>545.79999999999995</v>
      </c>
      <c r="U102" s="260"/>
      <c r="V102" s="2815">
        <v>537.5</v>
      </c>
      <c r="W102" s="260"/>
      <c r="X102" s="273"/>
      <c r="Y102" s="260"/>
      <c r="Z102" s="273"/>
      <c r="AA102" s="260"/>
      <c r="AB102" s="249"/>
      <c r="AC102" s="316">
        <f>ROUND(SUM(D102:Z102),1)</f>
        <v>5872.3</v>
      </c>
      <c r="AD102" s="1959"/>
      <c r="AE102" s="251"/>
      <c r="AF102" s="260">
        <v>5841.7</v>
      </c>
      <c r="AG102" s="511"/>
      <c r="AH102" s="248"/>
      <c r="AI102" s="1111">
        <f>ROUND(SUM(+AC102-AF102),1)</f>
        <v>30.6</v>
      </c>
      <c r="AJ102" s="1111"/>
      <c r="AK102" s="2574">
        <f>ROUND(IF(AF102=0,0,AI102/ABS(AF102)),3)</f>
        <v>5.0000000000000001E-3</v>
      </c>
      <c r="AL102" s="1460"/>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42">
        <v>323.8</v>
      </c>
      <c r="Q103" s="260"/>
      <c r="R103" s="2815">
        <v>292.2</v>
      </c>
      <c r="S103" s="260"/>
      <c r="T103" s="2815">
        <v>282.39999999999998</v>
      </c>
      <c r="U103" s="260"/>
      <c r="V103" s="2815">
        <v>334.3</v>
      </c>
      <c r="W103" s="260"/>
      <c r="X103" s="273"/>
      <c r="Y103" s="260"/>
      <c r="Z103" s="273"/>
      <c r="AA103" s="260"/>
      <c r="AB103" s="249"/>
      <c r="AC103" s="316">
        <f>ROUND(SUM(D103:Z103),1)</f>
        <v>2875.3</v>
      </c>
      <c r="AD103" s="1959"/>
      <c r="AE103" s="251"/>
      <c r="AF103" s="260">
        <v>2833.9</v>
      </c>
      <c r="AG103" s="511"/>
      <c r="AH103" s="248"/>
      <c r="AI103" s="1111">
        <f>ROUND(SUM(+AC103-AF103),1)</f>
        <v>41.4</v>
      </c>
      <c r="AJ103" s="1111"/>
      <c r="AK103" s="2574">
        <f>ROUND(IF(AF103=0,0,AI103/ABS(AF103)),3)</f>
        <v>1.4999999999999999E-2</v>
      </c>
      <c r="AL103" s="1460"/>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42">
        <v>137.1</v>
      </c>
      <c r="Q104" s="260"/>
      <c r="R104" s="2815">
        <v>434.8</v>
      </c>
      <c r="S104" s="260"/>
      <c r="T104" s="2815">
        <v>137.1</v>
      </c>
      <c r="U104" s="260"/>
      <c r="V104" s="2815">
        <v>250.5</v>
      </c>
      <c r="W104" s="260"/>
      <c r="X104" s="273"/>
      <c r="Y104" s="260"/>
      <c r="Z104" s="273"/>
      <c r="AA104" s="260"/>
      <c r="AB104" s="249"/>
      <c r="AC104" s="316">
        <f>ROUND(SUM(D104:Z104),1)</f>
        <v>1980.8</v>
      </c>
      <c r="AD104" s="1959"/>
      <c r="AE104" s="251"/>
      <c r="AF104" s="260">
        <v>1741.2</v>
      </c>
      <c r="AG104" s="511"/>
      <c r="AH104" s="248"/>
      <c r="AI104" s="1111">
        <f>ROUND(SUM(+AC104-AF104),1)</f>
        <v>239.6</v>
      </c>
      <c r="AJ104" s="1111"/>
      <c r="AK104" s="2574">
        <f>ROUND(IF(AF104=0,0,AI104/ABS(AF104)),3)</f>
        <v>0.13800000000000001</v>
      </c>
      <c r="AL104" s="1460"/>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42">
        <v>0</v>
      </c>
      <c r="Q105" s="260"/>
      <c r="R105" s="2815">
        <v>0</v>
      </c>
      <c r="S105" s="260"/>
      <c r="T105" s="2815">
        <v>0</v>
      </c>
      <c r="U105" s="260"/>
      <c r="V105" s="2815">
        <v>0</v>
      </c>
      <c r="W105" s="260"/>
      <c r="X105" s="273"/>
      <c r="Y105" s="260"/>
      <c r="Z105" s="273"/>
      <c r="AA105" s="260"/>
      <c r="AB105" s="249"/>
      <c r="AC105" s="316">
        <f>ROUND(SUM(D105:Z105),1)</f>
        <v>0</v>
      </c>
      <c r="AD105" s="263"/>
      <c r="AE105" s="251"/>
      <c r="AF105" s="512">
        <v>2.7</v>
      </c>
      <c r="AG105" s="511"/>
      <c r="AH105" s="248"/>
      <c r="AI105" s="1111">
        <f>ROUND(SUM(+AC105-AF105),1)</f>
        <v>-2.7</v>
      </c>
      <c r="AJ105" s="1111"/>
      <c r="AK105" s="2582">
        <f>ROUND(IF(AF105=0,1,AI105/ABS(AF105)),3)</f>
        <v>-1</v>
      </c>
      <c r="AL105" s="1460"/>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27"/>
      <c r="AJ106" s="1715"/>
      <c r="AK106" s="2592"/>
      <c r="AL106" s="1460"/>
    </row>
    <row r="107" spans="1:38" ht="15" customHeight="1">
      <c r="A107" s="350"/>
      <c r="B107" s="221" t="s">
        <v>160</v>
      </c>
      <c r="C107" s="223"/>
      <c r="D107" s="1719">
        <f>ROUND(SUM(D100:D105),1)</f>
        <v>1593.6</v>
      </c>
      <c r="E107" s="1719"/>
      <c r="F107" s="1719">
        <f>ROUND(SUM(F100:F105),1)</f>
        <v>2651.5</v>
      </c>
      <c r="G107" s="1719"/>
      <c r="H107" s="1719">
        <f>ROUND(SUM(H100:H105),1)</f>
        <v>2461.6</v>
      </c>
      <c r="I107" s="1719"/>
      <c r="J107" s="1719">
        <f>ROUND(SUM(J100:J105),1)</f>
        <v>1816.6</v>
      </c>
      <c r="K107" s="1719"/>
      <c r="L107" s="1719">
        <f>ROUND(SUM(L100:L105),1)</f>
        <v>2580.6999999999998</v>
      </c>
      <c r="M107" s="1719"/>
      <c r="N107" s="1719">
        <f>ROUND(SUM(N100:N105),1)</f>
        <v>4206.2</v>
      </c>
      <c r="O107" s="1719"/>
      <c r="P107" s="1719">
        <f>ROUND(SUM(P100:P105),1)</f>
        <v>2077.5</v>
      </c>
      <c r="Q107" s="1719"/>
      <c r="R107" s="1719">
        <f>ROUND(SUM(R100:R105),1)</f>
        <v>2935.6</v>
      </c>
      <c r="S107" s="1719"/>
      <c r="T107" s="1719">
        <f>ROUND(SUM(T100:T105),1)</f>
        <v>2869.6</v>
      </c>
      <c r="U107" s="1719"/>
      <c r="V107" s="1719">
        <f>ROUND(SUM(V100:V105),1)</f>
        <v>4562.8</v>
      </c>
      <c r="W107" s="1719"/>
      <c r="X107" s="1719">
        <f>ROUND(SUM(X100:X105),1)</f>
        <v>0</v>
      </c>
      <c r="Y107" s="1719"/>
      <c r="Z107" s="1719">
        <f>ROUND(SUM(Z100:Z105),1)</f>
        <v>0</v>
      </c>
      <c r="AA107" s="1719"/>
      <c r="AB107" s="258"/>
      <c r="AC107" s="310">
        <f>ROUND(SUM(AC100:AC105),1)</f>
        <v>27755.7</v>
      </c>
      <c r="AD107" s="272"/>
      <c r="AE107" s="737"/>
      <c r="AF107" s="310">
        <f>ROUND(SUM(AF100:AF105),1)</f>
        <v>27754.400000000001</v>
      </c>
      <c r="AG107" s="518"/>
      <c r="AH107" s="272"/>
      <c r="AI107" s="270">
        <f>ROUND(SUM(AC107-AF107),1)</f>
        <v>1.3</v>
      </c>
      <c r="AJ107" s="411"/>
      <c r="AK107" s="2578">
        <f>ROUND(SUM((AC107-AF107)/ABS(AF107)),3)</f>
        <v>0</v>
      </c>
      <c r="AL107" s="1460"/>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1"/>
      <c r="AJ108" s="1715"/>
      <c r="AK108" s="2574"/>
      <c r="AL108" s="1460"/>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40"/>
      <c r="AJ109" s="1715"/>
      <c r="AK109" s="2574"/>
      <c r="AL109" s="1460"/>
    </row>
    <row r="110" spans="1:38" ht="15" customHeight="1">
      <c r="A110" s="350"/>
      <c r="B110" s="221" t="s">
        <v>45</v>
      </c>
      <c r="C110" s="223"/>
      <c r="D110" s="1719">
        <f>ROUND(SUM(D86-D107),1)</f>
        <v>87.1</v>
      </c>
      <c r="E110" s="1719"/>
      <c r="F110" s="1719">
        <f>ROUND(SUM(F86-F107),1)</f>
        <v>-1136.8</v>
      </c>
      <c r="G110" s="1719"/>
      <c r="H110" s="1719">
        <f>ROUND(SUM(H86-H107),1)</f>
        <v>-446.9</v>
      </c>
      <c r="I110" s="1719"/>
      <c r="J110" s="1719">
        <f>ROUND(SUM(J86-J107),1)</f>
        <v>-178.9</v>
      </c>
      <c r="K110" s="1719"/>
      <c r="L110" s="1719">
        <f>ROUND(SUM(L86-L107),1)</f>
        <v>-722.8</v>
      </c>
      <c r="M110" s="1719"/>
      <c r="N110" s="1719">
        <f>ROUND(SUM(N86-N107),1)</f>
        <v>-1746</v>
      </c>
      <c r="O110" s="1719"/>
      <c r="P110" s="1719">
        <f>ROUND(SUM(P86-P107),1)</f>
        <v>-338.9</v>
      </c>
      <c r="Q110" s="1719"/>
      <c r="R110" s="1719">
        <f>ROUND(SUM(R86-R107),1)</f>
        <v>-1187.2</v>
      </c>
      <c r="S110" s="1719"/>
      <c r="T110" s="1719">
        <f>ROUND(SUM(T86-T107),1)</f>
        <v>-713.9</v>
      </c>
      <c r="U110" s="1719"/>
      <c r="V110" s="1719">
        <f>ROUND(SUM(V86-V107),1)</f>
        <v>-135.6</v>
      </c>
      <c r="W110" s="1719"/>
      <c r="X110" s="1719">
        <f>ROUND(SUM(X86-X107),1)</f>
        <v>0</v>
      </c>
      <c r="Y110" s="1719"/>
      <c r="Z110" s="1719">
        <f>ROUND(SUM(Z86-Z107),1)</f>
        <v>0</v>
      </c>
      <c r="AA110" s="1719"/>
      <c r="AB110" s="258"/>
      <c r="AC110" s="1719">
        <f>ROUND(SUM(AC86-AC107),1)</f>
        <v>-6519.9</v>
      </c>
      <c r="AD110" s="272"/>
      <c r="AE110" s="737"/>
      <c r="AF110" s="1719">
        <f>ROUND(SUM(AF86-AF107),1)</f>
        <v>-6582.2</v>
      </c>
      <c r="AG110" s="518"/>
      <c r="AH110" s="272"/>
      <c r="AI110" s="270">
        <f>ROUND(SUM(AC110-AF110),1)</f>
        <v>62.3</v>
      </c>
      <c r="AJ110" s="410"/>
      <c r="AK110" s="2956">
        <f>ROUND(IF(AF110=0,0,AI110/ABS(AF110)),3)</f>
        <v>8.9999999999999993E-3</v>
      </c>
      <c r="AL110" s="1460"/>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1"/>
      <c r="AJ111" s="1715"/>
      <c r="AK111" s="2574"/>
      <c r="AL111" s="1460"/>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1"/>
      <c r="AJ112" s="1715"/>
      <c r="AK112" s="2574"/>
      <c r="AL112" s="1460"/>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42">
        <v>723.6</v>
      </c>
      <c r="Q113" s="260"/>
      <c r="R113" s="2815">
        <v>887.6</v>
      </c>
      <c r="S113" s="260"/>
      <c r="T113" s="2815">
        <v>387.4</v>
      </c>
      <c r="U113" s="260"/>
      <c r="V113" s="2815">
        <v>350.4</v>
      </c>
      <c r="W113" s="260"/>
      <c r="X113" s="273"/>
      <c r="Y113" s="260"/>
      <c r="Z113" s="273"/>
      <c r="AA113" s="260"/>
      <c r="AB113" s="249"/>
      <c r="AC113" s="316">
        <f>ROUND(SUM(D113:Z113),1)</f>
        <v>7132</v>
      </c>
      <c r="AD113" s="1281"/>
      <c r="AE113" s="251"/>
      <c r="AF113" s="316">
        <v>6942.9</v>
      </c>
      <c r="AG113" s="511"/>
      <c r="AH113" s="248"/>
      <c r="AI113" s="1111">
        <f>ROUND(SUM(+AC113-AF113),1)</f>
        <v>189.1</v>
      </c>
      <c r="AJ113" s="1111"/>
      <c r="AK113" s="2574">
        <f>ROUND(IF(AF113=0,0,AI113/ABS(AF113)),3)</f>
        <v>2.7E-2</v>
      </c>
      <c r="AL113" s="1460"/>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42">
        <v>-13.2</v>
      </c>
      <c r="Q114" s="260"/>
      <c r="R114" s="2815">
        <v>-20.8</v>
      </c>
      <c r="S114" s="260"/>
      <c r="T114" s="2815">
        <v>-180.3</v>
      </c>
      <c r="U114" s="260"/>
      <c r="V114" s="2815">
        <v>-80.900000000000006</v>
      </c>
      <c r="W114" s="260"/>
      <c r="X114" s="273"/>
      <c r="Y114" s="260"/>
      <c r="Z114" s="273"/>
      <c r="AA114" s="260"/>
      <c r="AB114" s="249"/>
      <c r="AC114" s="316">
        <f>ROUND(SUM(D114:Z114),1)</f>
        <v>-601</v>
      </c>
      <c r="AD114" s="248"/>
      <c r="AE114" s="251"/>
      <c r="AF114" s="1213">
        <v>-273.8</v>
      </c>
      <c r="AG114" s="511"/>
      <c r="AH114" s="248"/>
      <c r="AI114" s="1740">
        <f>ROUND(SUM(+AC114-AF114)*-1,1)</f>
        <v>327.2</v>
      </c>
      <c r="AJ114" s="1740"/>
      <c r="AK114" s="2590">
        <f>ROUND(IF(AF114=0,0,AI114/ABS(AF114)),3)</f>
        <v>1.1950000000000001</v>
      </c>
      <c r="AL114" s="1460"/>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27"/>
      <c r="AJ115" s="1715"/>
      <c r="AK115" s="2592"/>
      <c r="AL115" s="1460"/>
    </row>
    <row r="116" spans="1:51" ht="15" customHeight="1">
      <c r="A116" s="350"/>
      <c r="B116" s="221" t="s">
        <v>1292</v>
      </c>
      <c r="C116" s="223"/>
      <c r="D116" s="1719">
        <f>ROUND(SUM(D113:D115),1)</f>
        <v>985.5</v>
      </c>
      <c r="E116" s="1719"/>
      <c r="F116" s="1719">
        <f>ROUND(SUM(F113:F115),1)</f>
        <v>868.2</v>
      </c>
      <c r="G116" s="1719"/>
      <c r="H116" s="1719">
        <f>ROUND(SUM(H113:H115),1)</f>
        <v>793.6</v>
      </c>
      <c r="I116" s="1719"/>
      <c r="J116" s="1719">
        <f>ROUND(SUM(J113:J115),1)</f>
        <v>837.4</v>
      </c>
      <c r="K116" s="1719"/>
      <c r="L116" s="1719">
        <f>ROUND(SUM(L113:L115),1)</f>
        <v>815.7</v>
      </c>
      <c r="M116" s="1719"/>
      <c r="N116" s="1719">
        <f>ROUND(SUM(N113:N115),1)</f>
        <v>176.8</v>
      </c>
      <c r="O116" s="1719"/>
      <c r="P116" s="1719">
        <f>ROUND(SUM(P113:P115),1)</f>
        <v>710.4</v>
      </c>
      <c r="Q116" s="1719"/>
      <c r="R116" s="1719">
        <f>ROUND(SUM(R113:R115),1)</f>
        <v>866.8</v>
      </c>
      <c r="S116" s="1719"/>
      <c r="T116" s="1719">
        <f>ROUND(SUM(T113:T115),1)</f>
        <v>207.1</v>
      </c>
      <c r="U116" s="1719"/>
      <c r="V116" s="1719">
        <f>ROUND(SUM(V113:V115),1)</f>
        <v>269.5</v>
      </c>
      <c r="W116" s="1719"/>
      <c r="X116" s="1719">
        <f>ROUND(SUM(X113:X115),1)</f>
        <v>0</v>
      </c>
      <c r="Y116" s="1719"/>
      <c r="Z116" s="1719">
        <f>ROUND(SUM(Z113:Z115),1)</f>
        <v>0</v>
      </c>
      <c r="AA116" s="1719"/>
      <c r="AB116" s="258"/>
      <c r="AC116" s="310">
        <f>ROUND(SUM(AC113:AC115),1)</f>
        <v>6531</v>
      </c>
      <c r="AD116" s="272"/>
      <c r="AE116" s="737"/>
      <c r="AF116" s="310">
        <f>ROUND(SUM(AF113:AF115),1)</f>
        <v>6669.1</v>
      </c>
      <c r="AG116" s="518"/>
      <c r="AH116" s="272"/>
      <c r="AI116" s="270">
        <f>ROUND(SUM(AC116-AF116),1)</f>
        <v>-138.1</v>
      </c>
      <c r="AJ116" s="366"/>
      <c r="AK116" s="2578">
        <f>ROUND(SUM((AC116-AF116)/ABS(AF116)),3)</f>
        <v>-2.1000000000000001E-2</v>
      </c>
      <c r="AL116" s="2473"/>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1"/>
      <c r="AJ117" s="1715"/>
      <c r="AK117" s="2574"/>
      <c r="AL117" s="1460"/>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1"/>
      <c r="AJ118" s="1715"/>
      <c r="AK118" s="2574"/>
      <c r="AL118" s="1460"/>
    </row>
    <row r="119" spans="1:51" ht="15" customHeight="1">
      <c r="A119" s="350"/>
      <c r="B119" s="221" t="s">
        <v>1350</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1"/>
      <c r="AJ119" s="1715"/>
      <c r="AK119" s="2574"/>
      <c r="AL119" s="1460"/>
    </row>
    <row r="120" spans="1:51" ht="15" customHeight="1">
      <c r="A120" s="350"/>
      <c r="B120" s="221" t="s">
        <v>1288</v>
      </c>
      <c r="C120" s="223"/>
      <c r="D120" s="1584">
        <f>ROUND(SUM(D110+D116),1)</f>
        <v>1072.5999999999999</v>
      </c>
      <c r="E120" s="1719"/>
      <c r="F120" s="1584">
        <f>ROUND(SUM(F110+F116),1)</f>
        <v>-268.60000000000002</v>
      </c>
      <c r="G120" s="1719"/>
      <c r="H120" s="1584">
        <f>ROUND(SUM(H110+H116),1)</f>
        <v>346.7</v>
      </c>
      <c r="I120" s="1719"/>
      <c r="J120" s="1584">
        <f>ROUND(SUM(J110+J116),1)</f>
        <v>658.5</v>
      </c>
      <c r="K120" s="1719"/>
      <c r="L120" s="1584">
        <f>ROUND(SUM(L110+L116),1)</f>
        <v>92.9</v>
      </c>
      <c r="M120" s="1719"/>
      <c r="N120" s="1584">
        <f>ROUND(SUM(N110+N116),1)</f>
        <v>-1569.2</v>
      </c>
      <c r="O120" s="1719"/>
      <c r="P120" s="1584">
        <f>ROUND(SUM(P110+P116),1)</f>
        <v>371.5</v>
      </c>
      <c r="Q120" s="1719"/>
      <c r="R120" s="1584">
        <f>ROUND(SUM(R110+R116),1)</f>
        <v>-320.39999999999998</v>
      </c>
      <c r="S120" s="1719"/>
      <c r="T120" s="1584">
        <f>ROUND(SUM(T110+T116),1)</f>
        <v>-506.8</v>
      </c>
      <c r="U120" s="1719"/>
      <c r="V120" s="1584">
        <f>ROUND(SUM(V110+V116),1)</f>
        <v>133.9</v>
      </c>
      <c r="W120" s="1719"/>
      <c r="X120" s="1584">
        <f>ROUND(SUM(X110+X116),1)</f>
        <v>0</v>
      </c>
      <c r="Y120" s="1719"/>
      <c r="Z120" s="1584">
        <f>ROUND(SUM(Z110+Z116),1)</f>
        <v>0</v>
      </c>
      <c r="AA120" s="1719"/>
      <c r="AB120" s="258"/>
      <c r="AC120" s="1584">
        <f>ROUND(SUM(AC110+AC116),1)</f>
        <v>11.1</v>
      </c>
      <c r="AD120" s="272"/>
      <c r="AE120" s="737"/>
      <c r="AF120" s="1584">
        <f>ROUND(SUM(AF110+AF116),1)</f>
        <v>86.9</v>
      </c>
      <c r="AG120" s="518"/>
      <c r="AH120" s="272"/>
      <c r="AI120" s="1584">
        <f>ROUND(SUM(AI110+AI116),1)</f>
        <v>-75.8</v>
      </c>
      <c r="AJ120" s="410"/>
      <c r="AK120" s="2618">
        <f>ROUND(IF(AF120=0,0,AI120/ABS(AF120)),3)</f>
        <v>-0.872</v>
      </c>
      <c r="AL120" s="1460"/>
    </row>
    <row r="121" spans="1:51" ht="15" customHeight="1">
      <c r="A121" s="350"/>
      <c r="B121" s="221"/>
      <c r="C121" s="223"/>
      <c r="D121" s="421"/>
      <c r="E121" s="1719"/>
      <c r="F121" s="421"/>
      <c r="G121" s="1719"/>
      <c r="H121" s="421"/>
      <c r="I121" s="1719"/>
      <c r="J121" s="421"/>
      <c r="K121" s="1719"/>
      <c r="L121" s="421"/>
      <c r="M121" s="1719"/>
      <c r="N121" s="421"/>
      <c r="O121" s="1719"/>
      <c r="P121" s="421"/>
      <c r="Q121" s="1719"/>
      <c r="R121" s="421"/>
      <c r="S121" s="1719"/>
      <c r="T121" s="421"/>
      <c r="U121" s="1719"/>
      <c r="V121" s="421"/>
      <c r="W121" s="1719"/>
      <c r="X121" s="421"/>
      <c r="Y121" s="1719"/>
      <c r="Z121" s="421"/>
      <c r="AA121" s="1719"/>
      <c r="AB121" s="258"/>
      <c r="AC121" s="421"/>
      <c r="AD121" s="2801"/>
      <c r="AE121" s="737"/>
      <c r="AF121" s="421"/>
      <c r="AG121" s="518"/>
      <c r="AH121" s="2801"/>
      <c r="AI121" s="421"/>
      <c r="AJ121" s="410"/>
      <c r="AK121" s="2591"/>
      <c r="AL121" s="1460"/>
    </row>
    <row r="122" spans="1:51" ht="15" customHeight="1" thickBot="1">
      <c r="A122" s="350"/>
      <c r="B122" s="486" t="s">
        <v>144</v>
      </c>
      <c r="C122" s="223"/>
      <c r="D122" s="3046">
        <f>ROUND(SUM(D13+D120),1)</f>
        <v>4804.8999999999996</v>
      </c>
      <c r="E122" s="365"/>
      <c r="F122" s="3046">
        <f>ROUND(SUM(F13+F120),1)</f>
        <v>4536.3</v>
      </c>
      <c r="G122" s="365"/>
      <c r="H122" s="3046">
        <f>ROUND(SUM(H13+H120),1)</f>
        <v>4883</v>
      </c>
      <c r="I122" s="365"/>
      <c r="J122" s="3046">
        <f>ROUND(SUM(J13+J120),1)</f>
        <v>5541.5</v>
      </c>
      <c r="K122" s="365"/>
      <c r="L122" s="3046">
        <f>ROUND(SUM(L13+L120),1)</f>
        <v>5634.4</v>
      </c>
      <c r="M122" s="365"/>
      <c r="N122" s="3046">
        <f>ROUND(SUM(N13+N120),1)</f>
        <v>4065.2</v>
      </c>
      <c r="O122" s="365"/>
      <c r="P122" s="3046">
        <f>ROUND(SUM(P13+P120),1)</f>
        <v>4436.7</v>
      </c>
      <c r="Q122" s="365"/>
      <c r="R122" s="3046">
        <f>ROUND(SUM(R13+R120),1)</f>
        <v>4116.3</v>
      </c>
      <c r="S122" s="365"/>
      <c r="T122" s="3046">
        <f>ROUND(SUM(T13+T120),1)</f>
        <v>3609.5</v>
      </c>
      <c r="U122" s="365"/>
      <c r="V122" s="3046">
        <f>ROUND(SUM(V13+V120),1)</f>
        <v>3743.4</v>
      </c>
      <c r="W122" s="365"/>
      <c r="X122" s="3046">
        <f>ROUND(SUM(X13+X120),1)</f>
        <v>0</v>
      </c>
      <c r="Y122" s="365"/>
      <c r="Z122" s="3046">
        <f>ROUND(SUM(Z13+Z120),1)</f>
        <v>0</v>
      </c>
      <c r="AA122" s="1719"/>
      <c r="AB122" s="258"/>
      <c r="AC122" s="3046">
        <f>ROUND(SUM(AC13+AC120),1)</f>
        <v>3743.4</v>
      </c>
      <c r="AD122" s="2801"/>
      <c r="AE122" s="737"/>
      <c r="AF122" s="3046">
        <f>ROUND(SUM(AF13+AF120),1)</f>
        <v>3634.3</v>
      </c>
      <c r="AG122" s="518"/>
      <c r="AH122" s="2801"/>
      <c r="AI122" s="499">
        <f>ROUND(SUM(AC122-AF122),1)</f>
        <v>109.1</v>
      </c>
      <c r="AJ122" s="411"/>
      <c r="AK122" s="2594">
        <f>ROUND(IF(AF122=0,0,AI122/ABS(AF122)),3)</f>
        <v>0.03</v>
      </c>
      <c r="AL122" s="1460"/>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19"/>
      <c r="AB123" s="258"/>
      <c r="AC123" s="542"/>
      <c r="AD123" s="542"/>
      <c r="AE123" s="542"/>
      <c r="AF123" s="542"/>
      <c r="AG123" s="542"/>
      <c r="AH123" s="542"/>
      <c r="AI123" s="2530"/>
      <c r="AJ123" s="2530"/>
      <c r="AK123" s="2595"/>
      <c r="AL123" s="1460"/>
      <c r="AM123" s="543"/>
      <c r="AN123" s="543"/>
      <c r="AO123" s="543"/>
      <c r="AP123" s="543"/>
      <c r="AQ123" s="543"/>
      <c r="AR123" s="543"/>
      <c r="AS123" s="543"/>
      <c r="AT123" s="543"/>
      <c r="AU123" s="543"/>
      <c r="AV123" s="543"/>
      <c r="AW123" s="543"/>
      <c r="AX123" s="543"/>
      <c r="AY123" s="543"/>
    </row>
    <row r="124" spans="1:51" ht="15" customHeight="1">
      <c r="B124" s="1715"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28"/>
      <c r="AJ124" s="2528"/>
      <c r="AK124" s="2574"/>
      <c r="AL124" s="1460"/>
      <c r="AM124" s="543"/>
      <c r="AN124" s="543"/>
      <c r="AO124" s="543"/>
      <c r="AP124" s="543"/>
      <c r="AQ124" s="543"/>
      <c r="AR124" s="543"/>
      <c r="AS124" s="543"/>
      <c r="AT124" s="543"/>
      <c r="AU124" s="543"/>
      <c r="AV124" s="543"/>
      <c r="AW124" s="543"/>
      <c r="AX124" s="543"/>
      <c r="AY124" s="543"/>
    </row>
    <row r="125" spans="1:51" ht="15" customHeight="1">
      <c r="B125" s="222"/>
      <c r="AK125" s="2596"/>
      <c r="AL125" s="1460"/>
    </row>
    <row r="126" spans="1:51" ht="15" customHeight="1">
      <c r="B126" s="222"/>
      <c r="AK126" s="2596"/>
      <c r="AL126" s="1460"/>
    </row>
    <row r="127" spans="1:51">
      <c r="AK127" s="2596"/>
      <c r="AL127" s="1460"/>
    </row>
    <row r="128" spans="1:51" ht="15" customHeight="1">
      <c r="AK128" s="2596"/>
      <c r="AL128" s="1460"/>
    </row>
    <row r="129" spans="4:38" ht="15" customHeight="1">
      <c r="D129" s="1715"/>
      <c r="F129" s="1715"/>
      <c r="H129" s="1715"/>
      <c r="AK129" s="2596"/>
      <c r="AL129" s="1460"/>
    </row>
    <row r="130" spans="4:38" ht="15" customHeight="1">
      <c r="AK130" s="1460"/>
      <c r="AL130" s="1460"/>
    </row>
    <row r="131" spans="4:38" ht="15" customHeight="1">
      <c r="AK131" s="1460"/>
      <c r="AL131" s="1460"/>
    </row>
    <row r="132" spans="4:38" ht="15" customHeight="1">
      <c r="AE132" s="454">
        <v>16739.599999999999</v>
      </c>
      <c r="AK132" s="1460"/>
      <c r="AL132" s="1460"/>
    </row>
    <row r="133" spans="4:38" ht="15" customHeight="1">
      <c r="AE133" s="454">
        <v>-16162.7</v>
      </c>
      <c r="AK133" s="1460"/>
      <c r="AL133" s="1460"/>
    </row>
    <row r="134" spans="4:38" ht="15" customHeight="1">
      <c r="AK134" s="1460"/>
      <c r="AL134" s="1460"/>
    </row>
    <row r="135" spans="4:38" ht="15" customHeight="1">
      <c r="AK135" s="1460"/>
      <c r="AL135" s="1460"/>
    </row>
    <row r="136" spans="4:38" ht="15" customHeight="1">
      <c r="AK136" s="1460"/>
      <c r="AL136" s="1460"/>
    </row>
    <row r="137" spans="4:38" ht="15" customHeight="1">
      <c r="AK137" s="1460"/>
      <c r="AL137" s="1460"/>
    </row>
    <row r="138" spans="4:38" ht="15" customHeight="1">
      <c r="AK138" s="1460"/>
      <c r="AL138" s="1460"/>
    </row>
    <row r="139" spans="4:38" ht="15" customHeight="1">
      <c r="AK139" s="1460"/>
      <c r="AL139" s="1460"/>
    </row>
    <row r="140" spans="4:38" ht="15" customHeight="1">
      <c r="AK140" s="1460"/>
      <c r="AL140" s="1460"/>
    </row>
    <row r="141" spans="4:38" ht="15" customHeight="1">
      <c r="AK141" s="1460"/>
      <c r="AL141" s="1460"/>
    </row>
    <row r="142" spans="4:38" ht="15" customHeight="1">
      <c r="AK142" s="1460"/>
      <c r="AL142" s="1460"/>
    </row>
    <row r="143" spans="4:38" ht="15" customHeight="1">
      <c r="AK143" s="1460"/>
      <c r="AL143" s="1460"/>
    </row>
    <row r="144" spans="4:38" ht="15" customHeight="1">
      <c r="AK144" s="1460"/>
      <c r="AL144" s="1460"/>
    </row>
    <row r="145" spans="37:38" ht="15" customHeight="1">
      <c r="AK145" s="1460"/>
      <c r="AL145" s="1460"/>
    </row>
    <row r="146" spans="37:38" ht="15" customHeight="1">
      <c r="AK146" s="1460"/>
      <c r="AL146" s="1460"/>
    </row>
    <row r="147" spans="37:38" ht="15" customHeight="1">
      <c r="AK147" s="1460"/>
      <c r="AL147" s="1460"/>
    </row>
    <row r="148" spans="37:38" ht="15" customHeight="1">
      <c r="AK148" s="1460"/>
      <c r="AL148" s="1460"/>
    </row>
    <row r="149" spans="37:38" ht="15" customHeight="1">
      <c r="AK149" s="1460"/>
      <c r="AL149" s="1460"/>
    </row>
    <row r="150" spans="37:38" ht="15" customHeight="1">
      <c r="AK150" s="1460"/>
      <c r="AL150" s="1460"/>
    </row>
    <row r="151" spans="37:38" ht="15" customHeight="1">
      <c r="AK151" s="1460"/>
      <c r="AL151" s="1460"/>
    </row>
    <row r="152" spans="37:38" ht="15" customHeight="1">
      <c r="AK152" s="1460"/>
      <c r="AL152" s="1460"/>
    </row>
    <row r="153" spans="37:38" ht="15" customHeight="1">
      <c r="AK153" s="1460"/>
      <c r="AL153" s="1460"/>
    </row>
    <row r="154" spans="37:38" ht="15" customHeight="1">
      <c r="AK154" s="1460"/>
      <c r="AL154" s="1460"/>
    </row>
    <row r="155" spans="37:38" ht="15" customHeight="1">
      <c r="AK155" s="1460"/>
      <c r="AL155" s="1460"/>
    </row>
    <row r="156" spans="37:38" ht="11.25" customHeight="1">
      <c r="AK156" s="1460"/>
      <c r="AL156" s="1460"/>
    </row>
    <row r="157" spans="37:38" ht="15" customHeight="1">
      <c r="AK157" s="1460"/>
      <c r="AL157" s="1460"/>
    </row>
    <row r="158" spans="37:38" ht="15" customHeight="1">
      <c r="AK158" s="1460"/>
      <c r="AL158" s="1460"/>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64"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0" bestFit="1" customWidth="1"/>
    <col min="38" max="16384" width="8.90625" style="454"/>
  </cols>
  <sheetData>
    <row r="1" spans="1:40" ht="15">
      <c r="B1" s="1124"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03" t="s">
        <v>226</v>
      </c>
      <c r="L5" s="497"/>
      <c r="M5" s="497"/>
      <c r="O5" s="497"/>
      <c r="X5" s="531"/>
    </row>
    <row r="6" spans="1:40" ht="21">
      <c r="A6" s="453"/>
      <c r="B6" s="2803" t="s">
        <v>1437</v>
      </c>
      <c r="L6" s="497"/>
      <c r="M6" s="497"/>
      <c r="O6" s="497"/>
      <c r="AK6" s="1461"/>
    </row>
    <row r="7" spans="1:40" ht="17.399999999999999">
      <c r="A7" s="453"/>
      <c r="B7" s="458" t="s">
        <v>1278</v>
      </c>
      <c r="AH7" s="350"/>
      <c r="AI7" s="350"/>
      <c r="AJ7" s="350"/>
      <c r="AK7" s="1462"/>
    </row>
    <row r="8" spans="1:40" ht="13.5" customHeight="1">
      <c r="A8" s="453"/>
      <c r="B8" s="544"/>
      <c r="AH8" s="350"/>
      <c r="AI8" s="350"/>
      <c r="AJ8" s="350"/>
      <c r="AK8" s="1462"/>
    </row>
    <row r="9" spans="1:40" ht="15.6">
      <c r="A9" s="453"/>
      <c r="L9" s="497"/>
      <c r="M9" s="497"/>
      <c r="N9" s="497"/>
      <c r="O9" s="497"/>
      <c r="AB9" s="545"/>
      <c r="AC9" s="3072"/>
      <c r="AD9" s="533"/>
      <c r="AE9" s="3543" t="str">
        <f>+'Exhibit G'!AH10</f>
        <v>10 Months Ended January 31</v>
      </c>
      <c r="AF9" s="3543"/>
      <c r="AG9" s="3543"/>
      <c r="AH9" s="3543"/>
      <c r="AI9" s="3543"/>
      <c r="AJ9" s="532"/>
      <c r="AK9" s="1463"/>
    </row>
    <row r="10" spans="1:40" ht="15.6">
      <c r="A10" s="453"/>
      <c r="B10" s="222"/>
      <c r="C10" s="222"/>
      <c r="D10" s="1395">
        <v>2017</v>
      </c>
      <c r="E10" s="221"/>
      <c r="F10" s="221"/>
      <c r="G10" s="221"/>
      <c r="H10" s="221"/>
      <c r="I10" s="221"/>
      <c r="J10" s="221"/>
      <c r="K10" s="221"/>
      <c r="L10" s="221"/>
      <c r="M10" s="221"/>
      <c r="N10" s="221"/>
      <c r="O10" s="221"/>
      <c r="P10" s="221"/>
      <c r="Q10" s="221"/>
      <c r="R10" s="221"/>
      <c r="S10" s="221"/>
      <c r="T10" s="221"/>
      <c r="U10" s="221"/>
      <c r="V10" s="1395">
        <v>2018</v>
      </c>
      <c r="W10" s="221"/>
      <c r="X10" s="221"/>
      <c r="Y10" s="221"/>
      <c r="Z10" s="221"/>
      <c r="AA10" s="221"/>
      <c r="AB10" s="221"/>
      <c r="AC10" s="1963"/>
      <c r="AD10" s="411"/>
      <c r="AE10" s="411"/>
      <c r="AF10" s="411"/>
      <c r="AG10" s="411"/>
      <c r="AH10" s="410"/>
      <c r="AI10" s="1402" t="s">
        <v>8</v>
      </c>
      <c r="AJ10" s="1402"/>
      <c r="AK10" s="1464" t="s">
        <v>9</v>
      </c>
      <c r="AL10" s="1407"/>
      <c r="AM10" s="1407"/>
      <c r="AN10" s="1407"/>
    </row>
    <row r="11" spans="1:40" ht="15.6">
      <c r="A11" s="453"/>
      <c r="B11" s="222"/>
      <c r="C11" s="222"/>
      <c r="D11" s="1382" t="s">
        <v>127</v>
      </c>
      <c r="E11" s="221"/>
      <c r="F11" s="1382" t="s">
        <v>128</v>
      </c>
      <c r="G11" s="221"/>
      <c r="H11" s="1382" t="s">
        <v>129</v>
      </c>
      <c r="I11" s="221"/>
      <c r="J11" s="1382" t="s">
        <v>130</v>
      </c>
      <c r="K11" s="221"/>
      <c r="L11" s="1382" t="s">
        <v>131</v>
      </c>
      <c r="M11" s="221"/>
      <c r="N11" s="1382" t="s">
        <v>132</v>
      </c>
      <c r="O11" s="221"/>
      <c r="P11" s="1382" t="s">
        <v>133</v>
      </c>
      <c r="Q11" s="221"/>
      <c r="R11" s="1382" t="s">
        <v>134</v>
      </c>
      <c r="S11" s="221"/>
      <c r="T11" s="1382" t="s">
        <v>135</v>
      </c>
      <c r="U11" s="221"/>
      <c r="V11" s="1382" t="s">
        <v>152</v>
      </c>
      <c r="W11" s="221"/>
      <c r="X11" s="1382" t="s">
        <v>137</v>
      </c>
      <c r="Y11" s="221"/>
      <c r="Z11" s="1382" t="s">
        <v>138</v>
      </c>
      <c r="AA11" s="221"/>
      <c r="AB11" s="221"/>
      <c r="AC11" s="1386">
        <v>2018</v>
      </c>
      <c r="AD11" s="1395"/>
      <c r="AE11" s="221" t="s">
        <v>15</v>
      </c>
      <c r="AF11" s="1395">
        <v>2017</v>
      </c>
      <c r="AG11" s="1381"/>
      <c r="AH11" s="410"/>
      <c r="AI11" s="1409" t="s">
        <v>12</v>
      </c>
      <c r="AJ11" s="1400"/>
      <c r="AK11" s="1465" t="s">
        <v>13</v>
      </c>
      <c r="AL11" s="1407"/>
      <c r="AM11" s="1407"/>
      <c r="AN11" s="1407"/>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19"/>
      <c r="AC12" s="3073"/>
      <c r="AD12" s="235"/>
      <c r="AE12" s="1919"/>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f>+N91</f>
        <v>147.5</v>
      </c>
      <c r="Q13" s="292"/>
      <c r="R13" s="643">
        <f>P91</f>
        <v>-387.9</v>
      </c>
      <c r="S13" s="292"/>
      <c r="T13" s="643">
        <f>R91</f>
        <v>-229.2</v>
      </c>
      <c r="U13" s="292"/>
      <c r="V13" s="421">
        <f>T91</f>
        <v>305.39999999999998</v>
      </c>
      <c r="W13" s="292"/>
      <c r="X13" s="421"/>
      <c r="Y13" s="292"/>
      <c r="Z13" s="421"/>
      <c r="AA13" s="292"/>
      <c r="AB13" s="3042"/>
      <c r="AC13" s="338">
        <f>D13</f>
        <v>539.9</v>
      </c>
      <c r="AD13" s="421"/>
      <c r="AE13" s="3042"/>
      <c r="AF13" s="421">
        <v>59.7</v>
      </c>
      <c r="AG13" s="411"/>
      <c r="AH13" s="3043"/>
      <c r="AI13" s="334">
        <f>ROUND(SUM(+AC13-AF13),1)</f>
        <v>480.2</v>
      </c>
      <c r="AJ13" s="2801"/>
      <c r="AK13" s="2573">
        <f>ROUND(IF(AF13=0,0,AI13/ABS(AF13)),3)</f>
        <v>8.0440000000000005</v>
      </c>
    </row>
    <row r="14" spans="1:40" ht="15">
      <c r="A14" s="453"/>
      <c r="B14" s="222"/>
      <c r="C14" s="222"/>
      <c r="D14" s="229"/>
      <c r="E14" s="222"/>
      <c r="F14" s="229"/>
      <c r="G14" s="222"/>
      <c r="H14" s="229"/>
      <c r="I14" s="222"/>
      <c r="J14" s="229"/>
      <c r="K14" s="222"/>
      <c r="L14" s="229"/>
      <c r="M14" s="222"/>
      <c r="N14" s="1918"/>
      <c r="O14" s="222"/>
      <c r="P14" s="229"/>
      <c r="Q14" s="222"/>
      <c r="R14" s="229"/>
      <c r="S14" s="222"/>
      <c r="T14" s="229"/>
      <c r="U14" s="222"/>
      <c r="V14" s="229"/>
      <c r="W14" s="222"/>
      <c r="X14" s="229"/>
      <c r="Y14" s="222"/>
      <c r="Z14" s="229"/>
      <c r="AA14" s="222"/>
      <c r="AB14" s="1919"/>
      <c r="AC14" s="1982"/>
      <c r="AD14" s="229"/>
      <c r="AE14" s="1919"/>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1128</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40"/>
      <c r="AJ16" s="1740"/>
      <c r="AK16" s="1204"/>
    </row>
    <row r="17" spans="1:38" ht="15" customHeight="1">
      <c r="A17" s="350"/>
      <c r="B17" s="1669" t="s">
        <v>1237</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40"/>
      <c r="AJ17" s="1740"/>
      <c r="AK17" s="1204"/>
    </row>
    <row r="18" spans="1:38" ht="15" customHeight="1">
      <c r="A18" s="350"/>
      <c r="B18" s="1669" t="s">
        <v>1145</v>
      </c>
      <c r="C18" s="223"/>
      <c r="D18" s="1272">
        <v>0</v>
      </c>
      <c r="E18" s="1672"/>
      <c r="F18" s="1272">
        <v>0</v>
      </c>
      <c r="G18" s="1672"/>
      <c r="H18" s="1672">
        <v>0</v>
      </c>
      <c r="I18" s="1672"/>
      <c r="J18" s="1672">
        <v>0</v>
      </c>
      <c r="K18" s="2800"/>
      <c r="L18" s="1672">
        <v>0</v>
      </c>
      <c r="M18" s="2800"/>
      <c r="N18" s="1672">
        <v>0</v>
      </c>
      <c r="O18" s="2800"/>
      <c r="P18" s="1672">
        <v>0</v>
      </c>
      <c r="Q18" s="2800"/>
      <c r="R18" s="1672">
        <v>0</v>
      </c>
      <c r="S18" s="2800"/>
      <c r="T18" s="1276">
        <v>0</v>
      </c>
      <c r="U18" s="2800"/>
      <c r="V18" s="1276">
        <v>0</v>
      </c>
      <c r="W18" s="2800"/>
      <c r="X18" s="1276"/>
      <c r="Y18" s="2800"/>
      <c r="Z18" s="1262"/>
      <c r="AA18" s="2800"/>
      <c r="AB18" s="2507"/>
      <c r="AC18" s="1672">
        <f>ROUND(SUM(D18:Z18),1)</f>
        <v>0</v>
      </c>
      <c r="AD18" s="2800"/>
      <c r="AE18" s="2516"/>
      <c r="AF18" s="1672">
        <v>0</v>
      </c>
      <c r="AG18" s="2484"/>
      <c r="AH18" s="1740"/>
      <c r="AI18" s="1672">
        <f>ROUND(SUM(+AC18-AF18),1)</f>
        <v>0</v>
      </c>
      <c r="AJ18" s="1740"/>
      <c r="AK18" s="2582">
        <f>ROUND(IF(AF18=0,0,AI18/ABS(AF18)),3)</f>
        <v>0</v>
      </c>
    </row>
    <row r="19" spans="1:38" ht="15" customHeight="1">
      <c r="A19" s="350"/>
      <c r="B19" s="1669" t="s">
        <v>1238</v>
      </c>
      <c r="C19" s="223"/>
      <c r="D19" s="273"/>
      <c r="E19" s="365"/>
      <c r="F19" s="273"/>
      <c r="G19" s="365"/>
      <c r="H19" s="339"/>
      <c r="I19" s="365"/>
      <c r="J19" s="339"/>
      <c r="K19" s="365"/>
      <c r="L19" s="339"/>
      <c r="M19" s="365"/>
      <c r="N19" s="339"/>
      <c r="O19" s="365"/>
      <c r="P19" s="339"/>
      <c r="Q19" s="365"/>
      <c r="R19" s="339"/>
      <c r="S19" s="365"/>
      <c r="T19" s="370"/>
      <c r="U19" s="365"/>
      <c r="V19" s="370"/>
      <c r="W19" s="260"/>
      <c r="X19" s="370"/>
      <c r="Y19" s="260"/>
      <c r="Z19" s="273"/>
      <c r="AA19" s="365"/>
      <c r="AB19" s="470"/>
      <c r="AC19" s="316"/>
      <c r="AD19" s="260"/>
      <c r="AE19" s="251"/>
      <c r="AF19" s="260"/>
      <c r="AG19" s="511"/>
      <c r="AH19" s="248"/>
      <c r="AI19" s="1740"/>
      <c r="AJ19" s="1740"/>
      <c r="AK19" s="2593"/>
    </row>
    <row r="20" spans="1:38" ht="15" customHeight="1">
      <c r="A20" s="350"/>
      <c r="B20" s="1669" t="s">
        <v>1147</v>
      </c>
      <c r="C20" s="223"/>
      <c r="D20" s="273">
        <v>3.7</v>
      </c>
      <c r="E20" s="365"/>
      <c r="F20" s="273">
        <v>35.700000000000003</v>
      </c>
      <c r="G20" s="365"/>
      <c r="H20" s="316">
        <v>0.2</v>
      </c>
      <c r="I20" s="365"/>
      <c r="J20" s="316">
        <v>1.8</v>
      </c>
      <c r="K20" s="365"/>
      <c r="L20" s="316">
        <v>10.3</v>
      </c>
      <c r="M20" s="365"/>
      <c r="N20" s="316">
        <v>0.1</v>
      </c>
      <c r="O20" s="365"/>
      <c r="P20" s="316">
        <v>1.8</v>
      </c>
      <c r="Q20" s="365"/>
      <c r="R20" s="316">
        <v>6.4</v>
      </c>
      <c r="S20" s="365"/>
      <c r="T20" s="316">
        <v>0.1</v>
      </c>
      <c r="U20" s="365"/>
      <c r="V20" s="316">
        <v>1.5</v>
      </c>
      <c r="W20" s="260"/>
      <c r="X20" s="1276"/>
      <c r="Y20" s="260"/>
      <c r="Z20" s="1276"/>
      <c r="AA20" s="365"/>
      <c r="AB20" s="470"/>
      <c r="AC20" s="316">
        <f>ROUND(SUM(D20:Z20),1)</f>
        <v>61.6</v>
      </c>
      <c r="AD20" s="260"/>
      <c r="AE20" s="251"/>
      <c r="AF20" s="260">
        <v>59.2</v>
      </c>
      <c r="AG20" s="511"/>
      <c r="AH20" s="248"/>
      <c r="AI20" s="1740">
        <f t="shared" ref="AI20:AI50" si="0">ROUND(SUM(+AC20-AF20),1)</f>
        <v>2.4</v>
      </c>
      <c r="AJ20" s="1740"/>
      <c r="AK20" s="2582">
        <f>ROUND(IF(AF20=0,0,AI20/ABS(AF20)),3)</f>
        <v>4.1000000000000002E-2</v>
      </c>
      <c r="AL20" s="2467"/>
    </row>
    <row r="21" spans="1:38" ht="15" customHeight="1">
      <c r="A21" s="350"/>
      <c r="B21" s="1669" t="s">
        <v>1148</v>
      </c>
      <c r="C21" s="223"/>
      <c r="D21" s="273">
        <v>0</v>
      </c>
      <c r="E21" s="365"/>
      <c r="F21" s="273">
        <v>0</v>
      </c>
      <c r="G21" s="365"/>
      <c r="H21" s="316">
        <v>0</v>
      </c>
      <c r="I21" s="365"/>
      <c r="J21" s="316">
        <v>0</v>
      </c>
      <c r="K21" s="365"/>
      <c r="L21" s="316">
        <v>0</v>
      </c>
      <c r="M21" s="365"/>
      <c r="N21" s="316">
        <v>0</v>
      </c>
      <c r="O21" s="365"/>
      <c r="P21" s="316">
        <v>0</v>
      </c>
      <c r="Q21" s="365"/>
      <c r="R21" s="316">
        <v>0</v>
      </c>
      <c r="S21" s="365"/>
      <c r="T21" s="316">
        <v>0</v>
      </c>
      <c r="U21" s="365"/>
      <c r="V21" s="316">
        <v>0</v>
      </c>
      <c r="W21" s="260"/>
      <c r="X21" s="1276"/>
      <c r="Y21" s="260"/>
      <c r="Z21" s="1276"/>
      <c r="AA21" s="365"/>
      <c r="AB21" s="470"/>
      <c r="AC21" s="316">
        <f>ROUND(SUM(D21:Z21),1)</f>
        <v>0</v>
      </c>
      <c r="AD21" s="260"/>
      <c r="AE21" s="251"/>
      <c r="AF21" s="260">
        <v>0</v>
      </c>
      <c r="AG21" s="511"/>
      <c r="AH21" s="248"/>
      <c r="AI21" s="1740">
        <f t="shared" si="0"/>
        <v>0</v>
      </c>
      <c r="AJ21" s="1740"/>
      <c r="AK21" s="2582">
        <f>ROUND(IF(AF21=0,0,AI21/ABS(AF21)),3)</f>
        <v>0</v>
      </c>
    </row>
    <row r="22" spans="1:38" ht="15" customHeight="1">
      <c r="A22" s="350"/>
      <c r="B22" s="1669" t="s">
        <v>1149</v>
      </c>
      <c r="C22" s="223"/>
      <c r="D22" s="273">
        <v>0</v>
      </c>
      <c r="E22" s="365"/>
      <c r="F22" s="273">
        <v>0</v>
      </c>
      <c r="G22" s="365"/>
      <c r="H22" s="316">
        <v>0</v>
      </c>
      <c r="I22" s="365"/>
      <c r="J22" s="316">
        <v>0</v>
      </c>
      <c r="K22" s="365"/>
      <c r="L22" s="316">
        <v>0</v>
      </c>
      <c r="M22" s="365"/>
      <c r="N22" s="316">
        <v>0</v>
      </c>
      <c r="O22" s="365"/>
      <c r="P22" s="316">
        <v>0</v>
      </c>
      <c r="Q22" s="365"/>
      <c r="R22" s="316">
        <v>0</v>
      </c>
      <c r="S22" s="365"/>
      <c r="T22" s="316">
        <v>0</v>
      </c>
      <c r="U22" s="365"/>
      <c r="V22" s="316">
        <v>0</v>
      </c>
      <c r="W22" s="260"/>
      <c r="X22" s="1276"/>
      <c r="Y22" s="260"/>
      <c r="Z22" s="1276"/>
      <c r="AA22" s="365"/>
      <c r="AB22" s="470"/>
      <c r="AC22" s="316">
        <f>ROUND(SUM(D22:Z22),1)</f>
        <v>0</v>
      </c>
      <c r="AD22" s="260"/>
      <c r="AE22" s="251"/>
      <c r="AF22" s="260">
        <v>0</v>
      </c>
      <c r="AG22" s="511"/>
      <c r="AH22" s="248"/>
      <c r="AI22" s="1740">
        <f t="shared" si="0"/>
        <v>0</v>
      </c>
      <c r="AJ22" s="1740"/>
      <c r="AK22" s="2582">
        <f>ROUND(IF(AF22=0,0,AI22/ABS(AF22)),3)</f>
        <v>0</v>
      </c>
    </row>
    <row r="23" spans="1:38" ht="15" customHeight="1">
      <c r="A23" s="350"/>
      <c r="B23" s="1669" t="s">
        <v>1150</v>
      </c>
      <c r="C23" s="223"/>
      <c r="D23" s="273">
        <v>0</v>
      </c>
      <c r="E23" s="365"/>
      <c r="F23" s="273">
        <v>0</v>
      </c>
      <c r="G23" s="365"/>
      <c r="H23" s="316">
        <v>0</v>
      </c>
      <c r="I23" s="365"/>
      <c r="J23" s="316">
        <v>0</v>
      </c>
      <c r="K23" s="365"/>
      <c r="L23" s="316">
        <v>0</v>
      </c>
      <c r="M23" s="365"/>
      <c r="N23" s="316">
        <v>0</v>
      </c>
      <c r="O23" s="365"/>
      <c r="P23" s="316">
        <v>0</v>
      </c>
      <c r="Q23" s="365"/>
      <c r="R23" s="316">
        <v>0</v>
      </c>
      <c r="S23" s="365"/>
      <c r="T23" s="316">
        <v>0</v>
      </c>
      <c r="U23" s="365"/>
      <c r="V23" s="316">
        <v>0</v>
      </c>
      <c r="W23" s="260"/>
      <c r="X23" s="1276"/>
      <c r="Y23" s="260"/>
      <c r="Z23" s="1276"/>
      <c r="AA23" s="365"/>
      <c r="AB23" s="470"/>
      <c r="AC23" s="316">
        <f>ROUND(SUM(D23:Z23),1)</f>
        <v>0</v>
      </c>
      <c r="AD23" s="260"/>
      <c r="AE23" s="251"/>
      <c r="AF23" s="260">
        <v>0</v>
      </c>
      <c r="AG23" s="511"/>
      <c r="AH23" s="248"/>
      <c r="AI23" s="1740">
        <f t="shared" si="0"/>
        <v>0</v>
      </c>
      <c r="AJ23" s="1740"/>
      <c r="AK23" s="2582">
        <f>ROUND(IF(AF23=0,0,AI23/ABS(AF23)),3)</f>
        <v>0</v>
      </c>
    </row>
    <row r="24" spans="1:38" ht="15" customHeight="1">
      <c r="A24" s="350"/>
      <c r="B24" s="1669" t="s">
        <v>1242</v>
      </c>
      <c r="C24" s="223"/>
      <c r="D24" s="273"/>
      <c r="E24" s="365"/>
      <c r="F24" s="273"/>
      <c r="G24" s="365"/>
      <c r="H24" s="339"/>
      <c r="I24" s="365"/>
      <c r="J24" s="339"/>
      <c r="K24" s="365"/>
      <c r="L24" s="339"/>
      <c r="M24" s="365"/>
      <c r="N24" s="339"/>
      <c r="O24" s="365"/>
      <c r="P24" s="339"/>
      <c r="Q24" s="365"/>
      <c r="R24" s="339"/>
      <c r="S24" s="365"/>
      <c r="T24" s="339"/>
      <c r="U24" s="365"/>
      <c r="V24" s="339"/>
      <c r="W24" s="260"/>
      <c r="X24" s="370"/>
      <c r="Y24" s="260"/>
      <c r="Z24" s="370"/>
      <c r="AA24" s="365"/>
      <c r="AB24" s="470"/>
      <c r="AC24" s="316"/>
      <c r="AD24" s="260"/>
      <c r="AE24" s="251"/>
      <c r="AF24" s="260"/>
      <c r="AG24" s="511"/>
      <c r="AH24" s="248"/>
      <c r="AI24" s="1740"/>
      <c r="AJ24" s="1740"/>
      <c r="AK24" s="2582"/>
    </row>
    <row r="25" spans="1:38" ht="15" customHeight="1">
      <c r="A25" s="350"/>
      <c r="B25" s="1669" t="s">
        <v>1151</v>
      </c>
      <c r="C25" s="223"/>
      <c r="D25" s="273">
        <v>0</v>
      </c>
      <c r="E25" s="365"/>
      <c r="F25" s="273">
        <v>0</v>
      </c>
      <c r="G25" s="365"/>
      <c r="H25" s="316">
        <v>0</v>
      </c>
      <c r="I25" s="365"/>
      <c r="J25" s="316">
        <v>0</v>
      </c>
      <c r="K25" s="365"/>
      <c r="L25" s="316">
        <v>0</v>
      </c>
      <c r="M25" s="365"/>
      <c r="N25" s="316">
        <v>0</v>
      </c>
      <c r="O25" s="365"/>
      <c r="P25" s="316">
        <v>0</v>
      </c>
      <c r="Q25" s="365"/>
      <c r="R25" s="316">
        <v>0</v>
      </c>
      <c r="S25" s="365"/>
      <c r="T25" s="316">
        <v>0</v>
      </c>
      <c r="U25" s="365"/>
      <c r="V25" s="316">
        <v>0</v>
      </c>
      <c r="W25" s="260"/>
      <c r="X25" s="1276"/>
      <c r="Y25" s="260"/>
      <c r="Z25" s="1276"/>
      <c r="AA25" s="365"/>
      <c r="AB25" s="470"/>
      <c r="AC25" s="316">
        <f t="shared" ref="AC25:AC31" si="1">ROUND(SUM(D25:Z25),1)</f>
        <v>0</v>
      </c>
      <c r="AD25" s="260"/>
      <c r="AE25" s="251"/>
      <c r="AF25" s="260">
        <v>0</v>
      </c>
      <c r="AG25" s="511"/>
      <c r="AH25" s="248"/>
      <c r="AI25" s="1740">
        <f t="shared" si="0"/>
        <v>0</v>
      </c>
      <c r="AJ25" s="1740"/>
      <c r="AK25" s="2582">
        <f>ROUND(IF(AF25=0,0,AI25/ABS(AF25)),3)</f>
        <v>0</v>
      </c>
    </row>
    <row r="26" spans="1:38" ht="15" customHeight="1">
      <c r="A26" s="350"/>
      <c r="B26" s="1669" t="s">
        <v>1152</v>
      </c>
      <c r="C26" s="223"/>
      <c r="D26" s="273">
        <v>0</v>
      </c>
      <c r="E26" s="365"/>
      <c r="F26" s="273">
        <v>0</v>
      </c>
      <c r="G26" s="365"/>
      <c r="H26" s="316">
        <v>0</v>
      </c>
      <c r="I26" s="365"/>
      <c r="J26" s="316">
        <v>0</v>
      </c>
      <c r="K26" s="365"/>
      <c r="L26" s="316">
        <v>0</v>
      </c>
      <c r="M26" s="365"/>
      <c r="N26" s="316">
        <v>0</v>
      </c>
      <c r="O26" s="365"/>
      <c r="P26" s="316">
        <v>0</v>
      </c>
      <c r="Q26" s="365"/>
      <c r="R26" s="316">
        <v>0</v>
      </c>
      <c r="S26" s="365"/>
      <c r="T26" s="316">
        <v>0</v>
      </c>
      <c r="U26" s="365"/>
      <c r="V26" s="316">
        <v>0</v>
      </c>
      <c r="W26" s="260"/>
      <c r="X26" s="1276"/>
      <c r="Y26" s="260"/>
      <c r="Z26" s="1276"/>
      <c r="AA26" s="365"/>
      <c r="AB26" s="470"/>
      <c r="AC26" s="316">
        <f t="shared" si="1"/>
        <v>0</v>
      </c>
      <c r="AD26" s="260"/>
      <c r="AE26" s="251"/>
      <c r="AF26" s="260">
        <v>0</v>
      </c>
      <c r="AG26" s="511"/>
      <c r="AH26" s="248"/>
      <c r="AI26" s="1740">
        <f t="shared" si="0"/>
        <v>0</v>
      </c>
      <c r="AJ26" s="1740"/>
      <c r="AK26" s="2582">
        <f t="shared" ref="AK26:AK30" si="2">ROUND(IF(AF26=0,0,AI26/ABS(AF26)),3)</f>
        <v>0</v>
      </c>
    </row>
    <row r="27" spans="1:38" ht="15" customHeight="1">
      <c r="A27" s="350"/>
      <c r="B27" s="1669" t="s">
        <v>1153</v>
      </c>
      <c r="C27" s="223"/>
      <c r="D27" s="273">
        <v>0</v>
      </c>
      <c r="E27" s="365"/>
      <c r="F27" s="273">
        <v>0</v>
      </c>
      <c r="G27" s="365"/>
      <c r="H27" s="316">
        <v>0</v>
      </c>
      <c r="I27" s="365"/>
      <c r="J27" s="316">
        <v>0</v>
      </c>
      <c r="K27" s="365"/>
      <c r="L27" s="316">
        <v>0</v>
      </c>
      <c r="M27" s="365"/>
      <c r="N27" s="316">
        <v>0</v>
      </c>
      <c r="O27" s="365"/>
      <c r="P27" s="316">
        <v>0</v>
      </c>
      <c r="Q27" s="365"/>
      <c r="R27" s="316">
        <v>0</v>
      </c>
      <c r="S27" s="365"/>
      <c r="T27" s="316">
        <v>0</v>
      </c>
      <c r="U27" s="365"/>
      <c r="V27" s="316">
        <v>0</v>
      </c>
      <c r="W27" s="260"/>
      <c r="X27" s="1276"/>
      <c r="Y27" s="260"/>
      <c r="Z27" s="1276"/>
      <c r="AA27" s="365"/>
      <c r="AB27" s="470"/>
      <c r="AC27" s="316">
        <f t="shared" si="1"/>
        <v>0</v>
      </c>
      <c r="AD27" s="260"/>
      <c r="AE27" s="251"/>
      <c r="AF27" s="260">
        <v>0</v>
      </c>
      <c r="AG27" s="511"/>
      <c r="AH27" s="248"/>
      <c r="AI27" s="1740">
        <f t="shared" si="0"/>
        <v>0</v>
      </c>
      <c r="AJ27" s="1740"/>
      <c r="AK27" s="2582">
        <f t="shared" si="2"/>
        <v>0</v>
      </c>
    </row>
    <row r="28" spans="1:38" ht="15" customHeight="1">
      <c r="A28" s="350"/>
      <c r="B28" s="1669" t="s">
        <v>1154</v>
      </c>
      <c r="C28" s="223"/>
      <c r="D28" s="273">
        <v>0</v>
      </c>
      <c r="E28" s="365"/>
      <c r="F28" s="273">
        <v>0</v>
      </c>
      <c r="G28" s="365"/>
      <c r="H28" s="316">
        <v>0</v>
      </c>
      <c r="I28" s="365"/>
      <c r="J28" s="316">
        <v>0</v>
      </c>
      <c r="K28" s="365"/>
      <c r="L28" s="316">
        <v>0</v>
      </c>
      <c r="M28" s="365"/>
      <c r="N28" s="316">
        <v>0</v>
      </c>
      <c r="O28" s="365"/>
      <c r="P28" s="316">
        <v>0</v>
      </c>
      <c r="Q28" s="365"/>
      <c r="R28" s="316">
        <v>0</v>
      </c>
      <c r="S28" s="365"/>
      <c r="T28" s="316">
        <v>0</v>
      </c>
      <c r="U28" s="365"/>
      <c r="V28" s="316">
        <v>0</v>
      </c>
      <c r="W28" s="260"/>
      <c r="X28" s="1276"/>
      <c r="Y28" s="260"/>
      <c r="Z28" s="1276"/>
      <c r="AA28" s="365"/>
      <c r="AB28" s="470"/>
      <c r="AC28" s="316">
        <f t="shared" si="1"/>
        <v>0</v>
      </c>
      <c r="AD28" s="260"/>
      <c r="AE28" s="251"/>
      <c r="AF28" s="260">
        <v>0</v>
      </c>
      <c r="AG28" s="511"/>
      <c r="AH28" s="248"/>
      <c r="AI28" s="1740">
        <f t="shared" si="0"/>
        <v>0</v>
      </c>
      <c r="AJ28" s="1740"/>
      <c r="AK28" s="2582">
        <f t="shared" si="2"/>
        <v>0</v>
      </c>
    </row>
    <row r="29" spans="1:38" ht="15" customHeight="1">
      <c r="A29" s="350"/>
      <c r="B29" s="1669" t="s">
        <v>1155</v>
      </c>
      <c r="C29" s="223"/>
      <c r="D29" s="273">
        <v>0</v>
      </c>
      <c r="E29" s="365"/>
      <c r="F29" s="273">
        <v>0</v>
      </c>
      <c r="G29" s="365"/>
      <c r="H29" s="316">
        <v>0</v>
      </c>
      <c r="I29" s="365"/>
      <c r="J29" s="316">
        <v>0</v>
      </c>
      <c r="K29" s="365"/>
      <c r="L29" s="316">
        <v>0</v>
      </c>
      <c r="M29" s="365"/>
      <c r="N29" s="316">
        <v>0</v>
      </c>
      <c r="O29" s="365"/>
      <c r="P29" s="316">
        <v>0</v>
      </c>
      <c r="Q29" s="365"/>
      <c r="R29" s="316">
        <v>0</v>
      </c>
      <c r="S29" s="365"/>
      <c r="T29" s="316">
        <v>0</v>
      </c>
      <c r="U29" s="365"/>
      <c r="V29" s="316">
        <v>0</v>
      </c>
      <c r="W29" s="260"/>
      <c r="X29" s="1276"/>
      <c r="Y29" s="260"/>
      <c r="Z29" s="1276"/>
      <c r="AA29" s="365"/>
      <c r="AB29" s="470"/>
      <c r="AC29" s="316">
        <f t="shared" si="1"/>
        <v>0</v>
      </c>
      <c r="AD29" s="260"/>
      <c r="AE29" s="251"/>
      <c r="AF29" s="260">
        <v>0</v>
      </c>
      <c r="AG29" s="511"/>
      <c r="AH29" s="248"/>
      <c r="AI29" s="1740">
        <f t="shared" si="0"/>
        <v>0</v>
      </c>
      <c r="AJ29" s="1740"/>
      <c r="AK29" s="2582">
        <f t="shared" si="2"/>
        <v>0</v>
      </c>
    </row>
    <row r="30" spans="1:38" ht="15" customHeight="1">
      <c r="A30" s="350"/>
      <c r="B30" s="1669" t="s">
        <v>1129</v>
      </c>
      <c r="C30" s="223"/>
      <c r="D30" s="273">
        <v>0.8</v>
      </c>
      <c r="E30" s="365"/>
      <c r="F30" s="273">
        <v>0.7</v>
      </c>
      <c r="G30" s="365"/>
      <c r="H30" s="316">
        <v>0.8</v>
      </c>
      <c r="I30" s="365"/>
      <c r="J30" s="316">
        <v>0.6</v>
      </c>
      <c r="K30" s="365"/>
      <c r="L30" s="316">
        <v>2.7</v>
      </c>
      <c r="M30" s="365"/>
      <c r="N30" s="316">
        <v>1.2</v>
      </c>
      <c r="O30" s="365"/>
      <c r="P30" s="316">
        <v>0.7</v>
      </c>
      <c r="Q30" s="365"/>
      <c r="R30" s="316">
        <v>0.8</v>
      </c>
      <c r="S30" s="365"/>
      <c r="T30" s="316">
        <v>0.3</v>
      </c>
      <c r="U30" s="365"/>
      <c r="V30" s="316">
        <v>0.9</v>
      </c>
      <c r="W30" s="260"/>
      <c r="X30" s="1276"/>
      <c r="Y30" s="260"/>
      <c r="Z30" s="1276"/>
      <c r="AA30" s="365"/>
      <c r="AB30" s="470"/>
      <c r="AC30" s="316">
        <f t="shared" si="1"/>
        <v>9.5</v>
      </c>
      <c r="AD30" s="260"/>
      <c r="AE30" s="251"/>
      <c r="AF30" s="260">
        <v>17.2</v>
      </c>
      <c r="AG30" s="511"/>
      <c r="AH30" s="248"/>
      <c r="AI30" s="1740">
        <f>ROUND(SUM(+AC30-AF30),1)</f>
        <v>-7.7</v>
      </c>
      <c r="AJ30" s="1740"/>
      <c r="AK30" s="2582">
        <f t="shared" si="2"/>
        <v>-0.44800000000000001</v>
      </c>
    </row>
    <row r="31" spans="1:38" ht="15" customHeight="1">
      <c r="A31" s="350"/>
      <c r="B31" s="1669" t="s">
        <v>1130</v>
      </c>
      <c r="C31" s="223"/>
      <c r="D31" s="273">
        <v>0.4</v>
      </c>
      <c r="E31" s="365"/>
      <c r="F31" s="273">
        <v>0.6</v>
      </c>
      <c r="G31" s="365"/>
      <c r="H31" s="316">
        <v>0.5</v>
      </c>
      <c r="I31" s="365"/>
      <c r="J31" s="316">
        <v>0.5</v>
      </c>
      <c r="K31" s="365"/>
      <c r="L31" s="316">
        <v>0.8</v>
      </c>
      <c r="M31" s="365"/>
      <c r="N31" s="316">
        <v>0.4</v>
      </c>
      <c r="O31" s="365"/>
      <c r="P31" s="316">
        <v>0.6</v>
      </c>
      <c r="Q31" s="365"/>
      <c r="R31" s="316">
        <v>0.7</v>
      </c>
      <c r="S31" s="365"/>
      <c r="T31" s="316">
        <v>0.6</v>
      </c>
      <c r="U31" s="365"/>
      <c r="V31" s="316">
        <v>0.4</v>
      </c>
      <c r="W31" s="260"/>
      <c r="X31" s="1276"/>
      <c r="Y31" s="260"/>
      <c r="Z31" s="1276"/>
      <c r="AA31" s="365"/>
      <c r="AB31" s="470"/>
      <c r="AC31" s="316">
        <f t="shared" si="1"/>
        <v>5.5</v>
      </c>
      <c r="AD31" s="260"/>
      <c r="AE31" s="251"/>
      <c r="AF31" s="260">
        <v>2.4</v>
      </c>
      <c r="AG31" s="511"/>
      <c r="AH31" s="248"/>
      <c r="AI31" s="1740">
        <f t="shared" si="0"/>
        <v>3.1</v>
      </c>
      <c r="AJ31" s="1740"/>
      <c r="AK31" s="2582">
        <f>ROUND(IF(AF31=0,1,AI31/ABS(AF31)),3)</f>
        <v>1.292</v>
      </c>
    </row>
    <row r="32" spans="1:38" ht="15" customHeight="1">
      <c r="A32" s="350"/>
      <c r="B32" s="1669" t="s">
        <v>1240</v>
      </c>
      <c r="C32" s="223"/>
      <c r="D32" s="273"/>
      <c r="E32" s="365"/>
      <c r="F32" s="273"/>
      <c r="G32" s="365"/>
      <c r="H32" s="339"/>
      <c r="I32" s="365"/>
      <c r="J32" s="339"/>
      <c r="K32" s="365"/>
      <c r="L32" s="339"/>
      <c r="M32" s="365"/>
      <c r="N32" s="339"/>
      <c r="O32" s="365"/>
      <c r="P32" s="339"/>
      <c r="Q32" s="365"/>
      <c r="R32" s="339"/>
      <c r="S32" s="365"/>
      <c r="T32" s="339"/>
      <c r="U32" s="365"/>
      <c r="V32" s="339"/>
      <c r="W32" s="260"/>
      <c r="X32" s="370"/>
      <c r="Y32" s="260"/>
      <c r="Z32" s="370"/>
      <c r="AA32" s="365"/>
      <c r="AB32" s="470"/>
      <c r="AC32" s="316"/>
      <c r="AD32" s="260"/>
      <c r="AE32" s="251"/>
      <c r="AF32" s="260"/>
      <c r="AG32" s="511"/>
      <c r="AH32" s="248"/>
      <c r="AI32" s="1740"/>
      <c r="AJ32" s="1740"/>
      <c r="AK32" s="2593"/>
    </row>
    <row r="33" spans="1:37" ht="15" customHeight="1">
      <c r="A33" s="350"/>
      <c r="B33" s="1669" t="s">
        <v>1159</v>
      </c>
      <c r="C33" s="223"/>
      <c r="D33" s="273">
        <v>0</v>
      </c>
      <c r="E33" s="365"/>
      <c r="F33" s="273">
        <v>0</v>
      </c>
      <c r="G33" s="365"/>
      <c r="H33" s="317">
        <v>0</v>
      </c>
      <c r="I33" s="365"/>
      <c r="J33" s="317">
        <v>0</v>
      </c>
      <c r="K33" s="365"/>
      <c r="L33" s="317">
        <v>0</v>
      </c>
      <c r="M33" s="365"/>
      <c r="N33" s="317">
        <v>0</v>
      </c>
      <c r="O33" s="365"/>
      <c r="P33" s="317">
        <v>0</v>
      </c>
      <c r="Q33" s="365"/>
      <c r="R33" s="317">
        <v>0</v>
      </c>
      <c r="S33" s="365"/>
      <c r="T33" s="317">
        <v>0</v>
      </c>
      <c r="U33" s="365"/>
      <c r="V33" s="317">
        <v>0</v>
      </c>
      <c r="W33" s="260"/>
      <c r="X33" s="1276"/>
      <c r="Y33" s="260"/>
      <c r="Z33" s="1276"/>
      <c r="AA33" s="365"/>
      <c r="AB33" s="470"/>
      <c r="AC33" s="316">
        <f t="shared" ref="AC33:AC38" si="3">ROUND(SUM(D33:Z33),1)</f>
        <v>0</v>
      </c>
      <c r="AD33" s="260"/>
      <c r="AE33" s="251"/>
      <c r="AF33" s="260">
        <v>0</v>
      </c>
      <c r="AG33" s="511"/>
      <c r="AH33" s="248"/>
      <c r="AI33" s="1740">
        <f t="shared" si="0"/>
        <v>0</v>
      </c>
      <c r="AJ33" s="1740"/>
      <c r="AK33" s="2582">
        <f t="shared" ref="AK33:AK38" si="4">ROUND(IF(AF33=0,0,AI33/ABS(AF33)),3)</f>
        <v>0</v>
      </c>
    </row>
    <row r="34" spans="1:37" ht="15" customHeight="1">
      <c r="A34" s="350"/>
      <c r="B34" s="1669" t="s">
        <v>1160</v>
      </c>
      <c r="C34" s="223"/>
      <c r="D34" s="273">
        <v>0</v>
      </c>
      <c r="E34" s="365"/>
      <c r="F34" s="273">
        <v>0</v>
      </c>
      <c r="G34" s="365"/>
      <c r="H34" s="317">
        <v>0</v>
      </c>
      <c r="I34" s="365"/>
      <c r="J34" s="317">
        <v>0</v>
      </c>
      <c r="K34" s="365"/>
      <c r="L34" s="317">
        <v>0</v>
      </c>
      <c r="M34" s="365"/>
      <c r="N34" s="317">
        <v>0</v>
      </c>
      <c r="O34" s="365"/>
      <c r="P34" s="317">
        <v>0</v>
      </c>
      <c r="Q34" s="365"/>
      <c r="R34" s="317">
        <v>0</v>
      </c>
      <c r="S34" s="365"/>
      <c r="T34" s="317">
        <v>0</v>
      </c>
      <c r="U34" s="365"/>
      <c r="V34" s="317">
        <v>0</v>
      </c>
      <c r="W34" s="260"/>
      <c r="X34" s="1276"/>
      <c r="Y34" s="260"/>
      <c r="Z34" s="1276"/>
      <c r="AA34" s="365"/>
      <c r="AB34" s="470"/>
      <c r="AC34" s="316">
        <f t="shared" si="3"/>
        <v>0</v>
      </c>
      <c r="AD34" s="260"/>
      <c r="AE34" s="251"/>
      <c r="AF34" s="260">
        <v>0</v>
      </c>
      <c r="AG34" s="511"/>
      <c r="AH34" s="248"/>
      <c r="AI34" s="1740">
        <f t="shared" si="0"/>
        <v>0</v>
      </c>
      <c r="AJ34" s="1740"/>
      <c r="AK34" s="2582">
        <f t="shared" si="4"/>
        <v>0</v>
      </c>
    </row>
    <row r="35" spans="1:37" ht="15" customHeight="1">
      <c r="A35" s="350"/>
      <c r="B35" s="1669" t="s">
        <v>1161</v>
      </c>
      <c r="C35" s="223"/>
      <c r="D35" s="273">
        <v>0</v>
      </c>
      <c r="E35" s="365"/>
      <c r="F35" s="273">
        <v>0</v>
      </c>
      <c r="G35" s="365"/>
      <c r="H35" s="317">
        <v>0</v>
      </c>
      <c r="I35" s="365"/>
      <c r="J35" s="317">
        <v>0</v>
      </c>
      <c r="K35" s="365"/>
      <c r="L35" s="317">
        <v>0</v>
      </c>
      <c r="M35" s="365"/>
      <c r="N35" s="317">
        <v>0</v>
      </c>
      <c r="O35" s="365"/>
      <c r="P35" s="317">
        <v>0</v>
      </c>
      <c r="Q35" s="365"/>
      <c r="R35" s="317">
        <v>0</v>
      </c>
      <c r="S35" s="365"/>
      <c r="T35" s="317">
        <v>0</v>
      </c>
      <c r="U35" s="365"/>
      <c r="V35" s="317">
        <v>0</v>
      </c>
      <c r="W35" s="260"/>
      <c r="X35" s="1276"/>
      <c r="Y35" s="260"/>
      <c r="Z35" s="1276"/>
      <c r="AA35" s="365"/>
      <c r="AB35" s="470"/>
      <c r="AC35" s="316">
        <f t="shared" si="3"/>
        <v>0</v>
      </c>
      <c r="AD35" s="260"/>
      <c r="AE35" s="251"/>
      <c r="AF35" s="260">
        <v>0</v>
      </c>
      <c r="AG35" s="511"/>
      <c r="AH35" s="248"/>
      <c r="AI35" s="1740">
        <f t="shared" si="0"/>
        <v>0</v>
      </c>
      <c r="AJ35" s="1740"/>
      <c r="AK35" s="2582">
        <f t="shared" si="4"/>
        <v>0</v>
      </c>
    </row>
    <row r="36" spans="1:37" ht="15" customHeight="1">
      <c r="A36" s="350"/>
      <c r="B36" s="1669" t="s">
        <v>1162</v>
      </c>
      <c r="C36" s="223"/>
      <c r="D36" s="273">
        <v>0</v>
      </c>
      <c r="E36" s="365"/>
      <c r="F36" s="273">
        <v>0</v>
      </c>
      <c r="G36" s="365"/>
      <c r="H36" s="317">
        <v>0</v>
      </c>
      <c r="I36" s="365"/>
      <c r="J36" s="317">
        <v>0</v>
      </c>
      <c r="K36" s="365"/>
      <c r="L36" s="317">
        <v>0</v>
      </c>
      <c r="M36" s="365"/>
      <c r="N36" s="317">
        <v>0</v>
      </c>
      <c r="O36" s="365"/>
      <c r="P36" s="317">
        <v>0</v>
      </c>
      <c r="Q36" s="365"/>
      <c r="R36" s="317">
        <v>0</v>
      </c>
      <c r="S36" s="365"/>
      <c r="T36" s="317">
        <v>0</v>
      </c>
      <c r="U36" s="365"/>
      <c r="V36" s="317">
        <v>0</v>
      </c>
      <c r="W36" s="260"/>
      <c r="X36" s="1276"/>
      <c r="Y36" s="260"/>
      <c r="Z36" s="1276"/>
      <c r="AA36" s="365"/>
      <c r="AB36" s="470"/>
      <c r="AC36" s="316">
        <f t="shared" si="3"/>
        <v>0</v>
      </c>
      <c r="AD36" s="260"/>
      <c r="AE36" s="251"/>
      <c r="AF36" s="260">
        <v>0</v>
      </c>
      <c r="AG36" s="511"/>
      <c r="AH36" s="248"/>
      <c r="AI36" s="1740">
        <f t="shared" si="0"/>
        <v>0</v>
      </c>
      <c r="AJ36" s="1740"/>
      <c r="AK36" s="2582">
        <f t="shared" si="4"/>
        <v>0</v>
      </c>
    </row>
    <row r="37" spans="1:37" ht="15" customHeight="1">
      <c r="A37" s="350"/>
      <c r="B37" s="1669" t="s">
        <v>1141</v>
      </c>
      <c r="C37" s="223"/>
      <c r="D37" s="273">
        <v>0</v>
      </c>
      <c r="E37" s="365"/>
      <c r="F37" s="273">
        <v>0</v>
      </c>
      <c r="G37" s="365"/>
      <c r="H37" s="317">
        <v>0</v>
      </c>
      <c r="I37" s="365"/>
      <c r="J37" s="317">
        <v>0</v>
      </c>
      <c r="K37" s="365"/>
      <c r="L37" s="317">
        <v>0</v>
      </c>
      <c r="M37" s="365"/>
      <c r="N37" s="317">
        <v>0</v>
      </c>
      <c r="O37" s="365"/>
      <c r="P37" s="317">
        <v>0</v>
      </c>
      <c r="Q37" s="365"/>
      <c r="R37" s="317">
        <v>0</v>
      </c>
      <c r="S37" s="365"/>
      <c r="T37" s="317">
        <v>0</v>
      </c>
      <c r="U37" s="365"/>
      <c r="V37" s="317">
        <v>0</v>
      </c>
      <c r="W37" s="260"/>
      <c r="X37" s="1276"/>
      <c r="Y37" s="260"/>
      <c r="Z37" s="1276"/>
      <c r="AA37" s="365"/>
      <c r="AB37" s="470"/>
      <c r="AC37" s="316">
        <f t="shared" si="3"/>
        <v>0</v>
      </c>
      <c r="AD37" s="260"/>
      <c r="AE37" s="251"/>
      <c r="AF37" s="260">
        <v>0</v>
      </c>
      <c r="AG37" s="511"/>
      <c r="AH37" s="248"/>
      <c r="AI37" s="1740">
        <f t="shared" si="0"/>
        <v>0</v>
      </c>
      <c r="AJ37" s="1740"/>
      <c r="AK37" s="2582">
        <f t="shared" si="4"/>
        <v>0</v>
      </c>
    </row>
    <row r="38" spans="1:37" ht="15" customHeight="1">
      <c r="A38" s="350"/>
      <c r="B38" s="1669" t="s">
        <v>1142</v>
      </c>
      <c r="C38" s="223"/>
      <c r="D38" s="273">
        <v>0</v>
      </c>
      <c r="E38" s="365"/>
      <c r="F38" s="273">
        <v>0</v>
      </c>
      <c r="G38" s="365"/>
      <c r="H38" s="317">
        <v>0</v>
      </c>
      <c r="I38" s="365"/>
      <c r="J38" s="317">
        <v>0</v>
      </c>
      <c r="K38" s="365"/>
      <c r="L38" s="317">
        <v>0</v>
      </c>
      <c r="M38" s="365"/>
      <c r="N38" s="317">
        <v>0</v>
      </c>
      <c r="O38" s="365"/>
      <c r="P38" s="317">
        <v>0</v>
      </c>
      <c r="Q38" s="365"/>
      <c r="R38" s="317">
        <v>0</v>
      </c>
      <c r="S38" s="365"/>
      <c r="T38" s="317">
        <v>0</v>
      </c>
      <c r="U38" s="365"/>
      <c r="V38" s="317">
        <v>0</v>
      </c>
      <c r="W38" s="260"/>
      <c r="X38" s="1276"/>
      <c r="Y38" s="260"/>
      <c r="Z38" s="1276"/>
      <c r="AA38" s="365"/>
      <c r="AB38" s="470"/>
      <c r="AC38" s="316">
        <f t="shared" si="3"/>
        <v>0</v>
      </c>
      <c r="AD38" s="260"/>
      <c r="AE38" s="251"/>
      <c r="AF38" s="260">
        <v>0</v>
      </c>
      <c r="AG38" s="511"/>
      <c r="AH38" s="248"/>
      <c r="AI38" s="1740">
        <f t="shared" si="0"/>
        <v>0</v>
      </c>
      <c r="AJ38" s="1740"/>
      <c r="AK38" s="2582">
        <f t="shared" si="4"/>
        <v>0</v>
      </c>
    </row>
    <row r="39" spans="1:37" ht="15" customHeight="1">
      <c r="A39" s="350"/>
      <c r="B39" s="1669" t="s">
        <v>1241</v>
      </c>
      <c r="C39" s="223"/>
      <c r="D39" s="273"/>
      <c r="E39" s="365"/>
      <c r="F39" s="273"/>
      <c r="G39" s="365"/>
      <c r="H39" s="317"/>
      <c r="I39" s="365"/>
      <c r="J39" s="317"/>
      <c r="K39" s="365"/>
      <c r="L39" s="317"/>
      <c r="M39" s="365"/>
      <c r="N39" s="317"/>
      <c r="O39" s="365"/>
      <c r="P39" s="317"/>
      <c r="Q39" s="365"/>
      <c r="R39" s="317"/>
      <c r="S39" s="365"/>
      <c r="T39" s="317"/>
      <c r="U39" s="365"/>
      <c r="V39" s="317"/>
      <c r="W39" s="260"/>
      <c r="X39" s="370"/>
      <c r="Y39" s="260"/>
      <c r="Z39" s="370"/>
      <c r="AA39" s="365"/>
      <c r="AB39" s="470"/>
      <c r="AC39" s="316"/>
      <c r="AD39" s="260"/>
      <c r="AE39" s="251"/>
      <c r="AF39" s="260"/>
      <c r="AG39" s="511"/>
      <c r="AH39" s="248"/>
      <c r="AI39" s="1740"/>
      <c r="AJ39" s="1740"/>
      <c r="AK39" s="2593"/>
    </row>
    <row r="40" spans="1:37" ht="15" customHeight="1">
      <c r="A40" s="350"/>
      <c r="B40" s="1669" t="s">
        <v>1163</v>
      </c>
      <c r="C40" s="223"/>
      <c r="D40" s="273">
        <v>0</v>
      </c>
      <c r="E40" s="365"/>
      <c r="F40" s="273">
        <v>0</v>
      </c>
      <c r="G40" s="365"/>
      <c r="H40" s="317">
        <v>0</v>
      </c>
      <c r="I40" s="365"/>
      <c r="J40" s="317">
        <v>0</v>
      </c>
      <c r="K40" s="365"/>
      <c r="L40" s="317">
        <v>0</v>
      </c>
      <c r="M40" s="365"/>
      <c r="N40" s="317">
        <v>0</v>
      </c>
      <c r="O40" s="365"/>
      <c r="P40" s="317">
        <v>0</v>
      </c>
      <c r="Q40" s="365"/>
      <c r="R40" s="317">
        <v>0</v>
      </c>
      <c r="S40" s="365"/>
      <c r="T40" s="317">
        <v>0</v>
      </c>
      <c r="U40" s="365"/>
      <c r="V40" s="317">
        <v>0</v>
      </c>
      <c r="W40" s="260"/>
      <c r="X40" s="1276"/>
      <c r="Y40" s="260"/>
      <c r="Z40" s="1276"/>
      <c r="AA40" s="365"/>
      <c r="AB40" s="470"/>
      <c r="AC40" s="316">
        <f t="shared" ref="AC40:AC50" si="5">ROUND(SUM(D40:Z40),1)</f>
        <v>0</v>
      </c>
      <c r="AD40" s="260"/>
      <c r="AE40" s="251"/>
      <c r="AF40" s="260">
        <v>0.1</v>
      </c>
      <c r="AG40" s="511"/>
      <c r="AH40" s="248"/>
      <c r="AI40" s="1740">
        <f t="shared" si="0"/>
        <v>-0.1</v>
      </c>
      <c r="AJ40" s="1740"/>
      <c r="AK40" s="2582">
        <f t="shared" ref="AK40:AK45" si="6">ROUND(IF(AF40=0,0,AI40/ABS(AF40)),3)</f>
        <v>-1</v>
      </c>
    </row>
    <row r="41" spans="1:37" ht="15" customHeight="1">
      <c r="A41" s="350"/>
      <c r="B41" s="1669" t="s">
        <v>1164</v>
      </c>
      <c r="C41" s="223"/>
      <c r="D41" s="273">
        <v>0</v>
      </c>
      <c r="E41" s="365"/>
      <c r="F41" s="273">
        <v>0</v>
      </c>
      <c r="G41" s="365"/>
      <c r="H41" s="317">
        <v>0</v>
      </c>
      <c r="I41" s="365"/>
      <c r="J41" s="317">
        <v>0</v>
      </c>
      <c r="K41" s="365"/>
      <c r="L41" s="317">
        <v>0</v>
      </c>
      <c r="M41" s="365"/>
      <c r="N41" s="317">
        <v>0</v>
      </c>
      <c r="O41" s="365"/>
      <c r="P41" s="317">
        <v>0</v>
      </c>
      <c r="Q41" s="365"/>
      <c r="R41" s="317">
        <v>0</v>
      </c>
      <c r="S41" s="365"/>
      <c r="T41" s="317">
        <v>0</v>
      </c>
      <c r="U41" s="365"/>
      <c r="V41" s="317">
        <v>0</v>
      </c>
      <c r="W41" s="260"/>
      <c r="X41" s="1276"/>
      <c r="Y41" s="260"/>
      <c r="Z41" s="1276"/>
      <c r="AA41" s="365"/>
      <c r="AB41" s="470"/>
      <c r="AC41" s="316">
        <f t="shared" si="5"/>
        <v>0</v>
      </c>
      <c r="AD41" s="260"/>
      <c r="AE41" s="251"/>
      <c r="AF41" s="260">
        <v>0</v>
      </c>
      <c r="AG41" s="511"/>
      <c r="AH41" s="248"/>
      <c r="AI41" s="1740">
        <f t="shared" si="0"/>
        <v>0</v>
      </c>
      <c r="AJ41" s="1740"/>
      <c r="AK41" s="2582">
        <f t="shared" si="6"/>
        <v>0</v>
      </c>
    </row>
    <row r="42" spans="1:37" ht="15" customHeight="1">
      <c r="A42" s="350"/>
      <c r="B42" s="1669" t="s">
        <v>1165</v>
      </c>
      <c r="C42" s="223"/>
      <c r="D42" s="273">
        <v>0</v>
      </c>
      <c r="E42" s="365"/>
      <c r="F42" s="273">
        <v>0</v>
      </c>
      <c r="G42" s="365"/>
      <c r="H42" s="317">
        <v>0.4</v>
      </c>
      <c r="I42" s="365"/>
      <c r="J42" s="317">
        <v>0</v>
      </c>
      <c r="K42" s="365"/>
      <c r="L42" s="317">
        <v>0.1</v>
      </c>
      <c r="M42" s="365"/>
      <c r="N42" s="317">
        <v>0</v>
      </c>
      <c r="O42" s="365"/>
      <c r="P42" s="317">
        <v>-0.1</v>
      </c>
      <c r="Q42" s="365"/>
      <c r="R42" s="317">
        <v>0</v>
      </c>
      <c r="S42" s="365"/>
      <c r="T42" s="317">
        <v>0</v>
      </c>
      <c r="U42" s="365"/>
      <c r="V42" s="317">
        <v>0</v>
      </c>
      <c r="W42" s="260"/>
      <c r="X42" s="1276"/>
      <c r="Y42" s="260"/>
      <c r="Z42" s="1276"/>
      <c r="AA42" s="365"/>
      <c r="AB42" s="470"/>
      <c r="AC42" s="316">
        <f t="shared" si="5"/>
        <v>0.4</v>
      </c>
      <c r="AD42" s="260"/>
      <c r="AE42" s="251"/>
      <c r="AF42" s="260">
        <v>0</v>
      </c>
      <c r="AG42" s="511"/>
      <c r="AH42" s="248"/>
      <c r="AI42" s="1740">
        <f t="shared" si="0"/>
        <v>0.4</v>
      </c>
      <c r="AJ42" s="1740"/>
      <c r="AK42" s="2582">
        <f>ROUND(IF(AF42=0,1,AI42/ABS(AF42)),3)</f>
        <v>1</v>
      </c>
    </row>
    <row r="43" spans="1:37" ht="15" customHeight="1">
      <c r="A43" s="350"/>
      <c r="B43" s="1669" t="s">
        <v>1166</v>
      </c>
      <c r="C43" s="223"/>
      <c r="D43" s="273">
        <v>0</v>
      </c>
      <c r="E43" s="365"/>
      <c r="F43" s="273">
        <v>0</v>
      </c>
      <c r="G43" s="365"/>
      <c r="H43" s="317">
        <v>0</v>
      </c>
      <c r="I43" s="365"/>
      <c r="J43" s="317">
        <v>0</v>
      </c>
      <c r="K43" s="365"/>
      <c r="L43" s="317">
        <v>0</v>
      </c>
      <c r="M43" s="365"/>
      <c r="N43" s="317">
        <v>0</v>
      </c>
      <c r="O43" s="365"/>
      <c r="P43" s="317">
        <v>0</v>
      </c>
      <c r="Q43" s="365"/>
      <c r="R43" s="317">
        <v>0</v>
      </c>
      <c r="S43" s="365"/>
      <c r="T43" s="317">
        <v>0</v>
      </c>
      <c r="U43" s="365"/>
      <c r="V43" s="317">
        <v>0</v>
      </c>
      <c r="W43" s="260"/>
      <c r="X43" s="1276"/>
      <c r="Y43" s="260"/>
      <c r="Z43" s="1276"/>
      <c r="AA43" s="365"/>
      <c r="AB43" s="470"/>
      <c r="AC43" s="316">
        <f t="shared" si="5"/>
        <v>0</v>
      </c>
      <c r="AD43" s="260"/>
      <c r="AE43" s="251"/>
      <c r="AF43" s="260">
        <v>0</v>
      </c>
      <c r="AG43" s="511"/>
      <c r="AH43" s="248"/>
      <c r="AI43" s="1740">
        <f t="shared" si="0"/>
        <v>0</v>
      </c>
      <c r="AJ43" s="1740"/>
      <c r="AK43" s="2582">
        <f t="shared" si="6"/>
        <v>0</v>
      </c>
    </row>
    <row r="44" spans="1:37" ht="15" customHeight="1">
      <c r="A44" s="350"/>
      <c r="B44" s="1669" t="s">
        <v>1167</v>
      </c>
      <c r="C44" s="223"/>
      <c r="D44" s="273">
        <v>0</v>
      </c>
      <c r="E44" s="365"/>
      <c r="F44" s="273">
        <v>0</v>
      </c>
      <c r="G44" s="365"/>
      <c r="H44" s="317">
        <v>0</v>
      </c>
      <c r="I44" s="365"/>
      <c r="J44" s="317">
        <v>0</v>
      </c>
      <c r="K44" s="365"/>
      <c r="L44" s="317">
        <v>0</v>
      </c>
      <c r="M44" s="365"/>
      <c r="N44" s="317">
        <v>0</v>
      </c>
      <c r="O44" s="365"/>
      <c r="P44" s="317">
        <v>0</v>
      </c>
      <c r="Q44" s="365"/>
      <c r="R44" s="317">
        <v>0</v>
      </c>
      <c r="S44" s="365"/>
      <c r="T44" s="317">
        <v>0</v>
      </c>
      <c r="U44" s="365"/>
      <c r="V44" s="317">
        <v>0</v>
      </c>
      <c r="W44" s="260"/>
      <c r="X44" s="1276"/>
      <c r="Y44" s="260"/>
      <c r="Z44" s="1276"/>
      <c r="AA44" s="365"/>
      <c r="AB44" s="470"/>
      <c r="AC44" s="316">
        <f t="shared" si="5"/>
        <v>0</v>
      </c>
      <c r="AD44" s="260"/>
      <c r="AE44" s="251"/>
      <c r="AF44" s="260">
        <v>0</v>
      </c>
      <c r="AG44" s="511"/>
      <c r="AH44" s="248"/>
      <c r="AI44" s="1740">
        <f t="shared" si="0"/>
        <v>0</v>
      </c>
      <c r="AJ44" s="1740"/>
      <c r="AK44" s="2582">
        <f t="shared" si="6"/>
        <v>0</v>
      </c>
    </row>
    <row r="45" spans="1:37" ht="15" customHeight="1">
      <c r="A45" s="350"/>
      <c r="B45" s="1669" t="s">
        <v>1168</v>
      </c>
      <c r="C45" s="223"/>
      <c r="D45" s="273">
        <v>8.3000000000000007</v>
      </c>
      <c r="E45" s="365"/>
      <c r="F45" s="273">
        <v>10</v>
      </c>
      <c r="G45" s="365"/>
      <c r="H45" s="317">
        <v>8.1999999999999993</v>
      </c>
      <c r="I45" s="365"/>
      <c r="J45" s="317">
        <v>9.8000000000000007</v>
      </c>
      <c r="K45" s="365"/>
      <c r="L45" s="317">
        <v>8.9</v>
      </c>
      <c r="M45" s="365"/>
      <c r="N45" s="317">
        <v>8.8000000000000007</v>
      </c>
      <c r="O45" s="365"/>
      <c r="P45" s="317">
        <v>9.4</v>
      </c>
      <c r="Q45" s="365"/>
      <c r="R45" s="317">
        <v>8.5</v>
      </c>
      <c r="S45" s="365"/>
      <c r="T45" s="317">
        <v>9.4</v>
      </c>
      <c r="U45" s="365"/>
      <c r="V45" s="317">
        <v>8.8000000000000007</v>
      </c>
      <c r="W45" s="260"/>
      <c r="X45" s="1276"/>
      <c r="Y45" s="260"/>
      <c r="Z45" s="1276"/>
      <c r="AA45" s="365"/>
      <c r="AB45" s="470"/>
      <c r="AC45" s="316">
        <f t="shared" si="5"/>
        <v>90.1</v>
      </c>
      <c r="AD45" s="260"/>
      <c r="AE45" s="251"/>
      <c r="AF45" s="260">
        <v>88.1</v>
      </c>
      <c r="AG45" s="511"/>
      <c r="AH45" s="248"/>
      <c r="AI45" s="1740">
        <f t="shared" si="0"/>
        <v>2</v>
      </c>
      <c r="AJ45" s="1740"/>
      <c r="AK45" s="2582">
        <f t="shared" si="6"/>
        <v>2.3E-2</v>
      </c>
    </row>
    <row r="46" spans="1:37" ht="15" customHeight="1">
      <c r="A46" s="350"/>
      <c r="B46" s="1669" t="s">
        <v>1169</v>
      </c>
      <c r="C46" s="223"/>
      <c r="D46" s="273">
        <v>0</v>
      </c>
      <c r="E46" s="365"/>
      <c r="F46" s="273">
        <v>0</v>
      </c>
      <c r="G46" s="365"/>
      <c r="H46" s="1272">
        <v>0</v>
      </c>
      <c r="I46" s="365"/>
      <c r="J46" s="1272">
        <v>0</v>
      </c>
      <c r="K46" s="365"/>
      <c r="L46" s="1272">
        <v>0.5</v>
      </c>
      <c r="M46" s="365"/>
      <c r="N46" s="1272">
        <v>-0.5</v>
      </c>
      <c r="O46" s="365"/>
      <c r="P46" s="1272">
        <v>0</v>
      </c>
      <c r="Q46" s="365"/>
      <c r="R46" s="1272">
        <v>0</v>
      </c>
      <c r="S46" s="365"/>
      <c r="T46" s="1272">
        <v>0</v>
      </c>
      <c r="U46" s="365"/>
      <c r="V46" s="1272">
        <v>0</v>
      </c>
      <c r="W46" s="260"/>
      <c r="X46" s="1276"/>
      <c r="Y46" s="260"/>
      <c r="Z46" s="1276"/>
      <c r="AA46" s="365"/>
      <c r="AB46" s="470"/>
      <c r="AC46" s="316">
        <f t="shared" si="5"/>
        <v>0</v>
      </c>
      <c r="AD46" s="260"/>
      <c r="AE46" s="251"/>
      <c r="AF46" s="260">
        <v>0</v>
      </c>
      <c r="AG46" s="511"/>
      <c r="AH46" s="248"/>
      <c r="AI46" s="1740">
        <f t="shared" si="0"/>
        <v>0</v>
      </c>
      <c r="AJ46" s="1740"/>
      <c r="AK46" s="2582">
        <f>ROUND(IF(AF46=0,0,AI46/ABS(AF46)),3)</f>
        <v>0</v>
      </c>
    </row>
    <row r="47" spans="1:37" ht="15" customHeight="1">
      <c r="A47" s="350"/>
      <c r="B47" s="1669" t="s">
        <v>1170</v>
      </c>
      <c r="C47" s="223"/>
      <c r="D47" s="273">
        <v>0</v>
      </c>
      <c r="E47" s="365"/>
      <c r="F47" s="273">
        <v>0</v>
      </c>
      <c r="G47" s="365"/>
      <c r="H47" s="317">
        <v>0</v>
      </c>
      <c r="I47" s="365"/>
      <c r="J47" s="317">
        <v>0</v>
      </c>
      <c r="K47" s="365"/>
      <c r="L47" s="317">
        <v>0</v>
      </c>
      <c r="M47" s="365"/>
      <c r="N47" s="317">
        <v>0</v>
      </c>
      <c r="O47" s="365"/>
      <c r="P47" s="317">
        <v>0</v>
      </c>
      <c r="Q47" s="365"/>
      <c r="R47" s="317">
        <v>0</v>
      </c>
      <c r="S47" s="365"/>
      <c r="T47" s="317">
        <v>0</v>
      </c>
      <c r="U47" s="365"/>
      <c r="V47" s="317">
        <v>0</v>
      </c>
      <c r="W47" s="260"/>
      <c r="X47" s="1276"/>
      <c r="Y47" s="260"/>
      <c r="Z47" s="1276"/>
      <c r="AA47" s="365"/>
      <c r="AB47" s="470"/>
      <c r="AC47" s="316">
        <f t="shared" si="5"/>
        <v>0</v>
      </c>
      <c r="AD47" s="260"/>
      <c r="AE47" s="251"/>
      <c r="AF47" s="260">
        <v>0</v>
      </c>
      <c r="AG47" s="511"/>
      <c r="AH47" s="248"/>
      <c r="AI47" s="1740">
        <f t="shared" si="0"/>
        <v>0</v>
      </c>
      <c r="AJ47" s="1740"/>
      <c r="AK47" s="2582">
        <f>ROUND(IF(AF47=0,0,AI47/ABS(AF47)),3)</f>
        <v>0</v>
      </c>
    </row>
    <row r="48" spans="1:37" ht="15" customHeight="1">
      <c r="A48" s="350"/>
      <c r="B48" s="1669" t="s">
        <v>1171</v>
      </c>
      <c r="C48" s="223"/>
      <c r="D48" s="273">
        <v>0.1</v>
      </c>
      <c r="E48" s="365"/>
      <c r="F48" s="273">
        <v>0.7</v>
      </c>
      <c r="G48" s="365"/>
      <c r="H48" s="317">
        <v>1.5</v>
      </c>
      <c r="I48" s="365"/>
      <c r="J48" s="317">
        <v>0.1</v>
      </c>
      <c r="K48" s="365"/>
      <c r="L48" s="317">
        <v>1.4</v>
      </c>
      <c r="M48" s="365"/>
      <c r="N48" s="317">
        <v>0.1</v>
      </c>
      <c r="O48" s="365"/>
      <c r="P48" s="317">
        <v>0.1</v>
      </c>
      <c r="Q48" s="365"/>
      <c r="R48" s="317">
        <v>0</v>
      </c>
      <c r="S48" s="365"/>
      <c r="T48" s="317">
        <v>0.2</v>
      </c>
      <c r="U48" s="365"/>
      <c r="V48" s="317">
        <v>0.2</v>
      </c>
      <c r="W48" s="260"/>
      <c r="X48" s="1276"/>
      <c r="Y48" s="260"/>
      <c r="Z48" s="1276"/>
      <c r="AA48" s="365"/>
      <c r="AB48" s="470"/>
      <c r="AC48" s="316">
        <f t="shared" si="5"/>
        <v>4.4000000000000004</v>
      </c>
      <c r="AD48" s="260"/>
      <c r="AE48" s="251"/>
      <c r="AF48" s="260">
        <v>-6.2</v>
      </c>
      <c r="AG48" s="511"/>
      <c r="AH48" s="248"/>
      <c r="AI48" s="1740">
        <f t="shared" si="0"/>
        <v>10.6</v>
      </c>
      <c r="AJ48" s="1740"/>
      <c r="AK48" s="2636">
        <f>ROUND(IF(AF48=0,1,AI48/ABS(AF48)),3)</f>
        <v>1.71</v>
      </c>
    </row>
    <row r="49" spans="1:37" ht="15" customHeight="1">
      <c r="A49" s="350"/>
      <c r="B49" s="1669" t="s">
        <v>1143</v>
      </c>
      <c r="C49" s="223"/>
      <c r="D49" s="273">
        <v>0</v>
      </c>
      <c r="E49" s="365"/>
      <c r="F49" s="273">
        <v>0</v>
      </c>
      <c r="G49" s="365"/>
      <c r="H49" s="317">
        <v>0.2</v>
      </c>
      <c r="I49" s="365"/>
      <c r="J49" s="317">
        <v>0</v>
      </c>
      <c r="K49" s="365"/>
      <c r="L49" s="317">
        <v>0</v>
      </c>
      <c r="M49" s="365"/>
      <c r="N49" s="317">
        <v>0</v>
      </c>
      <c r="O49" s="365"/>
      <c r="P49" s="317">
        <v>0.2</v>
      </c>
      <c r="Q49" s="365"/>
      <c r="R49" s="317">
        <v>0</v>
      </c>
      <c r="S49" s="365"/>
      <c r="T49" s="317">
        <v>0.1</v>
      </c>
      <c r="U49" s="365"/>
      <c r="V49" s="317">
        <v>0</v>
      </c>
      <c r="W49" s="260"/>
      <c r="X49" s="1276"/>
      <c r="Y49" s="260"/>
      <c r="Z49" s="1276"/>
      <c r="AA49" s="365"/>
      <c r="AB49" s="470"/>
      <c r="AC49" s="316">
        <f t="shared" si="5"/>
        <v>0.5</v>
      </c>
      <c r="AD49" s="260"/>
      <c r="AE49" s="251"/>
      <c r="AF49" s="260">
        <v>0.3</v>
      </c>
      <c r="AG49" s="511"/>
      <c r="AH49" s="248"/>
      <c r="AI49" s="1740">
        <f t="shared" si="0"/>
        <v>0.2</v>
      </c>
      <c r="AJ49" s="1740"/>
      <c r="AK49" s="2582">
        <f>ROUND(IF(AF49=0,0,AI49/ABS(AF49)),3)</f>
        <v>0.66700000000000004</v>
      </c>
    </row>
    <row r="50" spans="1:37" ht="15" customHeight="1">
      <c r="A50" s="350"/>
      <c r="B50" s="1669" t="s">
        <v>1144</v>
      </c>
      <c r="C50" s="223"/>
      <c r="D50" s="273">
        <v>0</v>
      </c>
      <c r="E50" s="365"/>
      <c r="F50" s="273">
        <v>0</v>
      </c>
      <c r="G50" s="365"/>
      <c r="H50" s="317">
        <v>0</v>
      </c>
      <c r="I50" s="365"/>
      <c r="J50" s="317">
        <v>0</v>
      </c>
      <c r="K50" s="365"/>
      <c r="L50" s="317">
        <v>0</v>
      </c>
      <c r="M50" s="365"/>
      <c r="N50" s="317">
        <v>0</v>
      </c>
      <c r="O50" s="365"/>
      <c r="P50" s="317">
        <v>0</v>
      </c>
      <c r="Q50" s="365"/>
      <c r="R50" s="317">
        <v>0</v>
      </c>
      <c r="S50" s="365"/>
      <c r="T50" s="317">
        <v>0</v>
      </c>
      <c r="U50" s="365"/>
      <c r="V50" s="317">
        <v>0</v>
      </c>
      <c r="W50" s="260"/>
      <c r="X50" s="1276"/>
      <c r="Y50" s="260"/>
      <c r="Z50" s="1276"/>
      <c r="AA50" s="365"/>
      <c r="AB50" s="470"/>
      <c r="AC50" s="316">
        <f t="shared" si="5"/>
        <v>0</v>
      </c>
      <c r="AD50" s="260"/>
      <c r="AE50" s="251"/>
      <c r="AF50" s="260">
        <v>0</v>
      </c>
      <c r="AG50" s="511"/>
      <c r="AH50" s="248"/>
      <c r="AI50" s="1740">
        <f t="shared" si="0"/>
        <v>0</v>
      </c>
      <c r="AJ50" s="1740"/>
      <c r="AK50" s="2582">
        <f>ROUND(IF(AF50=0,0,AI50/ABS(AF50)),3)</f>
        <v>0</v>
      </c>
    </row>
    <row r="51" spans="1:37" s="1664" customFormat="1" ht="15" customHeight="1">
      <c r="A51" s="1934"/>
      <c r="B51" s="583" t="s">
        <v>1290</v>
      </c>
      <c r="C51" s="305"/>
      <c r="D51" s="1939">
        <f>ROUND(SUM(D18:D50),1)</f>
        <v>13.3</v>
      </c>
      <c r="E51" s="339"/>
      <c r="F51" s="1939">
        <f>ROUND(SUM(F18:F50),1)</f>
        <v>47.7</v>
      </c>
      <c r="G51" s="339"/>
      <c r="H51" s="1939">
        <f>ROUND(SUM(H18:H50),1)</f>
        <v>11.8</v>
      </c>
      <c r="I51" s="339"/>
      <c r="J51" s="1939">
        <f>ROUND(SUM(J18:J50),1)</f>
        <v>12.8</v>
      </c>
      <c r="K51" s="339"/>
      <c r="L51" s="1939">
        <f>ROUND(SUM(L18:L50),1)</f>
        <v>24.7</v>
      </c>
      <c r="M51" s="339"/>
      <c r="N51" s="1939">
        <f>ROUND(SUM(N18:N50),1)</f>
        <v>10.1</v>
      </c>
      <c r="O51" s="339"/>
      <c r="P51" s="1939">
        <f>ROUND(SUM(P18:P50),1)</f>
        <v>12.7</v>
      </c>
      <c r="Q51" s="339"/>
      <c r="R51" s="1939">
        <f>ROUND(SUM(R18:R50),1)</f>
        <v>16.399999999999999</v>
      </c>
      <c r="S51" s="339"/>
      <c r="T51" s="1939">
        <f>ROUND(SUM(T18:T50),1)</f>
        <v>10.7</v>
      </c>
      <c r="U51" s="339"/>
      <c r="V51" s="1939">
        <f>ROUND(SUM(V18:V50),1)</f>
        <v>11.8</v>
      </c>
      <c r="W51" s="316"/>
      <c r="X51" s="1939">
        <f>ROUND(SUM(X18:X50),1)</f>
        <v>0</v>
      </c>
      <c r="Y51" s="316"/>
      <c r="Z51" s="1939">
        <f>ROUND(SUM(Z18:Z50),1)</f>
        <v>0</v>
      </c>
      <c r="AA51" s="339"/>
      <c r="AB51" s="1936"/>
      <c r="AC51" s="1939">
        <f>ROUND(SUM(AC18:AC50),1)</f>
        <v>172</v>
      </c>
      <c r="AD51" s="316"/>
      <c r="AE51" s="1937"/>
      <c r="AF51" s="1939">
        <f>ROUND(SUM(AF18:AF50),1)</f>
        <v>161.1</v>
      </c>
      <c r="AG51" s="1938"/>
      <c r="AH51" s="261"/>
      <c r="AI51" s="1939">
        <f>ROUND(SUM(AI18:AI50),1)</f>
        <v>10.9</v>
      </c>
      <c r="AJ51" s="1876"/>
      <c r="AK51" s="2597">
        <f>ROUND(SUM((AC51-AF51)/ABS(AF51)),3)</f>
        <v>6.8000000000000005E-2</v>
      </c>
    </row>
    <row r="52" spans="1:37" s="1664" customFormat="1" ht="15" customHeight="1">
      <c r="A52" s="1934"/>
      <c r="B52" s="1669"/>
      <c r="C52" s="305"/>
      <c r="D52" s="317"/>
      <c r="E52" s="339"/>
      <c r="F52" s="681"/>
      <c r="G52" s="339"/>
      <c r="H52" s="316"/>
      <c r="I52" s="339"/>
      <c r="J52" s="316"/>
      <c r="K52" s="339"/>
      <c r="L52" s="316"/>
      <c r="M52" s="339"/>
      <c r="N52" s="339"/>
      <c r="O52" s="339"/>
      <c r="P52" s="546"/>
      <c r="Q52" s="339"/>
      <c r="R52" s="1935"/>
      <c r="S52" s="339"/>
      <c r="T52" s="681"/>
      <c r="U52" s="339"/>
      <c r="V52" s="681"/>
      <c r="W52" s="316"/>
      <c r="X52" s="317"/>
      <c r="Y52" s="316"/>
      <c r="Z52" s="317"/>
      <c r="AA52" s="339"/>
      <c r="AB52" s="1936"/>
      <c r="AC52" s="316"/>
      <c r="AD52" s="316"/>
      <c r="AE52" s="1937"/>
      <c r="AF52" s="316"/>
      <c r="AG52" s="1938"/>
      <c r="AH52" s="261"/>
      <c r="AI52" s="1876"/>
      <c r="AJ52" s="1876"/>
      <c r="AK52" s="2595"/>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v>4086.5</v>
      </c>
      <c r="Q53" s="365"/>
      <c r="R53" s="1142">
        <v>5078.8999999999996</v>
      </c>
      <c r="S53" s="365"/>
      <c r="T53" s="370">
        <v>4748.8</v>
      </c>
      <c r="U53" s="365"/>
      <c r="V53" s="370">
        <v>3633.5</v>
      </c>
      <c r="W53" s="260"/>
      <c r="X53" s="273"/>
      <c r="Y53" s="260"/>
      <c r="Z53" s="273"/>
      <c r="AA53" s="365"/>
      <c r="AB53" s="470"/>
      <c r="AC53" s="316">
        <f>ROUND(SUM(D53:Z53),1)</f>
        <v>44568</v>
      </c>
      <c r="AD53" s="248"/>
      <c r="AE53" s="251"/>
      <c r="AF53" s="260">
        <v>41569.800000000003</v>
      </c>
      <c r="AG53" s="511"/>
      <c r="AH53" s="248"/>
      <c r="AI53" s="1740">
        <f>ROUND(SUM(+AC53-AF53),1)</f>
        <v>2998.2</v>
      </c>
      <c r="AJ53" s="1740"/>
      <c r="AK53" s="2598">
        <f>ROUND(SUM((AC53-AF53)/ABS(AF53)),3)</f>
        <v>7.1999999999999995E-2</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42"/>
      <c r="AJ54" s="2543"/>
      <c r="AK54" s="2599"/>
    </row>
    <row r="55" spans="1:37" ht="15" customHeight="1">
      <c r="A55" s="350"/>
      <c r="B55" s="221" t="s">
        <v>154</v>
      </c>
      <c r="C55" s="223"/>
      <c r="D55" s="256">
        <f>ROUND(SUM(+D51+D53),2)</f>
        <v>3350.4</v>
      </c>
      <c r="E55" s="407"/>
      <c r="F55" s="1719">
        <f>ROUND(SUM(+F51+F53),2)</f>
        <v>4630.1000000000004</v>
      </c>
      <c r="G55" s="407"/>
      <c r="H55" s="1719">
        <f>ROUND(SUM(+H51+H53),2)</f>
        <v>5410.4</v>
      </c>
      <c r="I55" s="407"/>
      <c r="J55" s="1719">
        <f>ROUND(SUM(+J51+J53),2)</f>
        <v>3645.8</v>
      </c>
      <c r="K55" s="407"/>
      <c r="L55" s="1719">
        <f>ROUND(SUM(+L51+L53),2)</f>
        <v>5091.6000000000004</v>
      </c>
      <c r="M55" s="407"/>
      <c r="N55" s="1719">
        <f>ROUND(SUM(+N51+N53),2)</f>
        <v>5012.3999999999996</v>
      </c>
      <c r="O55" s="407"/>
      <c r="P55" s="1719">
        <f>ROUND(SUM(+P51+P53),2)</f>
        <v>4099.2</v>
      </c>
      <c r="Q55" s="407"/>
      <c r="R55" s="1719">
        <f>ROUND(SUM(+R51+R53),2)</f>
        <v>5095.3</v>
      </c>
      <c r="S55" s="407"/>
      <c r="T55" s="1719">
        <f>ROUND(SUM(+T51+T53),2)</f>
        <v>4759.5</v>
      </c>
      <c r="U55" s="407"/>
      <c r="V55" s="1719">
        <f>ROUND(SUM(+V51+V53),2)</f>
        <v>3645.3</v>
      </c>
      <c r="W55" s="256"/>
      <c r="X55" s="1719">
        <f>ROUND(SUM(+X51+X53),2)</f>
        <v>0</v>
      </c>
      <c r="Y55" s="256"/>
      <c r="Z55" s="1719">
        <f>ROUND(SUM(+Z51+Z53),2)</f>
        <v>0</v>
      </c>
      <c r="AA55" s="407"/>
      <c r="AB55" s="477"/>
      <c r="AC55" s="310">
        <f>ROUND(SUM(+AC51+AC53),1)</f>
        <v>44740</v>
      </c>
      <c r="AD55" s="272"/>
      <c r="AE55" s="737"/>
      <c r="AF55" s="310">
        <f>ROUND(SUM(+AF51+AF53),1)</f>
        <v>41730.9</v>
      </c>
      <c r="AG55" s="518"/>
      <c r="AH55" s="272"/>
      <c r="AI55" s="1584">
        <f>ROUND(SUM(+AI51+AI53),1)</f>
        <v>3009.1</v>
      </c>
      <c r="AJ55" s="520"/>
      <c r="AK55" s="2600">
        <f>ROUND(SUM((AC55-AF55)/ABS(AF55)),3)</f>
        <v>7.1999999999999995E-2</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74"/>
      <c r="AD56" s="252"/>
      <c r="AE56" s="537"/>
      <c r="AF56" s="368"/>
      <c r="AG56" s="538"/>
      <c r="AH56" s="229"/>
      <c r="AI56" s="2543"/>
      <c r="AJ56" s="2543"/>
      <c r="AK56" s="2601"/>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43"/>
      <c r="AJ57" s="2543"/>
      <c r="AK57" s="2601"/>
    </row>
    <row r="58" spans="1:37" ht="15" customHeight="1">
      <c r="A58" s="350"/>
      <c r="B58" s="1279" t="s">
        <v>155</v>
      </c>
      <c r="C58" s="223"/>
      <c r="D58" s="273"/>
      <c r="E58" s="365"/>
      <c r="F58" s="273"/>
      <c r="G58" s="365"/>
      <c r="H58" s="317"/>
      <c r="I58" s="365"/>
      <c r="J58" s="317"/>
      <c r="K58" s="365"/>
      <c r="L58" s="317"/>
      <c r="M58" s="365"/>
      <c r="N58" s="317"/>
      <c r="O58" s="365"/>
      <c r="P58" s="318"/>
      <c r="Q58" s="365"/>
      <c r="R58" s="273"/>
      <c r="S58" s="365"/>
      <c r="T58" s="273"/>
      <c r="U58" s="365"/>
      <c r="V58" s="273"/>
      <c r="W58" s="260"/>
      <c r="X58" s="260"/>
      <c r="Y58" s="260"/>
      <c r="Z58" s="260"/>
      <c r="AA58" s="365"/>
      <c r="AB58" s="470"/>
      <c r="AC58" s="339"/>
      <c r="AD58" s="252"/>
      <c r="AE58" s="537"/>
      <c r="AF58" s="365"/>
      <c r="AG58" s="538"/>
      <c r="AH58" s="229"/>
      <c r="AI58" s="2431"/>
      <c r="AJ58" s="2543"/>
      <c r="AK58" s="2599"/>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42">
        <v>179.4</v>
      </c>
      <c r="Q59" s="365"/>
      <c r="R59" s="2815">
        <v>262.39999999999998</v>
      </c>
      <c r="S59" s="365"/>
      <c r="T59" s="370">
        <v>356.5</v>
      </c>
      <c r="U59" s="365"/>
      <c r="V59" s="370">
        <v>243.5</v>
      </c>
      <c r="W59" s="260"/>
      <c r="X59" s="273"/>
      <c r="Y59" s="260"/>
      <c r="Z59" s="273"/>
      <c r="AA59" s="365"/>
      <c r="AB59" s="470"/>
      <c r="AC59" s="316">
        <f>ROUND(SUM(D59:Z59),1)</f>
        <v>2750.9</v>
      </c>
      <c r="AD59" s="248"/>
      <c r="AE59" s="251"/>
      <c r="AF59" s="316">
        <v>2220.6</v>
      </c>
      <c r="AG59" s="511"/>
      <c r="AH59" s="248"/>
      <c r="AI59" s="1111">
        <f>ROUND(SUM(+AC59-AF59),1)</f>
        <v>530.29999999999995</v>
      </c>
      <c r="AJ59" s="1111"/>
      <c r="AK59" s="2582">
        <f>ROUND(IF(AF59=0,0,AI59/ABS(AF59)),3)</f>
        <v>0.23899999999999999</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42">
        <v>0</v>
      </c>
      <c r="Q60" s="365"/>
      <c r="R60" s="2815">
        <v>0</v>
      </c>
      <c r="S60" s="365"/>
      <c r="T60" s="370">
        <v>0.2</v>
      </c>
      <c r="U60" s="365"/>
      <c r="V60" s="370">
        <v>0.1</v>
      </c>
      <c r="W60" s="260"/>
      <c r="X60" s="273"/>
      <c r="Y60" s="260"/>
      <c r="Z60" s="273"/>
      <c r="AA60" s="365"/>
      <c r="AB60" s="470"/>
      <c r="AC60" s="316">
        <f>ROUND(SUM(D60:Z60),1)</f>
        <v>0.9</v>
      </c>
      <c r="AD60" s="248"/>
      <c r="AE60" s="251"/>
      <c r="AF60" s="1213">
        <v>2.8</v>
      </c>
      <c r="AG60" s="511"/>
      <c r="AH60" s="248"/>
      <c r="AI60" s="1111">
        <f>ROUND(SUM(+AC60-AF60),1)</f>
        <v>-1.9</v>
      </c>
      <c r="AJ60" s="1111"/>
      <c r="AK60" s="2590">
        <f>ROUND(IF(AF60=0,1,AI60/ABS(AF60)),3)</f>
        <v>-0.67900000000000005</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42">
        <v>0.7</v>
      </c>
      <c r="Q61" s="365"/>
      <c r="R61" s="2815">
        <v>1.9</v>
      </c>
      <c r="S61" s="365"/>
      <c r="T61" s="370">
        <v>24.4</v>
      </c>
      <c r="U61" s="365"/>
      <c r="V61" s="681">
        <v>1.5</v>
      </c>
      <c r="W61" s="260"/>
      <c r="X61" s="273"/>
      <c r="Y61" s="260"/>
      <c r="Z61" s="273"/>
      <c r="AA61" s="365"/>
      <c r="AB61" s="470"/>
      <c r="AC61" s="316">
        <f>ROUND(SUM(D61:Z61),1)</f>
        <v>49.7</v>
      </c>
      <c r="AD61" s="248"/>
      <c r="AE61" s="251"/>
      <c r="AF61" s="1213">
        <v>35.299999999999997</v>
      </c>
      <c r="AG61" s="511"/>
      <c r="AH61" s="248"/>
      <c r="AI61" s="1111">
        <f>ROUND(SUM(+AC61-AF61),1)</f>
        <v>14.4</v>
      </c>
      <c r="AJ61" s="1111"/>
      <c r="AK61" s="2582">
        <f>ROUND(IF(AF61=0,0,AI61/ABS(AF61)),3)</f>
        <v>0.40799999999999997</v>
      </c>
    </row>
    <row r="62" spans="1:37" ht="15" customHeight="1">
      <c r="A62" s="350"/>
      <c r="B62" s="379" t="s">
        <v>28</v>
      </c>
      <c r="C62" s="223"/>
      <c r="D62" s="273"/>
      <c r="E62" s="365"/>
      <c r="F62" s="273"/>
      <c r="G62" s="365"/>
      <c r="H62" s="317"/>
      <c r="I62" s="365"/>
      <c r="J62" s="317"/>
      <c r="K62" s="365"/>
      <c r="L62" s="317"/>
      <c r="M62" s="365"/>
      <c r="N62" s="317"/>
      <c r="O62" s="365"/>
      <c r="P62" s="318"/>
      <c r="Q62" s="365"/>
      <c r="R62" s="318"/>
      <c r="S62" s="365"/>
      <c r="T62" s="273"/>
      <c r="U62" s="365"/>
      <c r="V62" s="273"/>
      <c r="W62" s="260"/>
      <c r="X62" s="273"/>
      <c r="Y62" s="260"/>
      <c r="Z62" s="273"/>
      <c r="AA62" s="365"/>
      <c r="AB62" s="470"/>
      <c r="AC62" s="316"/>
      <c r="AD62" s="248"/>
      <c r="AE62" s="251"/>
      <c r="AF62" s="316"/>
      <c r="AG62" s="511"/>
      <c r="AH62" s="248"/>
      <c r="AI62" s="1262"/>
      <c r="AJ62" s="2431"/>
      <c r="AK62" s="2599"/>
    </row>
    <row r="63" spans="1:37" ht="15" customHeight="1">
      <c r="A63" s="350"/>
      <c r="B63" s="1567" t="s">
        <v>29</v>
      </c>
      <c r="C63" s="223"/>
      <c r="D63" s="273">
        <v>2701.3</v>
      </c>
      <c r="E63" s="365"/>
      <c r="F63" s="370">
        <v>3588.2</v>
      </c>
      <c r="G63" s="365"/>
      <c r="H63" s="326">
        <v>2621.1</v>
      </c>
      <c r="I63" s="365"/>
      <c r="J63" s="326">
        <v>2638.6</v>
      </c>
      <c r="K63" s="365"/>
      <c r="L63" s="326">
        <v>3722.9</v>
      </c>
      <c r="M63" s="365"/>
      <c r="N63" s="326">
        <v>2728</v>
      </c>
      <c r="O63" s="365"/>
      <c r="P63" s="1142">
        <v>2885.3000000000029</v>
      </c>
      <c r="Q63" s="365"/>
      <c r="R63" s="2815">
        <v>3326.8</v>
      </c>
      <c r="S63" s="365"/>
      <c r="T63" s="370">
        <v>2872.3</v>
      </c>
      <c r="U63" s="365"/>
      <c r="V63" s="370">
        <v>2958.2</v>
      </c>
      <c r="W63" s="260"/>
      <c r="X63" s="273"/>
      <c r="Y63" s="260"/>
      <c r="Z63" s="273"/>
      <c r="AA63" s="365"/>
      <c r="AB63" s="470"/>
      <c r="AC63" s="316">
        <f t="shared" ref="AC63:AC68" si="7">ROUND(SUM(D63:Z63),1)</f>
        <v>30042.7</v>
      </c>
      <c r="AD63" s="248"/>
      <c r="AE63" s="251"/>
      <c r="AF63" s="316">
        <v>26705.4</v>
      </c>
      <c r="AG63" s="511"/>
      <c r="AH63" s="248"/>
      <c r="AI63" s="1111">
        <f t="shared" ref="AI63:AI68" si="8">ROUND(SUM(+AC63-AF63),1)</f>
        <v>3337.3</v>
      </c>
      <c r="AJ63" s="1111"/>
      <c r="AK63" s="2582">
        <f t="shared" ref="AK63:AK68" si="9">ROUND(IF(AF63=0,0,AI63/ABS(AF63)),3)</f>
        <v>0.125</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42">
        <v>447.8</v>
      </c>
      <c r="Q64" s="365"/>
      <c r="R64" s="2815">
        <v>463.5</v>
      </c>
      <c r="S64" s="365"/>
      <c r="T64" s="370">
        <v>471.5</v>
      </c>
      <c r="U64" s="365"/>
      <c r="V64" s="370">
        <v>503.6</v>
      </c>
      <c r="W64" s="260"/>
      <c r="X64" s="273"/>
      <c r="Y64" s="260"/>
      <c r="Z64" s="273"/>
      <c r="AA64" s="365"/>
      <c r="AB64" s="470"/>
      <c r="AC64" s="316">
        <f t="shared" si="7"/>
        <v>5194.8</v>
      </c>
      <c r="AD64" s="248"/>
      <c r="AE64" s="251"/>
      <c r="AF64" s="316">
        <v>4146.3</v>
      </c>
      <c r="AG64" s="511"/>
      <c r="AH64" s="248"/>
      <c r="AI64" s="1111">
        <f t="shared" si="8"/>
        <v>1048.5</v>
      </c>
      <c r="AJ64" s="1111"/>
      <c r="AK64" s="2582">
        <f t="shared" si="9"/>
        <v>0.253</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42">
        <v>147.4</v>
      </c>
      <c r="Q65" s="365"/>
      <c r="R65" s="2815">
        <v>159.6</v>
      </c>
      <c r="S65" s="365"/>
      <c r="T65" s="370">
        <v>96.2</v>
      </c>
      <c r="U65" s="365"/>
      <c r="V65" s="370">
        <v>184.1</v>
      </c>
      <c r="W65" s="260"/>
      <c r="X65" s="273"/>
      <c r="Y65" s="260"/>
      <c r="Z65" s="273"/>
      <c r="AA65" s="365"/>
      <c r="AB65" s="470"/>
      <c r="AC65" s="316">
        <f t="shared" si="7"/>
        <v>1127</v>
      </c>
      <c r="AD65" s="248"/>
      <c r="AE65" s="251"/>
      <c r="AF65" s="316">
        <v>1211.2</v>
      </c>
      <c r="AG65" s="511"/>
      <c r="AH65" s="248"/>
      <c r="AI65" s="1111">
        <f t="shared" si="8"/>
        <v>-84.2</v>
      </c>
      <c r="AJ65" s="1111"/>
      <c r="AK65" s="2582">
        <f t="shared" si="9"/>
        <v>-7.0000000000000007E-2</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42">
        <v>695.2</v>
      </c>
      <c r="Q66" s="365"/>
      <c r="R66" s="2815">
        <v>279.39999999999998</v>
      </c>
      <c r="S66" s="365"/>
      <c r="T66" s="370">
        <v>89.8</v>
      </c>
      <c r="U66" s="365"/>
      <c r="V66" s="370">
        <v>155.9</v>
      </c>
      <c r="W66" s="260"/>
      <c r="X66" s="273"/>
      <c r="Y66" s="260"/>
      <c r="Z66" s="273"/>
      <c r="AA66" s="365"/>
      <c r="AB66" s="470"/>
      <c r="AC66" s="316">
        <f t="shared" si="7"/>
        <v>2913.7</v>
      </c>
      <c r="AD66" s="248"/>
      <c r="AE66" s="251"/>
      <c r="AF66" s="316">
        <v>3550</v>
      </c>
      <c r="AG66" s="511"/>
      <c r="AH66" s="248"/>
      <c r="AI66" s="1111">
        <f t="shared" si="8"/>
        <v>-636.29999999999995</v>
      </c>
      <c r="AJ66" s="1111"/>
      <c r="AK66" s="2582">
        <f t="shared" si="9"/>
        <v>-0.17899999999999999</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42">
        <v>0.1</v>
      </c>
      <c r="Q67" s="365"/>
      <c r="R67" s="2815">
        <v>1.5</v>
      </c>
      <c r="S67" s="365"/>
      <c r="T67" s="370">
        <v>0.1</v>
      </c>
      <c r="U67" s="365"/>
      <c r="V67" s="370">
        <v>0</v>
      </c>
      <c r="W67" s="260"/>
      <c r="X67" s="273"/>
      <c r="Y67" s="260"/>
      <c r="Z67" s="273"/>
      <c r="AA67" s="365"/>
      <c r="AB67" s="470"/>
      <c r="AC67" s="316">
        <f t="shared" si="7"/>
        <v>4.5999999999999996</v>
      </c>
      <c r="AD67" s="248"/>
      <c r="AE67" s="251"/>
      <c r="AF67" s="1213">
        <v>2.7</v>
      </c>
      <c r="AG67" s="511"/>
      <c r="AH67" s="248"/>
      <c r="AI67" s="1111">
        <f t="shared" si="8"/>
        <v>1.9</v>
      </c>
      <c r="AJ67" s="1111"/>
      <c r="AK67" s="2582">
        <f>ROUND(IF(AF67=0,1,AI67/ABS(AF67)),3)</f>
        <v>0.70399999999999996</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42">
        <v>3</v>
      </c>
      <c r="Q68" s="365"/>
      <c r="R68" s="2815">
        <v>12.8</v>
      </c>
      <c r="S68" s="365"/>
      <c r="T68" s="370">
        <v>4.4000000000000004</v>
      </c>
      <c r="U68" s="365"/>
      <c r="V68" s="370">
        <v>2.8</v>
      </c>
      <c r="W68" s="260"/>
      <c r="X68" s="273"/>
      <c r="Y68" s="260"/>
      <c r="Z68" s="273"/>
      <c r="AA68" s="365"/>
      <c r="AB68" s="470"/>
      <c r="AC68" s="316">
        <f t="shared" si="7"/>
        <v>49.6</v>
      </c>
      <c r="AD68" s="248"/>
      <c r="AE68" s="251"/>
      <c r="AF68" s="522">
        <v>53</v>
      </c>
      <c r="AG68" s="511"/>
      <c r="AH68" s="248"/>
      <c r="AI68" s="1111">
        <f t="shared" si="8"/>
        <v>-3.4</v>
      </c>
      <c r="AJ68" s="1740"/>
      <c r="AK68" s="2585">
        <f t="shared" si="9"/>
        <v>-6.4000000000000001E-2</v>
      </c>
    </row>
    <row r="69" spans="1:37" ht="15" customHeight="1">
      <c r="A69" s="350"/>
      <c r="B69" s="221" t="s">
        <v>1293</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4358.8999999999996</v>
      </c>
      <c r="Q69" s="407"/>
      <c r="R69" s="540">
        <f>ROUND(SUM(R59:R68),2)</f>
        <v>4507.8999999999996</v>
      </c>
      <c r="S69" s="407"/>
      <c r="T69" s="540">
        <f>ROUND(SUM(T59:T68),2)</f>
        <v>3915.4</v>
      </c>
      <c r="U69" s="407"/>
      <c r="V69" s="540">
        <f>ROUND(SUM(V59:V68),2)</f>
        <v>4049.7</v>
      </c>
      <c r="W69" s="256"/>
      <c r="X69" s="540">
        <f>ROUND(SUM(X59:X68),2)</f>
        <v>0</v>
      </c>
      <c r="Y69" s="256"/>
      <c r="Z69" s="540">
        <f>ROUND(SUM(Z59:Z68),2)</f>
        <v>0</v>
      </c>
      <c r="AA69" s="407"/>
      <c r="AB69" s="477"/>
      <c r="AC69" s="1994">
        <f>ROUND(SUM(AC59:AC68),2)</f>
        <v>42133.9</v>
      </c>
      <c r="AD69" s="272"/>
      <c r="AE69" s="737"/>
      <c r="AF69" s="1994">
        <f>ROUND(SUM(AF59:AF68),2)</f>
        <v>37927.300000000003</v>
      </c>
      <c r="AG69" s="518"/>
      <c r="AH69" s="272"/>
      <c r="AI69" s="1280">
        <f>ROUND(SUM(AC69-AF69),1)</f>
        <v>4206.6000000000004</v>
      </c>
      <c r="AJ69" s="520"/>
      <c r="AK69" s="2597">
        <f>ROUND(SUM((AC69-AF69)/ABS(AF69)),3)</f>
        <v>0.111</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43"/>
      <c r="AJ70" s="2543"/>
      <c r="AK70" s="2601"/>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42">
        <v>47.6</v>
      </c>
      <c r="Q71" s="365"/>
      <c r="R71" s="1142">
        <v>78</v>
      </c>
      <c r="S71" s="365"/>
      <c r="T71" s="370">
        <v>47.6</v>
      </c>
      <c r="U71" s="365"/>
      <c r="V71" s="370">
        <v>49.9</v>
      </c>
      <c r="W71" s="260"/>
      <c r="X71" s="273"/>
      <c r="Y71" s="260"/>
      <c r="Z71" s="273"/>
      <c r="AA71" s="365"/>
      <c r="AB71" s="470"/>
      <c r="AC71" s="316">
        <f>ROUND(SUM(D71:Z71),1)</f>
        <v>546.5</v>
      </c>
      <c r="AD71" s="1281"/>
      <c r="AE71" s="251"/>
      <c r="AF71" s="260">
        <v>519.5</v>
      </c>
      <c r="AG71" s="511"/>
      <c r="AH71" s="248"/>
      <c r="AI71" s="1111">
        <f>ROUND(SUM(+AC71-AF71),1)</f>
        <v>27</v>
      </c>
      <c r="AJ71" s="1111"/>
      <c r="AK71" s="2582">
        <f>ROUND(IF(AF71=0,0,AI71/ABS(AF71)),3)</f>
        <v>5.1999999999999998E-2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42">
        <v>138.6</v>
      </c>
      <c r="Q72" s="365"/>
      <c r="R72" s="1142">
        <v>122.9</v>
      </c>
      <c r="S72" s="365"/>
      <c r="T72" s="370">
        <v>68.599999999999994</v>
      </c>
      <c r="U72" s="365"/>
      <c r="V72" s="370">
        <v>134.5</v>
      </c>
      <c r="W72" s="260"/>
      <c r="X72" s="273"/>
      <c r="Y72" s="260"/>
      <c r="Z72" s="273"/>
      <c r="AA72" s="365"/>
      <c r="AB72" s="470"/>
      <c r="AC72" s="316">
        <f>ROUND(SUM(D72:Z72),1)</f>
        <v>1100.0999999999999</v>
      </c>
      <c r="AD72" s="1281"/>
      <c r="AE72" s="251"/>
      <c r="AF72" s="260">
        <v>1102.0999999999999</v>
      </c>
      <c r="AG72" s="511"/>
      <c r="AH72" s="248"/>
      <c r="AI72" s="1111">
        <f>ROUND(SUM(+AC72-AF72),1)</f>
        <v>-2</v>
      </c>
      <c r="AJ72" s="1111"/>
      <c r="AK72" s="2582">
        <f>ROUND(IF(AF72=0,0,AI72/ABS(AF72)),3)</f>
        <v>-2E-3</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42">
        <v>24.5</v>
      </c>
      <c r="Q73" s="365"/>
      <c r="R73" s="1142">
        <v>42.6</v>
      </c>
      <c r="S73" s="365"/>
      <c r="T73" s="370">
        <v>11.4</v>
      </c>
      <c r="U73" s="365"/>
      <c r="V73" s="370">
        <v>2.5</v>
      </c>
      <c r="W73" s="260"/>
      <c r="X73" s="273"/>
      <c r="Y73" s="260"/>
      <c r="Z73" s="273"/>
      <c r="AA73" s="365"/>
      <c r="AB73" s="470"/>
      <c r="AC73" s="316">
        <f>ROUND(SUM(D73:Z73),1)</f>
        <v>234.9</v>
      </c>
      <c r="AD73" s="1281"/>
      <c r="AE73" s="251"/>
      <c r="AF73" s="263">
        <v>228.7</v>
      </c>
      <c r="AG73" s="511"/>
      <c r="AH73" s="248"/>
      <c r="AI73" s="1111">
        <f>ROUND(SUM(+AC73-AF73),1)</f>
        <v>6.2</v>
      </c>
      <c r="AJ73" s="1111"/>
      <c r="AK73" s="2582">
        <f>ROUND(IF(AF73=0,0,AI73/ABS(AF73)),3)</f>
        <v>2.7E-2</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42">
        <v>0</v>
      </c>
      <c r="Q74" s="365"/>
      <c r="R74" s="1142">
        <v>0</v>
      </c>
      <c r="S74" s="365"/>
      <c r="T74" s="370">
        <v>0</v>
      </c>
      <c r="U74" s="365"/>
      <c r="V74" s="370">
        <v>0</v>
      </c>
      <c r="W74" s="260"/>
      <c r="X74" s="273"/>
      <c r="Y74" s="260"/>
      <c r="Z74" s="273"/>
      <c r="AA74" s="365"/>
      <c r="AB74" s="470"/>
      <c r="AC74" s="316">
        <f>ROUND(SUM(D74:Z74),1)</f>
        <v>0</v>
      </c>
      <c r="AD74" s="254"/>
      <c r="AE74" s="1282"/>
      <c r="AF74" s="370">
        <v>0</v>
      </c>
      <c r="AG74" s="511"/>
      <c r="AH74" s="248"/>
      <c r="AI74" s="1111">
        <f>ROUND(SUM(+AC74-AF74),1)</f>
        <v>0</v>
      </c>
      <c r="AJ74" s="1740"/>
      <c r="AK74" s="2585">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7"/>
      <c r="AJ75" s="2543"/>
      <c r="AK75" s="2593"/>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19">
        <f>ROUND(SUM(L69:L74),1)</f>
        <v>5007.8</v>
      </c>
      <c r="M76" s="407"/>
      <c r="N76" s="256">
        <f>ROUND(SUM(N69:N74),1)</f>
        <v>4543.3999999999996</v>
      </c>
      <c r="O76" s="407"/>
      <c r="P76" s="256">
        <f>ROUND(SUM(P69:P74),1)</f>
        <v>4569.6000000000004</v>
      </c>
      <c r="Q76" s="407"/>
      <c r="R76" s="256">
        <f>ROUND(SUM(R69:R74),1)</f>
        <v>4751.3999999999996</v>
      </c>
      <c r="S76" s="407"/>
      <c r="T76" s="256">
        <f>ROUND(SUM(T69:T74),1)</f>
        <v>4043</v>
      </c>
      <c r="U76" s="407"/>
      <c r="V76" s="1719">
        <f>ROUND(SUM(V69:V74),1)</f>
        <v>4236.6000000000004</v>
      </c>
      <c r="W76" s="256"/>
      <c r="X76" s="256">
        <f>ROUND(SUM(X69:X74),1)</f>
        <v>0</v>
      </c>
      <c r="Y76" s="256"/>
      <c r="Z76" s="256">
        <f>ROUND(SUM(Z69:Z74),1)</f>
        <v>0</v>
      </c>
      <c r="AA76" s="407"/>
      <c r="AB76" s="477"/>
      <c r="AC76" s="310">
        <f>ROUND(SUM(AC69:AC74),1)</f>
        <v>44015.4</v>
      </c>
      <c r="AD76" s="272"/>
      <c r="AE76" s="737"/>
      <c r="AF76" s="310">
        <f>ROUND(SUM(AF69:AF74),1)</f>
        <v>39777.599999999999</v>
      </c>
      <c r="AG76" s="518"/>
      <c r="AH76" s="272"/>
      <c r="AI76" s="519">
        <f>ROUND(SUM(AC76-AF76),1)</f>
        <v>4237.8</v>
      </c>
      <c r="AJ76" s="548"/>
      <c r="AK76" s="2602">
        <f>ROUND(SUM((AC76-AF76)/ABS(AF76)),3)</f>
        <v>0.107</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3"/>
      <c r="AI77" s="1262"/>
      <c r="AJ77" s="2543"/>
      <c r="AK77" s="2601"/>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0"/>
      <c r="AE78" s="1471"/>
      <c r="AF78" s="248" t="s">
        <v>162</v>
      </c>
      <c r="AG78" s="511"/>
      <c r="AH78" s="1467"/>
      <c r="AI78" s="1262"/>
      <c r="AJ78" s="2543"/>
      <c r="AK78" s="2601"/>
    </row>
    <row r="79" spans="1:37" ht="15" customHeight="1">
      <c r="A79" s="350"/>
      <c r="B79" s="221" t="s">
        <v>45</v>
      </c>
      <c r="C79" s="223"/>
      <c r="D79" s="256">
        <f>ROUND(SUM(D55-D76),1)</f>
        <v>-491.7</v>
      </c>
      <c r="E79" s="407"/>
      <c r="F79" s="1719">
        <f>ROUND(SUM(F55-F76),1)</f>
        <v>-457.6</v>
      </c>
      <c r="G79" s="407"/>
      <c r="H79" s="1719">
        <f>ROUND(SUM(H55-H76),1)</f>
        <v>1285.5999999999999</v>
      </c>
      <c r="I79" s="407"/>
      <c r="J79" s="1719">
        <f>ROUND(SUM(J55-J76),1)</f>
        <v>-163.19999999999999</v>
      </c>
      <c r="K79" s="407"/>
      <c r="L79" s="1719">
        <f>ROUND(SUM(L55-L76),1)</f>
        <v>83.8</v>
      </c>
      <c r="M79" s="407"/>
      <c r="N79" s="1719">
        <f>ROUND(SUM(N55-N76),1)</f>
        <v>469</v>
      </c>
      <c r="O79" s="407"/>
      <c r="P79" s="1719">
        <f>ROUND(SUM(P55-P76),1)</f>
        <v>-470.4</v>
      </c>
      <c r="Q79" s="407"/>
      <c r="R79" s="1719">
        <f>ROUND(SUM(R55-R76),1)</f>
        <v>343.9</v>
      </c>
      <c r="S79" s="407"/>
      <c r="T79" s="1719">
        <f>ROUND(SUM(T55-T76),1)</f>
        <v>716.5</v>
      </c>
      <c r="U79" s="407"/>
      <c r="V79" s="1719">
        <f>ROUND(SUM(V55-V76),1)</f>
        <v>-591.29999999999995</v>
      </c>
      <c r="W79" s="256"/>
      <c r="X79" s="1719">
        <f>ROUND(SUM(X55-X76),1)</f>
        <v>0</v>
      </c>
      <c r="Y79" s="256"/>
      <c r="Z79" s="1719">
        <f>ROUND(SUM(Z55-Z76),1)</f>
        <v>0</v>
      </c>
      <c r="AA79" s="407"/>
      <c r="AB79" s="477"/>
      <c r="AC79" s="310">
        <f>ROUND(SUM(AC55-AC76),1)</f>
        <v>724.6</v>
      </c>
      <c r="AD79" s="272"/>
      <c r="AE79" s="737"/>
      <c r="AF79" s="310">
        <f>ROUND(SUM(AF55-AF76),1)</f>
        <v>1953.3</v>
      </c>
      <c r="AG79" s="518"/>
      <c r="AH79" s="272"/>
      <c r="AI79" s="519">
        <f>ROUND(SUM(AC79-AF79),1)</f>
        <v>-1228.7</v>
      </c>
      <c r="AJ79" s="409"/>
      <c r="AK79" s="3045">
        <f>ROUND(SUM((AC79-AF79)/ABS(AF79)),3)</f>
        <v>-0.629</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2"/>
      <c r="AJ80" s="2543"/>
      <c r="AK80" s="2601"/>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2"/>
      <c r="AJ81" s="2543"/>
      <c r="AK81" s="2601"/>
    </row>
    <row r="82" spans="1:50" ht="15" customHeight="1">
      <c r="A82" s="350"/>
      <c r="B82" s="223" t="s">
        <v>186</v>
      </c>
      <c r="C82" s="223"/>
      <c r="D82" s="370">
        <v>0</v>
      </c>
      <c r="E82" s="365"/>
      <c r="F82" s="370">
        <v>0</v>
      </c>
      <c r="G82" s="365"/>
      <c r="H82" s="370">
        <v>0</v>
      </c>
      <c r="I82" s="365"/>
      <c r="J82" s="370">
        <v>0</v>
      </c>
      <c r="K82" s="365"/>
      <c r="L82" s="370">
        <v>0</v>
      </c>
      <c r="M82" s="1560"/>
      <c r="N82" s="1191">
        <v>0</v>
      </c>
      <c r="O82" s="365"/>
      <c r="P82" s="1142">
        <v>0</v>
      </c>
      <c r="Q82" s="371"/>
      <c r="R82" s="1142">
        <v>0</v>
      </c>
      <c r="S82" s="365"/>
      <c r="T82" s="1191">
        <v>0</v>
      </c>
      <c r="U82" s="365"/>
      <c r="V82" s="1191">
        <v>0</v>
      </c>
      <c r="W82" s="260"/>
      <c r="X82" s="1262"/>
      <c r="Y82" s="260"/>
      <c r="Z82" s="1262"/>
      <c r="AA82" s="365"/>
      <c r="AB82" s="470"/>
      <c r="AC82" s="316">
        <f>ROUND(SUM(D82:Z82),1)</f>
        <v>0</v>
      </c>
      <c r="AD82" s="254"/>
      <c r="AE82" s="251"/>
      <c r="AF82" s="370">
        <v>0</v>
      </c>
      <c r="AG82" s="511"/>
      <c r="AH82" s="248"/>
      <c r="AI82" s="1276">
        <f>ROUND(SUM(+AC82-AF82),1)</f>
        <v>0</v>
      </c>
      <c r="AJ82" s="1740"/>
      <c r="AK82" s="2582">
        <f>ROUND(IF(AF82=0,0,AI82/ABS(AF82)),3)</f>
        <v>0</v>
      </c>
    </row>
    <row r="83" spans="1:50" ht="15" customHeight="1">
      <c r="A83" s="350"/>
      <c r="B83" s="223" t="s">
        <v>187</v>
      </c>
      <c r="C83" s="223"/>
      <c r="D83" s="273">
        <v>-121.2</v>
      </c>
      <c r="E83" s="365"/>
      <c r="F83" s="370">
        <v>-109.5</v>
      </c>
      <c r="G83" s="365"/>
      <c r="H83" s="326">
        <v>-374.8</v>
      </c>
      <c r="I83" s="365"/>
      <c r="J83" s="1898">
        <v>-57.1</v>
      </c>
      <c r="K83" s="365"/>
      <c r="L83" s="1898">
        <v>-245.4</v>
      </c>
      <c r="M83" s="365"/>
      <c r="N83" s="326">
        <v>-210.3</v>
      </c>
      <c r="O83" s="365"/>
      <c r="P83" s="1142">
        <v>-65</v>
      </c>
      <c r="Q83" s="365"/>
      <c r="R83" s="1142">
        <v>-185.2</v>
      </c>
      <c r="S83" s="365"/>
      <c r="T83" s="370">
        <v>-181.9</v>
      </c>
      <c r="U83" s="365"/>
      <c r="V83" s="370">
        <v>-65.400000000000006</v>
      </c>
      <c r="W83" s="260"/>
      <c r="X83" s="273"/>
      <c r="Y83" s="260"/>
      <c r="Z83" s="273"/>
      <c r="AA83" s="365"/>
      <c r="AB83" s="470"/>
      <c r="AC83" s="316">
        <f>ROUND(SUM(D83:Z83),1)</f>
        <v>-1615.8</v>
      </c>
      <c r="AD83" s="248"/>
      <c r="AE83" s="251"/>
      <c r="AF83" s="260">
        <v>-1526.1</v>
      </c>
      <c r="AG83" s="511"/>
      <c r="AH83" s="248"/>
      <c r="AI83" s="1740">
        <f>ROUND(SUM(+AC83-AF83)*-1,1)</f>
        <v>89.7</v>
      </c>
      <c r="AJ83" s="1740"/>
      <c r="AK83" s="2582">
        <f>ROUND(IF(AF83=0,0,AI83/ABS(AF83)),3)</f>
        <v>5.8999999999999997E-2</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42"/>
      <c r="AJ84" s="2543"/>
      <c r="AK84" s="2603"/>
    </row>
    <row r="85" spans="1:50" ht="15" customHeight="1">
      <c r="A85" s="350"/>
      <c r="B85" s="221" t="s">
        <v>1287</v>
      </c>
      <c r="C85" s="223"/>
      <c r="D85" s="256">
        <f>ROUND(SUM(D82:D84),1)</f>
        <v>-121.2</v>
      </c>
      <c r="E85" s="407"/>
      <c r="F85" s="256">
        <f>ROUND(SUM(F82:F84),1)</f>
        <v>-109.5</v>
      </c>
      <c r="G85" s="407"/>
      <c r="H85" s="256">
        <f>ROUND(SUM(H82:H84),1)</f>
        <v>-374.8</v>
      </c>
      <c r="I85" s="407"/>
      <c r="J85" s="256">
        <f>ROUND(SUM(J82:J84),1)</f>
        <v>-57.1</v>
      </c>
      <c r="K85" s="407"/>
      <c r="L85" s="1719">
        <f>ROUND(SUM(L82:L84),1)</f>
        <v>-245.4</v>
      </c>
      <c r="M85" s="407"/>
      <c r="N85" s="256">
        <f>ROUND(SUM(N82:N84),1)</f>
        <v>-210.3</v>
      </c>
      <c r="O85" s="407"/>
      <c r="P85" s="256">
        <f>ROUND(SUM(P82:P84),1)</f>
        <v>-65</v>
      </c>
      <c r="Q85" s="407"/>
      <c r="R85" s="256">
        <f>ROUND(SUM(R82:R84),1)</f>
        <v>-185.2</v>
      </c>
      <c r="S85" s="407"/>
      <c r="T85" s="256">
        <f>ROUND(SUM(T82:T84),1)</f>
        <v>-181.9</v>
      </c>
      <c r="U85" s="407"/>
      <c r="V85" s="1719">
        <f>ROUND(SUM(V82:V84),1)</f>
        <v>-65.400000000000006</v>
      </c>
      <c r="W85" s="256"/>
      <c r="X85" s="256">
        <f>ROUND(SUM(X82:X84),1)</f>
        <v>0</v>
      </c>
      <c r="Y85" s="256"/>
      <c r="Z85" s="256">
        <f>ROUND(SUM(Z82:Z84),1)</f>
        <v>0</v>
      </c>
      <c r="AA85" s="407"/>
      <c r="AB85" s="477"/>
      <c r="AC85" s="310">
        <f>ROUND(SUM(AC82:AC84),1)</f>
        <v>-1615.8</v>
      </c>
      <c r="AD85" s="272"/>
      <c r="AE85" s="737"/>
      <c r="AF85" s="310">
        <f>ROUND(SUM(AF82:AF84),1)</f>
        <v>-1526.1</v>
      </c>
      <c r="AG85" s="518"/>
      <c r="AH85" s="272"/>
      <c r="AI85" s="519">
        <f>-ROUND(SUM(AC85-AF85),1)</f>
        <v>89.7</v>
      </c>
      <c r="AJ85" s="520"/>
      <c r="AK85" s="2602">
        <f>ROUND(SUM((AC85-AF85)/(AF85)),3)</f>
        <v>5.8999999999999997E-2</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368"/>
      <c r="W86" s="260"/>
      <c r="X86" s="286"/>
      <c r="Y86" s="260"/>
      <c r="Z86" s="286"/>
      <c r="AA86" s="365"/>
      <c r="AB86" s="470"/>
      <c r="AC86" s="325"/>
      <c r="AD86" s="248"/>
      <c r="AE86" s="251"/>
      <c r="AF86" s="286"/>
      <c r="AG86" s="511"/>
      <c r="AH86" s="248"/>
      <c r="AI86" s="1262"/>
      <c r="AJ86" s="2543"/>
      <c r="AK86" s="2601"/>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43"/>
      <c r="AJ87" s="2543"/>
      <c r="AK87" s="2601"/>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43"/>
      <c r="AJ88" s="2543"/>
      <c r="AK88" s="2601"/>
    </row>
    <row r="89" spans="1:50" ht="15" customHeight="1">
      <c r="A89" s="350"/>
      <c r="B89" s="221" t="s">
        <v>1288</v>
      </c>
      <c r="C89" s="223"/>
      <c r="D89" s="1584">
        <f>ROUND(SUM(D79+D85),1)</f>
        <v>-612.9</v>
      </c>
      <c r="E89" s="365"/>
      <c r="F89" s="1584">
        <f>ROUND(SUM(F79+F85),1)</f>
        <v>-567.1</v>
      </c>
      <c r="G89" s="365"/>
      <c r="H89" s="1584">
        <f>ROUND(SUM(H79+H85),1)</f>
        <v>910.8</v>
      </c>
      <c r="I89" s="365"/>
      <c r="J89" s="1584">
        <f>ROUND(SUM(J79+J85),1)</f>
        <v>-220.3</v>
      </c>
      <c r="K89" s="365"/>
      <c r="L89" s="1584">
        <f>ROUND(SUM(L79+L85),1)</f>
        <v>-161.6</v>
      </c>
      <c r="M89" s="260"/>
      <c r="N89" s="1584">
        <f>ROUND(SUM(N79+N85),1)</f>
        <v>258.7</v>
      </c>
      <c r="O89" s="260"/>
      <c r="P89" s="1584">
        <f>ROUND(SUM(P79+P85),1)</f>
        <v>-535.4</v>
      </c>
      <c r="Q89" s="260"/>
      <c r="R89" s="1584">
        <f>ROUND(SUM(R79+R85),1)</f>
        <v>158.69999999999999</v>
      </c>
      <c r="S89" s="260"/>
      <c r="T89" s="1584">
        <f>ROUND(SUM(T79+T85),1)</f>
        <v>534.6</v>
      </c>
      <c r="U89" s="260"/>
      <c r="V89" s="1584">
        <f>ROUND(SUM(V79+V85),1)</f>
        <v>-656.7</v>
      </c>
      <c r="W89" s="260"/>
      <c r="X89" s="1584">
        <f>ROUND(SUM(X79+X85),1)</f>
        <v>0</v>
      </c>
      <c r="Y89" s="260"/>
      <c r="Z89" s="1584">
        <f>ROUND(SUM(Z79+Z85),1)</f>
        <v>0</v>
      </c>
      <c r="AA89" s="365"/>
      <c r="AB89" s="470"/>
      <c r="AC89" s="2018">
        <f>ROUND(SUM(AC79+AC85),1)</f>
        <v>-891.2</v>
      </c>
      <c r="AD89" s="252"/>
      <c r="AE89" s="537"/>
      <c r="AF89" s="2018">
        <f>ROUND(SUM(AF79+AF85),1)</f>
        <v>427.2</v>
      </c>
      <c r="AG89" s="538"/>
      <c r="AH89" s="229"/>
      <c r="AI89" s="1584">
        <f>ROUND(SUM(AI79-AI85),1)</f>
        <v>-1318.4</v>
      </c>
      <c r="AJ89" s="2543"/>
      <c r="AK89" s="3045">
        <f>ROUND(SUM((AC89-AF89)/ABS(AF89)),3)</f>
        <v>-3.0859999999999999</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36"/>
      <c r="AF90" s="421"/>
      <c r="AG90" s="538"/>
      <c r="AH90" s="229"/>
      <c r="AI90" s="421"/>
      <c r="AJ90" s="2543"/>
      <c r="AK90" s="3044"/>
    </row>
    <row r="91" spans="1:50" ht="15" customHeight="1" thickBot="1">
      <c r="A91" s="350"/>
      <c r="B91" s="486" t="s">
        <v>144</v>
      </c>
      <c r="C91" s="223"/>
      <c r="D91" s="3046">
        <f>ROUND(SUM(D13+D89),1)</f>
        <v>-73</v>
      </c>
      <c r="E91" s="222"/>
      <c r="F91" s="3046">
        <f>ROUND(SUM(F13+F89),1)</f>
        <v>-640.1</v>
      </c>
      <c r="G91" s="222"/>
      <c r="H91" s="3046">
        <f>ROUND(SUM(H13+H89),1)</f>
        <v>270.7</v>
      </c>
      <c r="I91" s="222"/>
      <c r="J91" s="3046">
        <f>ROUND(SUM(J13+J89),1)</f>
        <v>50.4</v>
      </c>
      <c r="K91" s="222"/>
      <c r="L91" s="3046">
        <f>ROUND(SUM(L13+L89),1)</f>
        <v>-111.2</v>
      </c>
      <c r="M91" s="222"/>
      <c r="N91" s="3046">
        <f>ROUND(SUM(N13+N89),1)</f>
        <v>147.5</v>
      </c>
      <c r="O91" s="222"/>
      <c r="P91" s="3046">
        <f>ROUND(SUM(P13+P89),1)</f>
        <v>-387.9</v>
      </c>
      <c r="Q91" s="222"/>
      <c r="R91" s="3046">
        <f>ROUND(SUM(R13+R89),1)</f>
        <v>-229.2</v>
      </c>
      <c r="S91" s="222"/>
      <c r="T91" s="3046">
        <f>ROUND(SUM(T13+T89),1)</f>
        <v>305.39999999999998</v>
      </c>
      <c r="U91" s="222"/>
      <c r="V91" s="3046">
        <f>ROUND(SUM(V13+V89),1)</f>
        <v>-351.3</v>
      </c>
      <c r="W91" s="222"/>
      <c r="X91" s="3046">
        <f>ROUND(SUM(X13+X89),1)</f>
        <v>0</v>
      </c>
      <c r="Y91" s="222"/>
      <c r="Z91" s="3046">
        <f>ROUND(SUM(Z13+Z89),1)</f>
        <v>0</v>
      </c>
      <c r="AA91" s="365"/>
      <c r="AB91" s="470"/>
      <c r="AC91" s="3051">
        <f>ROUND(SUM(AC13+AC89),1)</f>
        <v>-351.3</v>
      </c>
      <c r="AD91" s="252"/>
      <c r="AE91" s="3336"/>
      <c r="AF91" s="3051">
        <f>ROUND(SUM(AF13+AF89),1)</f>
        <v>486.9</v>
      </c>
      <c r="AG91" s="538"/>
      <c r="AH91" s="229"/>
      <c r="AI91" s="499">
        <f>ROUND(SUM(AC91-AF91),1)</f>
        <v>-838.2</v>
      </c>
      <c r="AJ91" s="2543"/>
      <c r="AK91" s="3031">
        <f>ROUND(SUM((AC91-AF91)/ABS(AF91)),3)</f>
        <v>-1.722</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75"/>
      <c r="AD92" s="502"/>
      <c r="AE92" s="502"/>
      <c r="AF92" s="502"/>
      <c r="AG92" s="502"/>
      <c r="AH92" s="502"/>
      <c r="AI92" s="2528"/>
      <c r="AJ92" s="2528"/>
      <c r="AK92" s="2574"/>
      <c r="AL92" s="543"/>
      <c r="AM92" s="543"/>
      <c r="AN92" s="543"/>
      <c r="AO92" s="543"/>
      <c r="AP92" s="543"/>
      <c r="AQ92" s="543"/>
      <c r="AR92" s="543"/>
      <c r="AS92" s="543"/>
      <c r="AT92" s="543"/>
      <c r="AU92" s="543"/>
      <c r="AV92" s="543"/>
      <c r="AW92" s="543"/>
      <c r="AX92" s="543"/>
    </row>
    <row r="93" spans="1:50" ht="15" customHeight="1">
      <c r="B93" s="1715"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15"/>
      <c r="AJ93" s="1715"/>
      <c r="AK93" s="2574"/>
    </row>
    <row r="94" spans="1:50" ht="15" customHeight="1">
      <c r="B94" s="222"/>
      <c r="AK94" s="2596"/>
    </row>
    <row r="95" spans="1:50" ht="15" customHeight="1">
      <c r="B95" s="222"/>
      <c r="AK95" s="2596"/>
    </row>
    <row r="96" spans="1:50" ht="15" customHeight="1">
      <c r="AK96" s="2596"/>
    </row>
    <row r="97" spans="37:37" ht="15" customHeight="1">
      <c r="AK97" s="2596"/>
    </row>
    <row r="98" spans="37:37" ht="15" customHeight="1">
      <c r="AK98" s="2596"/>
    </row>
    <row r="99" spans="37:37" ht="15" customHeight="1">
      <c r="AK99" s="2596"/>
    </row>
    <row r="100" spans="37:37" ht="15" customHeight="1">
      <c r="AK100" s="2596"/>
    </row>
    <row r="101" spans="37:37" ht="15" customHeight="1">
      <c r="AK101" s="2596"/>
    </row>
    <row r="102" spans="37:37" ht="15" customHeight="1">
      <c r="AK102" s="2596"/>
    </row>
    <row r="103" spans="37:37" ht="15" customHeight="1">
      <c r="AK103" s="2596"/>
    </row>
    <row r="104" spans="37:37" ht="15" customHeight="1">
      <c r="AK104" s="2596"/>
    </row>
    <row r="105" spans="37:37" ht="15" customHeight="1">
      <c r="AK105" s="2596"/>
    </row>
    <row r="106" spans="37:37" ht="15" customHeight="1">
      <c r="AK106" s="2596"/>
    </row>
    <row r="107" spans="37:37" ht="15" customHeight="1">
      <c r="AK107" s="2596"/>
    </row>
    <row r="108" spans="37:37" ht="15" customHeight="1">
      <c r="AK108" s="2596"/>
    </row>
    <row r="109" spans="37:37" ht="15" customHeight="1">
      <c r="AK109" s="2596"/>
    </row>
    <row r="110" spans="37:37" ht="15" customHeight="1">
      <c r="AK110" s="2596"/>
    </row>
    <row r="111" spans="37:37" ht="15" customHeight="1">
      <c r="AK111" s="2596"/>
    </row>
    <row r="112" spans="37:37" ht="15" customHeight="1">
      <c r="AK112" s="2596"/>
    </row>
    <row r="113" spans="37:37" ht="15" customHeight="1">
      <c r="AK113" s="2596"/>
    </row>
    <row r="114" spans="37:37" ht="15" customHeight="1">
      <c r="AK114" s="2596"/>
    </row>
    <row r="115" spans="37:37" ht="15" customHeight="1">
      <c r="AK115" s="2596"/>
    </row>
    <row r="116" spans="37:37" ht="15" customHeight="1">
      <c r="AK116" s="2596"/>
    </row>
    <row r="117" spans="37:37" ht="15" customHeight="1">
      <c r="AK117" s="2596"/>
    </row>
    <row r="118" spans="37:37" ht="15" customHeight="1">
      <c r="AK118" s="2596"/>
    </row>
    <row r="119" spans="37:37" ht="15" customHeight="1">
      <c r="AK119" s="2596"/>
    </row>
    <row r="120" spans="37:37" ht="15" customHeight="1">
      <c r="AK120" s="2596"/>
    </row>
    <row r="121" spans="37:37" ht="15" customHeight="1">
      <c r="AK121" s="2596"/>
    </row>
    <row r="122" spans="37:37" ht="15" customHeight="1">
      <c r="AK122" s="2596"/>
    </row>
    <row r="123" spans="37:37" ht="15" customHeight="1">
      <c r="AK123" s="2596"/>
    </row>
    <row r="124" spans="37:37" ht="15" customHeight="1">
      <c r="AK124" s="2596"/>
    </row>
    <row r="125" spans="37:37" ht="15" customHeight="1">
      <c r="AK125" s="2596"/>
    </row>
    <row r="126" spans="37:37" ht="15" customHeight="1">
      <c r="AK126" s="2596"/>
    </row>
    <row r="127" spans="37:37" ht="15" customHeight="1">
      <c r="AK127" s="2596"/>
    </row>
    <row r="128" spans="37:37" ht="15" customHeight="1">
      <c r="AK128" s="2596"/>
    </row>
    <row r="129" spans="31:37" ht="15" customHeight="1">
      <c r="AK129" s="2596"/>
    </row>
    <row r="130" spans="31:37" ht="15" customHeight="1">
      <c r="AK130" s="2596"/>
    </row>
    <row r="131" spans="31:37" ht="15" customHeight="1">
      <c r="AK131" s="2596"/>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5"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4"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06" t="s">
        <v>1251</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45"/>
      <c r="AC5" s="3546"/>
      <c r="AD5" s="3546"/>
      <c r="AE5" s="554"/>
      <c r="AF5" s="554"/>
      <c r="AG5" s="554"/>
      <c r="AH5" s="554"/>
      <c r="AI5" s="554"/>
      <c r="AJ5" s="1006"/>
    </row>
    <row r="6" spans="1:36" ht="17.399999999999999">
      <c r="A6" s="553" t="s">
        <v>1437</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47" t="s">
        <v>1556</v>
      </c>
      <c r="AB8" s="3548"/>
      <c r="AC8" s="3548"/>
      <c r="AD8" s="3548"/>
      <c r="AE8" s="3548"/>
      <c r="AF8" s="3548"/>
      <c r="AG8" s="3548"/>
      <c r="AH8" s="3548"/>
      <c r="AI8" s="3548"/>
    </row>
    <row r="9" spans="1:36" ht="15.6">
      <c r="A9" s="550"/>
      <c r="B9" s="1410">
        <v>2017</v>
      </c>
      <c r="C9" s="583"/>
      <c r="D9" s="583"/>
      <c r="E9" s="583"/>
      <c r="F9" s="1411"/>
      <c r="G9" s="583"/>
      <c r="H9" s="583"/>
      <c r="I9" s="583"/>
      <c r="J9" s="583"/>
      <c r="K9" s="583"/>
      <c r="L9" s="583"/>
      <c r="M9" s="583"/>
      <c r="N9" s="583"/>
      <c r="O9" s="583"/>
      <c r="P9" s="583"/>
      <c r="Q9" s="583"/>
      <c r="R9" s="583"/>
      <c r="S9" s="583"/>
      <c r="T9" s="1410">
        <v>2018</v>
      </c>
      <c r="U9" s="583"/>
      <c r="V9" s="583"/>
      <c r="W9" s="583"/>
      <c r="X9" s="558"/>
      <c r="Y9" s="583"/>
      <c r="Z9" s="583"/>
      <c r="AA9" s="583"/>
      <c r="AB9" s="583"/>
      <c r="AC9" s="583"/>
      <c r="AD9" s="583"/>
      <c r="AE9" s="1412"/>
      <c r="AF9" s="583"/>
      <c r="AG9" s="1413" t="s">
        <v>8</v>
      </c>
      <c r="AH9" s="1414"/>
      <c r="AI9" s="1415" t="s">
        <v>9</v>
      </c>
      <c r="AJ9" s="1006"/>
    </row>
    <row r="10" spans="1:36" ht="15.6">
      <c r="A10" s="550"/>
      <c r="B10" s="1380" t="s">
        <v>127</v>
      </c>
      <c r="C10" s="583"/>
      <c r="D10" s="1380" t="s">
        <v>128</v>
      </c>
      <c r="E10" s="558"/>
      <c r="F10" s="1416" t="s">
        <v>129</v>
      </c>
      <c r="G10" s="558"/>
      <c r="H10" s="1380" t="s">
        <v>130</v>
      </c>
      <c r="I10" s="558"/>
      <c r="J10" s="1380" t="s">
        <v>131</v>
      </c>
      <c r="K10" s="558"/>
      <c r="L10" s="1379" t="s">
        <v>146</v>
      </c>
      <c r="M10" s="558"/>
      <c r="N10" s="3139" t="s">
        <v>147</v>
      </c>
      <c r="O10" s="558"/>
      <c r="P10" s="1380" t="s">
        <v>134</v>
      </c>
      <c r="Q10" s="558"/>
      <c r="R10" s="1380" t="s">
        <v>135</v>
      </c>
      <c r="S10" s="583"/>
      <c r="T10" s="1380" t="s">
        <v>136</v>
      </c>
      <c r="U10" s="558"/>
      <c r="V10" s="1380" t="s">
        <v>137</v>
      </c>
      <c r="W10" s="558"/>
      <c r="X10" s="1380" t="s">
        <v>190</v>
      </c>
      <c r="Y10" s="558"/>
      <c r="Z10" s="558"/>
      <c r="AA10" s="1417">
        <v>2018</v>
      </c>
      <c r="AB10" s="558"/>
      <c r="AC10" s="558"/>
      <c r="AD10" s="1417">
        <v>2017</v>
      </c>
      <c r="AE10" s="1418"/>
      <c r="AF10" s="1418"/>
      <c r="AG10" s="1419" t="s">
        <v>12</v>
      </c>
      <c r="AH10" s="1420"/>
      <c r="AI10" s="1419" t="s">
        <v>13</v>
      </c>
      <c r="AJ10" s="1006"/>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f>+J73</f>
        <v>1002.7</v>
      </c>
      <c r="M12" s="570"/>
      <c r="N12" s="571">
        <f>L73</f>
        <v>396.1</v>
      </c>
      <c r="O12" s="570"/>
      <c r="P12" s="571">
        <f>N73</f>
        <v>787.4</v>
      </c>
      <c r="Q12" s="570"/>
      <c r="R12" s="571">
        <f>P73</f>
        <v>1118.5999999999999</v>
      </c>
      <c r="S12" s="570"/>
      <c r="T12" s="571">
        <f>R73</f>
        <v>736.7</v>
      </c>
      <c r="U12" s="570"/>
      <c r="V12" s="571"/>
      <c r="W12" s="570"/>
      <c r="X12" s="572"/>
      <c r="Y12" s="573"/>
      <c r="Z12" s="570"/>
      <c r="AA12" s="570">
        <v>144.4</v>
      </c>
      <c r="AB12" s="573"/>
      <c r="AC12" s="570"/>
      <c r="AD12" s="2807">
        <v>159.69999999999999</v>
      </c>
      <c r="AE12" s="574"/>
      <c r="AF12" s="575"/>
      <c r="AG12" s="576">
        <f>ROUND(SUM(AA12-AD12),1)</f>
        <v>-15.3</v>
      </c>
      <c r="AH12" s="577"/>
      <c r="AI12" s="578">
        <f>ROUND(SUM(AG12/AD12),3)</f>
        <v>-9.6000000000000002E-2</v>
      </c>
      <c r="AJ12" s="1006"/>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05"/>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05"/>
      <c r="AE14" s="561"/>
      <c r="AF14" s="581"/>
      <c r="AG14" s="582"/>
      <c r="AH14" s="567"/>
      <c r="AI14" s="568"/>
    </row>
    <row r="15" spans="1:36" ht="14.25" customHeight="1">
      <c r="A15" s="486" t="s">
        <v>1177</v>
      </c>
      <c r="B15" s="427"/>
      <c r="C15" s="427"/>
      <c r="D15" s="427"/>
      <c r="E15" s="968"/>
      <c r="F15" s="427"/>
      <c r="G15" s="968"/>
      <c r="H15" s="556"/>
      <c r="I15" s="556"/>
      <c r="J15" s="556"/>
      <c r="K15" s="556"/>
      <c r="L15" s="556"/>
      <c r="M15" s="556"/>
      <c r="N15" s="556"/>
      <c r="O15" s="556"/>
      <c r="P15" s="556"/>
      <c r="Q15" s="556"/>
      <c r="R15" s="556"/>
      <c r="S15" s="556"/>
      <c r="T15" s="556"/>
      <c r="U15" s="556"/>
      <c r="V15" s="556"/>
      <c r="W15" s="556"/>
      <c r="X15" s="556"/>
      <c r="Y15" s="1909"/>
      <c r="Z15" s="556"/>
      <c r="AA15" s="557"/>
      <c r="AB15" s="1910"/>
      <c r="AC15" s="557"/>
      <c r="AD15" s="2802"/>
      <c r="AE15" s="561"/>
      <c r="AF15" s="581"/>
      <c r="AG15" s="582"/>
      <c r="AH15" s="567"/>
      <c r="AI15" s="568"/>
    </row>
    <row r="16" spans="1:36" ht="14.25" customHeight="1">
      <c r="A16" s="2203" t="s">
        <v>1180</v>
      </c>
      <c r="B16" s="1142">
        <v>1250.5</v>
      </c>
      <c r="C16" s="1093"/>
      <c r="D16" s="1142">
        <v>525.29999999999995</v>
      </c>
      <c r="E16" s="1093"/>
      <c r="F16" s="2463">
        <v>1162.7</v>
      </c>
      <c r="G16" s="223"/>
      <c r="H16" s="1142">
        <v>662.5</v>
      </c>
      <c r="I16" s="556"/>
      <c r="J16" s="1142">
        <v>763.7</v>
      </c>
      <c r="K16" s="556"/>
      <c r="L16" s="1142">
        <v>1179</v>
      </c>
      <c r="M16" s="556"/>
      <c r="N16" s="3097">
        <v>673.5</v>
      </c>
      <c r="O16" s="556"/>
      <c r="P16" s="1142">
        <v>597.9</v>
      </c>
      <c r="Q16" s="556"/>
      <c r="R16" s="1142">
        <v>1692.9</v>
      </c>
      <c r="S16" s="556"/>
      <c r="T16" s="1142">
        <v>2807.2999999999993</v>
      </c>
      <c r="U16" s="556"/>
      <c r="V16" s="1142"/>
      <c r="W16" s="556"/>
      <c r="X16" s="1142"/>
      <c r="Y16" s="1909"/>
      <c r="Z16" s="556"/>
      <c r="AA16" s="316">
        <f>ROUND(SUM(B16:X16),1)</f>
        <v>11315.3</v>
      </c>
      <c r="AB16" s="1910"/>
      <c r="AC16" s="557"/>
      <c r="AD16" s="2815">
        <v>10118.200000000001</v>
      </c>
      <c r="AE16" s="561"/>
      <c r="AF16" s="581"/>
      <c r="AG16" s="591">
        <f>ROUND(SUM(AA16-AD16),1)</f>
        <v>1197.0999999999999</v>
      </c>
      <c r="AH16" s="567"/>
      <c r="AI16" s="2568">
        <f>ROUND(IF(AD16=0,0,AG16/ABS(AD16)),3)</f>
        <v>0.11799999999999999</v>
      </c>
    </row>
    <row r="17" spans="1:35" ht="6" customHeight="1">
      <c r="A17" s="2203"/>
      <c r="B17" s="1142"/>
      <c r="C17" s="1093"/>
      <c r="D17" s="1142"/>
      <c r="E17" s="1093"/>
      <c r="F17" s="1142"/>
      <c r="G17" s="223"/>
      <c r="H17" s="1142"/>
      <c r="I17" s="556"/>
      <c r="J17" s="1142"/>
      <c r="K17" s="556"/>
      <c r="L17" s="1142"/>
      <c r="M17" s="556"/>
      <c r="N17" s="3097"/>
      <c r="O17" s="556"/>
      <c r="P17" s="1142"/>
      <c r="Q17" s="556"/>
      <c r="R17" s="1142"/>
      <c r="S17" s="556"/>
      <c r="T17" s="1142"/>
      <c r="U17" s="556"/>
      <c r="V17" s="1142"/>
      <c r="W17" s="556"/>
      <c r="X17" s="1142"/>
      <c r="Y17" s="2487"/>
      <c r="Z17" s="556"/>
      <c r="AA17" s="316"/>
      <c r="AB17" s="2490"/>
      <c r="AC17" s="557"/>
      <c r="AD17" s="2815"/>
      <c r="AE17" s="561"/>
      <c r="AF17" s="581"/>
      <c r="AG17" s="591"/>
      <c r="AH17" s="567"/>
      <c r="AI17" s="2568"/>
    </row>
    <row r="18" spans="1:35" ht="14.25" customHeight="1">
      <c r="A18" s="1907" t="s">
        <v>1244</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09"/>
      <c r="Z18" s="556"/>
      <c r="AA18" s="313"/>
      <c r="AB18" s="1910"/>
      <c r="AC18" s="557"/>
      <c r="AD18" s="2801"/>
      <c r="AE18" s="561"/>
      <c r="AF18" s="581"/>
      <c r="AG18" s="582"/>
      <c r="AH18" s="567"/>
      <c r="AI18" s="2604"/>
    </row>
    <row r="19" spans="1:35" ht="14.25" customHeight="1">
      <c r="A19" s="1206" t="s">
        <v>1195</v>
      </c>
      <c r="B19" s="1093">
        <v>473</v>
      </c>
      <c r="C19" s="1093"/>
      <c r="D19" s="1093">
        <v>487.79999999999995</v>
      </c>
      <c r="E19" s="1093"/>
      <c r="F19" s="1093">
        <v>676.40000000000009</v>
      </c>
      <c r="G19" s="260"/>
      <c r="H19" s="1093">
        <v>526.5</v>
      </c>
      <c r="I19" s="556"/>
      <c r="J19" s="1093">
        <v>515.29999999999995</v>
      </c>
      <c r="K19" s="556"/>
      <c r="L19" s="1093">
        <v>681.1</v>
      </c>
      <c r="M19" s="556"/>
      <c r="N19" s="3069">
        <v>519.79999999999995</v>
      </c>
      <c r="O19" s="556"/>
      <c r="P19" s="1093">
        <v>550.70000000000005</v>
      </c>
      <c r="Q19" s="556"/>
      <c r="R19" s="1093">
        <v>692.8</v>
      </c>
      <c r="S19" s="556"/>
      <c r="T19" s="1093">
        <v>559.9</v>
      </c>
      <c r="U19" s="556"/>
      <c r="V19" s="1093"/>
      <c r="W19" s="556"/>
      <c r="X19" s="1093"/>
      <c r="Y19" s="1909"/>
      <c r="Z19" s="556"/>
      <c r="AA19" s="316">
        <f>ROUND(SUM(B19:X19),1)</f>
        <v>5683.3</v>
      </c>
      <c r="AB19" s="1910"/>
      <c r="AC19" s="557"/>
      <c r="AD19" s="2799">
        <v>5440.3</v>
      </c>
      <c r="AE19" s="561"/>
      <c r="AF19" s="581"/>
      <c r="AG19" s="591">
        <f>ROUND(SUM(AA19-AD19),1)</f>
        <v>243</v>
      </c>
      <c r="AH19" s="567"/>
      <c r="AI19" s="2568">
        <f>ROUND(IF(AD19=0,0,AG19/ABS(AD19)),3)</f>
        <v>4.4999999999999998E-2</v>
      </c>
    </row>
    <row r="20" spans="1:35" ht="14.25" customHeight="1">
      <c r="A20" s="583" t="s">
        <v>1194</v>
      </c>
      <c r="B20" s="1219">
        <f>ROUND(SUM(B19:B19),1)</f>
        <v>473</v>
      </c>
      <c r="C20" s="1719"/>
      <c r="D20" s="1219">
        <f>ROUND(SUM(D19:D19),1)</f>
        <v>487.8</v>
      </c>
      <c r="E20" s="1719"/>
      <c r="F20" s="1219">
        <f>ROUND(SUM(F19:F19),1)</f>
        <v>676.4</v>
      </c>
      <c r="G20" s="1719"/>
      <c r="H20" s="1219">
        <f>ROUND(SUM(H19:H19),1)</f>
        <v>526.5</v>
      </c>
      <c r="I20" s="556"/>
      <c r="J20" s="1219">
        <f>ROUND(SUM(J19:J19),1)</f>
        <v>515.29999999999995</v>
      </c>
      <c r="K20" s="556"/>
      <c r="L20" s="1219">
        <f>ROUND(SUM(L19:L19),1)</f>
        <v>681.1</v>
      </c>
      <c r="M20" s="556"/>
      <c r="N20" s="2816">
        <f>ROUND(SUM(N19:N19),1)</f>
        <v>519.79999999999995</v>
      </c>
      <c r="O20" s="556"/>
      <c r="P20" s="1219">
        <f>ROUND(SUM(P19:P19),1)</f>
        <v>550.70000000000005</v>
      </c>
      <c r="Q20" s="556"/>
      <c r="R20" s="1219">
        <f>ROUND(SUM(R19:R19),1)</f>
        <v>692.8</v>
      </c>
      <c r="S20" s="556"/>
      <c r="T20" s="1219">
        <f>ROUND(SUM(T19:T19),1)</f>
        <v>559.9</v>
      </c>
      <c r="U20" s="556"/>
      <c r="V20" s="1219">
        <f>ROUND(SUM(V19:V19),1)</f>
        <v>0</v>
      </c>
      <c r="W20" s="556"/>
      <c r="X20" s="1219">
        <f>ROUND(SUM(X19:X19),1)</f>
        <v>0</v>
      </c>
      <c r="Y20" s="1909"/>
      <c r="Z20" s="556"/>
      <c r="AA20" s="1219">
        <f>ROUND(SUM(AA19:AA19),1)</f>
        <v>5683.3</v>
      </c>
      <c r="AB20" s="1910"/>
      <c r="AC20" s="557"/>
      <c r="AD20" s="2816">
        <f>ROUND(SUM(AD19:AD19),1)</f>
        <v>5440.3</v>
      </c>
      <c r="AE20" s="561"/>
      <c r="AF20" s="581"/>
      <c r="AG20" s="2064">
        <f>ROUND(SUM(AA20-AD20),1)</f>
        <v>243</v>
      </c>
      <c r="AH20" s="577"/>
      <c r="AI20" s="2586">
        <f>ROUND(IF(AD20=0,0,AG20/ABS(AD20)),3)</f>
        <v>4.4999999999999998E-2</v>
      </c>
    </row>
    <row r="21" spans="1:35" ht="14.25" customHeight="1">
      <c r="A21" s="1907" t="s">
        <v>1246</v>
      </c>
      <c r="B21" s="272"/>
      <c r="C21" s="1719"/>
      <c r="D21" s="272"/>
      <c r="E21" s="1719"/>
      <c r="F21" s="272"/>
      <c r="G21" s="1719"/>
      <c r="H21" s="272"/>
      <c r="I21" s="556"/>
      <c r="J21" s="272"/>
      <c r="K21" s="556"/>
      <c r="L21" s="272"/>
      <c r="M21" s="556"/>
      <c r="N21" s="313"/>
      <c r="O21" s="556"/>
      <c r="P21" s="272"/>
      <c r="Q21" s="556"/>
      <c r="R21" s="272"/>
      <c r="S21" s="556"/>
      <c r="T21" s="272"/>
      <c r="U21" s="556"/>
      <c r="V21" s="272"/>
      <c r="W21" s="556"/>
      <c r="X21" s="272"/>
      <c r="Y21" s="1909"/>
      <c r="Z21" s="556"/>
      <c r="AA21" s="313"/>
      <c r="AB21" s="1910"/>
      <c r="AC21" s="557"/>
      <c r="AD21" s="2801"/>
      <c r="AE21" s="561"/>
      <c r="AF21" s="581"/>
      <c r="AG21" s="582"/>
      <c r="AH21" s="567"/>
      <c r="AI21" s="2604"/>
    </row>
    <row r="22" spans="1:35" ht="14.25" customHeight="1">
      <c r="A22" s="1206" t="s">
        <v>1213</v>
      </c>
      <c r="B22" s="1142">
        <v>94.8</v>
      </c>
      <c r="C22" s="1093"/>
      <c r="D22" s="1142">
        <v>94.7</v>
      </c>
      <c r="E22" s="1093"/>
      <c r="F22" s="1142">
        <v>89.600000000000023</v>
      </c>
      <c r="G22" s="1719"/>
      <c r="H22" s="1142">
        <v>84.4</v>
      </c>
      <c r="I22" s="556"/>
      <c r="J22" s="1142">
        <v>97.6</v>
      </c>
      <c r="K22" s="556"/>
      <c r="L22" s="1142">
        <v>98.4</v>
      </c>
      <c r="M22" s="556"/>
      <c r="N22" s="3097">
        <v>70</v>
      </c>
      <c r="O22" s="556"/>
      <c r="P22" s="1142">
        <v>85</v>
      </c>
      <c r="Q22" s="556"/>
      <c r="R22" s="1142">
        <v>67.099999999999994</v>
      </c>
      <c r="S22" s="556"/>
      <c r="T22" s="1142">
        <v>83</v>
      </c>
      <c r="U22" s="556"/>
      <c r="V22" s="1142"/>
      <c r="W22" s="556"/>
      <c r="X22" s="1142"/>
      <c r="Y22" s="1909"/>
      <c r="Z22" s="556"/>
      <c r="AA22" s="316">
        <f>ROUND(SUM(B22:X22),1)</f>
        <v>864.6</v>
      </c>
      <c r="AB22" s="1910"/>
      <c r="AC22" s="557"/>
      <c r="AD22" s="2815">
        <v>864.3</v>
      </c>
      <c r="AE22" s="561"/>
      <c r="AF22" s="581"/>
      <c r="AG22" s="591">
        <f>ROUND(SUM(AA22-AD22),1)</f>
        <v>0.3</v>
      </c>
      <c r="AH22" s="567"/>
      <c r="AI22" s="2568">
        <f>ROUND(IF(AD22=0,0,AG22/ABS(AD22)),3)</f>
        <v>0</v>
      </c>
    </row>
    <row r="23" spans="1:35" ht="14.25" customHeight="1">
      <c r="A23" s="583" t="s">
        <v>1208</v>
      </c>
      <c r="B23" s="2171">
        <f>ROUND(SUM(B22:B22),1)</f>
        <v>94.8</v>
      </c>
      <c r="C23" s="1719"/>
      <c r="D23" s="480">
        <f>ROUND(SUM(D22:D22),1)</f>
        <v>94.7</v>
      </c>
      <c r="E23" s="1719"/>
      <c r="F23" s="480">
        <f>ROUND(SUM(F22:F22),1)</f>
        <v>89.6</v>
      </c>
      <c r="G23" s="1719"/>
      <c r="H23" s="480">
        <f>ROUND(SUM(H22:H22),1)</f>
        <v>84.4</v>
      </c>
      <c r="I23" s="556"/>
      <c r="J23" s="480">
        <f>ROUND(SUM(J22:J22),1)</f>
        <v>97.6</v>
      </c>
      <c r="K23" s="556"/>
      <c r="L23" s="480">
        <f>ROUND(SUM(L22:L22),1)</f>
        <v>98.4</v>
      </c>
      <c r="M23" s="556"/>
      <c r="N23" s="2816">
        <f>ROUND(SUM(N22:N22),1)</f>
        <v>70</v>
      </c>
      <c r="O23" s="556"/>
      <c r="P23" s="480">
        <f>ROUND(SUM(P22:P22),1)</f>
        <v>85</v>
      </c>
      <c r="Q23" s="556"/>
      <c r="R23" s="480">
        <f>ROUND(SUM(R22:R22),1)</f>
        <v>67.099999999999994</v>
      </c>
      <c r="S23" s="556"/>
      <c r="T23" s="480">
        <f>ROUND(SUM(T22:T22),1)</f>
        <v>83</v>
      </c>
      <c r="U23" s="556"/>
      <c r="V23" s="480">
        <f>ROUND(SUM(V22:V22),1)</f>
        <v>0</v>
      </c>
      <c r="W23" s="556"/>
      <c r="X23" s="480">
        <f>ROUND(SUM(X22:X22),1)</f>
        <v>0</v>
      </c>
      <c r="Y23" s="1909"/>
      <c r="Z23" s="556"/>
      <c r="AA23" s="1219">
        <f>SUM(AA22:AA22)</f>
        <v>864.6</v>
      </c>
      <c r="AB23" s="1910"/>
      <c r="AC23" s="557"/>
      <c r="AD23" s="2816">
        <f>SUM(AD22:AD22)</f>
        <v>864.3</v>
      </c>
      <c r="AE23" s="561"/>
      <c r="AF23" s="581"/>
      <c r="AG23" s="2173">
        <f>ROUND(SUM(AA23-AD23),1)</f>
        <v>0.3</v>
      </c>
      <c r="AH23" s="577"/>
      <c r="AI23" s="2605">
        <f>ROUND(IF(AD23=0,0,AG23/ABS(AD23)),3)</f>
        <v>0</v>
      </c>
    </row>
    <row r="24" spans="1:35" ht="14.25" customHeight="1">
      <c r="A24" s="583"/>
      <c r="B24" s="2171"/>
      <c r="C24" s="1719"/>
      <c r="D24" s="272"/>
      <c r="E24" s="1719"/>
      <c r="F24" s="272"/>
      <c r="G24" s="272"/>
      <c r="H24" s="272"/>
      <c r="I24" s="559"/>
      <c r="J24" s="272"/>
      <c r="K24" s="559"/>
      <c r="L24" s="272"/>
      <c r="M24" s="559"/>
      <c r="N24" s="313"/>
      <c r="O24" s="559"/>
      <c r="P24" s="272"/>
      <c r="Q24" s="559"/>
      <c r="R24" s="272"/>
      <c r="S24" s="559"/>
      <c r="T24" s="272"/>
      <c r="U24" s="559"/>
      <c r="V24" s="272"/>
      <c r="W24" s="559"/>
      <c r="X24" s="272"/>
      <c r="Y24" s="1909"/>
      <c r="Z24" s="556"/>
      <c r="AA24" s="313"/>
      <c r="AB24" s="1910"/>
      <c r="AC24" s="557"/>
      <c r="AD24" s="2818"/>
      <c r="AE24" s="561"/>
      <c r="AF24" s="581"/>
      <c r="AG24" s="582"/>
      <c r="AH24" s="567"/>
      <c r="AI24" s="2606"/>
    </row>
    <row r="25" spans="1:35" ht="14.25" customHeight="1">
      <c r="A25" s="583" t="s">
        <v>1209</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1263.3</v>
      </c>
      <c r="O25" s="556"/>
      <c r="P25" s="610">
        <f>ROUND(SUM(P16+P20+P23),1)</f>
        <v>1233.5999999999999</v>
      </c>
      <c r="Q25" s="556"/>
      <c r="R25" s="610">
        <f>ROUND(SUM(R16+R20+R23),1)</f>
        <v>2452.8000000000002</v>
      </c>
      <c r="S25" s="556"/>
      <c r="T25" s="610">
        <f>ROUND(SUM(T16+T20+T23),1)</f>
        <v>3450.2</v>
      </c>
      <c r="U25" s="556"/>
      <c r="V25" s="610">
        <f>ROUND(SUM(V16+V20+V23),1)</f>
        <v>0</v>
      </c>
      <c r="W25" s="556"/>
      <c r="X25" s="610">
        <f>ROUND(SUM(X16+X20+X23),1)</f>
        <v>0</v>
      </c>
      <c r="Y25" s="1909"/>
      <c r="Z25" s="556"/>
      <c r="AA25" s="610">
        <f>ROUND(SUM(AA16+AA20+AA23),1)</f>
        <v>17863.2</v>
      </c>
      <c r="AB25" s="1910"/>
      <c r="AC25" s="557"/>
      <c r="AD25" s="610">
        <f>ROUND(SUM(AD16+AD20+AD23),1)</f>
        <v>16422.8</v>
      </c>
      <c r="AE25" s="561"/>
      <c r="AF25" s="581"/>
      <c r="AG25" s="610">
        <f>ROUND(SUM(AG16+AG20+AG23),1)</f>
        <v>1440.4</v>
      </c>
      <c r="AH25" s="577"/>
      <c r="AI25" s="2607">
        <f>ROUND(IF(AD25=0,0,AG25/ABS(AD25)),3)</f>
        <v>8.7999999999999995E-2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09"/>
      <c r="Z26" s="556"/>
      <c r="AA26" s="557"/>
      <c r="AB26" s="1910"/>
      <c r="AC26" s="557"/>
      <c r="AD26" s="2800"/>
      <c r="AE26" s="561"/>
      <c r="AF26" s="581"/>
      <c r="AG26" s="582"/>
      <c r="AH26" s="567"/>
      <c r="AI26" s="2604"/>
    </row>
    <row r="27" spans="1:35" ht="14.25" customHeight="1">
      <c r="A27" s="486" t="s">
        <v>1128</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12"/>
      <c r="Z27" s="586"/>
      <c r="AA27" s="585"/>
      <c r="AB27" s="1812"/>
      <c r="AC27" s="586"/>
      <c r="AD27" s="2810"/>
      <c r="AE27" s="589"/>
      <c r="AF27" s="590"/>
      <c r="AG27" s="591"/>
      <c r="AH27" s="567"/>
      <c r="AI27" s="2608"/>
    </row>
    <row r="28" spans="1:35" ht="14.25" customHeight="1">
      <c r="A28" s="1669" t="s">
        <v>1238</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45"/>
      <c r="Z28" s="586"/>
      <c r="AA28" s="585"/>
      <c r="AB28" s="2645"/>
      <c r="AC28" s="586"/>
      <c r="AD28" s="2810"/>
      <c r="AE28" s="589"/>
      <c r="AF28" s="590"/>
      <c r="AG28" s="591"/>
      <c r="AH28" s="567"/>
      <c r="AI28" s="2608"/>
    </row>
    <row r="29" spans="1:35" ht="14.25" customHeight="1">
      <c r="A29" s="1669" t="s">
        <v>1131</v>
      </c>
      <c r="B29" s="593">
        <v>0</v>
      </c>
      <c r="C29" s="586"/>
      <c r="D29" s="586">
        <v>0</v>
      </c>
      <c r="E29" s="586"/>
      <c r="F29" s="586">
        <v>0</v>
      </c>
      <c r="G29" s="586"/>
      <c r="H29" s="586">
        <v>0</v>
      </c>
      <c r="I29" s="586"/>
      <c r="J29" s="586">
        <v>0</v>
      </c>
      <c r="K29" s="586"/>
      <c r="L29" s="586">
        <v>0</v>
      </c>
      <c r="M29" s="586"/>
      <c r="N29" s="586">
        <v>0</v>
      </c>
      <c r="O29" s="586"/>
      <c r="P29" s="586">
        <v>0</v>
      </c>
      <c r="Q29" s="586"/>
      <c r="R29" s="586">
        <v>0</v>
      </c>
      <c r="S29" s="586"/>
      <c r="T29" s="586">
        <v>0</v>
      </c>
      <c r="U29" s="586"/>
      <c r="V29" s="586"/>
      <c r="W29" s="586"/>
      <c r="X29" s="586"/>
      <c r="Y29" s="2645"/>
      <c r="Z29" s="586"/>
      <c r="AA29" s="585">
        <f t="shared" ref="AA29:AA36" si="0">ROUND(SUM(B29:X29),1)</f>
        <v>0</v>
      </c>
      <c r="AB29" s="2645"/>
      <c r="AC29" s="586"/>
      <c r="AD29" s="2810">
        <v>0</v>
      </c>
      <c r="AE29" s="589"/>
      <c r="AF29" s="590"/>
      <c r="AG29" s="591">
        <f>ROUND(SUM(AA29-AD29),1)</f>
        <v>0</v>
      </c>
      <c r="AH29" s="567"/>
      <c r="AI29" s="2568">
        <f>ROUND(IF(AD29=0,0,AG29/ABS(AD29)),3)</f>
        <v>0</v>
      </c>
    </row>
    <row r="30" spans="1:35" ht="14.25" customHeight="1">
      <c r="A30" s="1669" t="s">
        <v>1242</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85"/>
      <c r="Z30" s="586"/>
      <c r="AA30" s="585"/>
      <c r="AB30" s="2485"/>
      <c r="AC30" s="586"/>
      <c r="AD30" s="2810"/>
      <c r="AE30" s="589"/>
      <c r="AF30" s="590"/>
      <c r="AG30" s="591"/>
      <c r="AH30" s="567"/>
      <c r="AI30" s="2608"/>
    </row>
    <row r="31" spans="1:35" ht="14.25" customHeight="1">
      <c r="A31" s="1669" t="s">
        <v>1132</v>
      </c>
      <c r="B31" s="593">
        <v>0</v>
      </c>
      <c r="C31" s="586"/>
      <c r="D31" s="593">
        <v>0</v>
      </c>
      <c r="E31" s="586"/>
      <c r="F31" s="593">
        <v>0</v>
      </c>
      <c r="G31" s="586"/>
      <c r="H31" s="593">
        <v>0</v>
      </c>
      <c r="I31" s="586"/>
      <c r="J31" s="593">
        <v>0</v>
      </c>
      <c r="K31" s="586"/>
      <c r="L31" s="593">
        <v>0</v>
      </c>
      <c r="M31" s="586"/>
      <c r="N31" s="593">
        <v>0</v>
      </c>
      <c r="O31" s="586"/>
      <c r="P31" s="593">
        <v>0</v>
      </c>
      <c r="Q31" s="586"/>
      <c r="R31" s="593">
        <v>0</v>
      </c>
      <c r="S31" s="586"/>
      <c r="T31" s="593">
        <v>0</v>
      </c>
      <c r="U31" s="586"/>
      <c r="V31" s="593"/>
      <c r="W31" s="586"/>
      <c r="X31" s="593"/>
      <c r="Y31" s="2485"/>
      <c r="Z31" s="586"/>
      <c r="AA31" s="585">
        <f t="shared" si="0"/>
        <v>0</v>
      </c>
      <c r="AB31" s="2485"/>
      <c r="AC31" s="586"/>
      <c r="AD31" s="2810">
        <v>0</v>
      </c>
      <c r="AE31" s="589"/>
      <c r="AF31" s="590"/>
      <c r="AG31" s="591">
        <f t="shared" ref="AG31:AG39" si="1">ROUND(SUM(AA31-AD31),1)</f>
        <v>0</v>
      </c>
      <c r="AH31" s="567"/>
      <c r="AI31" s="2568">
        <f t="shared" ref="AI31:AI39" si="2">ROUND(IF(AD31=0,0,AG31/ABS(AD31)),3)</f>
        <v>0</v>
      </c>
    </row>
    <row r="32" spans="1:35" ht="14.25" customHeight="1">
      <c r="A32" s="1669" t="s">
        <v>1133</v>
      </c>
      <c r="B32" s="593">
        <v>0</v>
      </c>
      <c r="C32" s="586"/>
      <c r="D32" s="593">
        <v>0</v>
      </c>
      <c r="E32" s="586"/>
      <c r="F32" s="593">
        <v>0</v>
      </c>
      <c r="G32" s="586"/>
      <c r="H32" s="593">
        <v>0</v>
      </c>
      <c r="I32" s="586"/>
      <c r="J32" s="593">
        <v>0</v>
      </c>
      <c r="K32" s="586"/>
      <c r="L32" s="593">
        <v>0</v>
      </c>
      <c r="M32" s="586"/>
      <c r="N32" s="593">
        <v>0</v>
      </c>
      <c r="O32" s="586"/>
      <c r="P32" s="593">
        <v>0</v>
      </c>
      <c r="Q32" s="586"/>
      <c r="R32" s="593">
        <v>0</v>
      </c>
      <c r="S32" s="586"/>
      <c r="T32" s="593">
        <v>0</v>
      </c>
      <c r="U32" s="586"/>
      <c r="V32" s="593"/>
      <c r="W32" s="586"/>
      <c r="X32" s="593"/>
      <c r="Y32" s="2485"/>
      <c r="Z32" s="586"/>
      <c r="AA32" s="585">
        <f t="shared" si="0"/>
        <v>0</v>
      </c>
      <c r="AB32" s="2485"/>
      <c r="AC32" s="586"/>
      <c r="AD32" s="2810">
        <v>0</v>
      </c>
      <c r="AE32" s="589"/>
      <c r="AF32" s="590"/>
      <c r="AG32" s="591">
        <f t="shared" si="1"/>
        <v>0</v>
      </c>
      <c r="AH32" s="567"/>
      <c r="AI32" s="2568">
        <f t="shared" si="2"/>
        <v>0</v>
      </c>
    </row>
    <row r="33" spans="1:36" ht="14.25" customHeight="1">
      <c r="A33" s="1669" t="s">
        <v>1134</v>
      </c>
      <c r="B33" s="593">
        <v>0</v>
      </c>
      <c r="C33" s="586"/>
      <c r="D33" s="593">
        <v>0</v>
      </c>
      <c r="E33" s="586"/>
      <c r="F33" s="593">
        <v>0</v>
      </c>
      <c r="G33" s="586"/>
      <c r="H33" s="593">
        <v>0</v>
      </c>
      <c r="I33" s="586"/>
      <c r="J33" s="593">
        <v>0</v>
      </c>
      <c r="K33" s="586"/>
      <c r="L33" s="593">
        <v>0</v>
      </c>
      <c r="M33" s="586"/>
      <c r="N33" s="593">
        <v>0</v>
      </c>
      <c r="O33" s="586"/>
      <c r="P33" s="593">
        <v>0</v>
      </c>
      <c r="Q33" s="586"/>
      <c r="R33" s="593">
        <v>0</v>
      </c>
      <c r="S33" s="586"/>
      <c r="T33" s="593">
        <v>0</v>
      </c>
      <c r="U33" s="586"/>
      <c r="V33" s="593"/>
      <c r="W33" s="586"/>
      <c r="X33" s="593"/>
      <c r="Y33" s="2485"/>
      <c r="Z33" s="586"/>
      <c r="AA33" s="585">
        <f t="shared" si="0"/>
        <v>0</v>
      </c>
      <c r="AB33" s="2485"/>
      <c r="AC33" s="586"/>
      <c r="AD33" s="2810">
        <v>0</v>
      </c>
      <c r="AE33" s="589"/>
      <c r="AF33" s="590"/>
      <c r="AG33" s="591">
        <f t="shared" si="1"/>
        <v>0</v>
      </c>
      <c r="AH33" s="567"/>
      <c r="AI33" s="2568">
        <f t="shared" si="2"/>
        <v>0</v>
      </c>
    </row>
    <row r="34" spans="1:36" ht="14.25" customHeight="1">
      <c r="A34" s="1669" t="s">
        <v>1135</v>
      </c>
      <c r="B34" s="593">
        <v>0</v>
      </c>
      <c r="C34" s="586"/>
      <c r="D34" s="593">
        <v>0</v>
      </c>
      <c r="E34" s="586"/>
      <c r="F34" s="593">
        <v>0</v>
      </c>
      <c r="G34" s="586"/>
      <c r="H34" s="593">
        <v>0</v>
      </c>
      <c r="I34" s="586"/>
      <c r="J34" s="593">
        <v>0</v>
      </c>
      <c r="K34" s="586"/>
      <c r="L34" s="593">
        <v>0</v>
      </c>
      <c r="M34" s="586"/>
      <c r="N34" s="593">
        <v>0</v>
      </c>
      <c r="O34" s="586"/>
      <c r="P34" s="593">
        <v>0</v>
      </c>
      <c r="Q34" s="586"/>
      <c r="R34" s="593">
        <v>0</v>
      </c>
      <c r="S34" s="586"/>
      <c r="T34" s="593">
        <v>0</v>
      </c>
      <c r="U34" s="586"/>
      <c r="V34" s="593"/>
      <c r="W34" s="586"/>
      <c r="X34" s="593"/>
      <c r="Y34" s="2485"/>
      <c r="Z34" s="586"/>
      <c r="AA34" s="585">
        <f t="shared" si="0"/>
        <v>0</v>
      </c>
      <c r="AB34" s="2485"/>
      <c r="AC34" s="586"/>
      <c r="AD34" s="2810">
        <v>0</v>
      </c>
      <c r="AE34" s="589"/>
      <c r="AF34" s="590"/>
      <c r="AG34" s="591">
        <f t="shared" si="1"/>
        <v>0</v>
      </c>
      <c r="AH34" s="567"/>
      <c r="AI34" s="2568">
        <f t="shared" si="2"/>
        <v>0</v>
      </c>
    </row>
    <row r="35" spans="1:36" ht="14.25" customHeight="1">
      <c r="A35" s="1669" t="s">
        <v>1136</v>
      </c>
      <c r="B35" s="593">
        <v>0</v>
      </c>
      <c r="C35" s="586"/>
      <c r="D35" s="593">
        <v>0</v>
      </c>
      <c r="E35" s="586"/>
      <c r="F35" s="593">
        <v>0</v>
      </c>
      <c r="G35" s="586"/>
      <c r="H35" s="593">
        <v>0</v>
      </c>
      <c r="I35" s="586"/>
      <c r="J35" s="593">
        <v>0</v>
      </c>
      <c r="K35" s="586"/>
      <c r="L35" s="593">
        <v>0</v>
      </c>
      <c r="M35" s="586"/>
      <c r="N35" s="593">
        <v>0</v>
      </c>
      <c r="O35" s="586"/>
      <c r="P35" s="593">
        <v>0</v>
      </c>
      <c r="Q35" s="586"/>
      <c r="R35" s="593">
        <v>0</v>
      </c>
      <c r="S35" s="586"/>
      <c r="T35" s="593">
        <v>0</v>
      </c>
      <c r="U35" s="586"/>
      <c r="V35" s="593"/>
      <c r="W35" s="586"/>
      <c r="X35" s="593"/>
      <c r="Y35" s="2485"/>
      <c r="Z35" s="586"/>
      <c r="AA35" s="585">
        <f t="shared" si="0"/>
        <v>0</v>
      </c>
      <c r="AB35" s="2485"/>
      <c r="AC35" s="586"/>
      <c r="AD35" s="2810">
        <v>0</v>
      </c>
      <c r="AE35" s="589"/>
      <c r="AF35" s="590"/>
      <c r="AG35" s="591">
        <f t="shared" si="1"/>
        <v>0</v>
      </c>
      <c r="AH35" s="567"/>
      <c r="AI35" s="2568">
        <f t="shared" si="2"/>
        <v>0</v>
      </c>
    </row>
    <row r="36" spans="1:36" ht="14.25" customHeight="1">
      <c r="A36" s="1669" t="s">
        <v>1137</v>
      </c>
      <c r="B36" s="593">
        <v>0</v>
      </c>
      <c r="C36" s="586"/>
      <c r="D36" s="593">
        <v>0</v>
      </c>
      <c r="E36" s="586"/>
      <c r="F36" s="593">
        <v>0</v>
      </c>
      <c r="G36" s="586"/>
      <c r="H36" s="593">
        <v>0</v>
      </c>
      <c r="I36" s="586"/>
      <c r="J36" s="593">
        <v>0</v>
      </c>
      <c r="K36" s="586"/>
      <c r="L36" s="593">
        <v>0</v>
      </c>
      <c r="M36" s="586"/>
      <c r="N36" s="593">
        <v>0</v>
      </c>
      <c r="O36" s="586"/>
      <c r="P36" s="593">
        <v>0</v>
      </c>
      <c r="Q36" s="586"/>
      <c r="R36" s="593">
        <v>0</v>
      </c>
      <c r="S36" s="586"/>
      <c r="T36" s="593">
        <v>0</v>
      </c>
      <c r="U36" s="586"/>
      <c r="V36" s="593"/>
      <c r="W36" s="586"/>
      <c r="X36" s="593"/>
      <c r="Y36" s="2485"/>
      <c r="Z36" s="586"/>
      <c r="AA36" s="585">
        <f t="shared" si="0"/>
        <v>0</v>
      </c>
      <c r="AB36" s="2485"/>
      <c r="AC36" s="586"/>
      <c r="AD36" s="2810">
        <v>0</v>
      </c>
      <c r="AE36" s="589"/>
      <c r="AF36" s="590"/>
      <c r="AG36" s="591">
        <f t="shared" si="1"/>
        <v>0</v>
      </c>
      <c r="AH36" s="567"/>
      <c r="AI36" s="2568">
        <f t="shared" si="2"/>
        <v>0</v>
      </c>
    </row>
    <row r="37" spans="1:36" ht="14.25" customHeight="1">
      <c r="A37" s="1669" t="s">
        <v>1130</v>
      </c>
      <c r="B37" s="593">
        <v>0</v>
      </c>
      <c r="C37" s="586"/>
      <c r="D37" s="593">
        <v>0.1</v>
      </c>
      <c r="E37" s="586"/>
      <c r="F37" s="593">
        <v>0.1</v>
      </c>
      <c r="G37" s="586"/>
      <c r="H37" s="593">
        <v>0</v>
      </c>
      <c r="I37" s="586"/>
      <c r="J37" s="593">
        <v>0.3</v>
      </c>
      <c r="K37" s="586"/>
      <c r="L37" s="593">
        <v>0</v>
      </c>
      <c r="M37" s="586"/>
      <c r="N37" s="593">
        <v>0</v>
      </c>
      <c r="O37" s="586"/>
      <c r="P37" s="593">
        <v>0.1</v>
      </c>
      <c r="Q37" s="586"/>
      <c r="R37" s="593">
        <v>0</v>
      </c>
      <c r="S37" s="586"/>
      <c r="T37" s="593">
        <v>0</v>
      </c>
      <c r="U37" s="586"/>
      <c r="V37" s="593"/>
      <c r="W37" s="586"/>
      <c r="X37" s="593"/>
      <c r="Y37" s="1812"/>
      <c r="Z37" s="586"/>
      <c r="AA37" s="585">
        <f>ROUND(SUM(B37:X37),1)</f>
        <v>0.6</v>
      </c>
      <c r="AB37" s="1812"/>
      <c r="AC37" s="586"/>
      <c r="AD37" s="2810">
        <v>0.3</v>
      </c>
      <c r="AE37" s="589"/>
      <c r="AF37" s="590"/>
      <c r="AG37" s="591">
        <f t="shared" si="1"/>
        <v>0.3</v>
      </c>
      <c r="AH37" s="567"/>
      <c r="AI37" s="2568">
        <f>ROUND(IF(AD37=0,1,AG37/ABS(AD37)),3)</f>
        <v>1</v>
      </c>
    </row>
    <row r="38" spans="1:36" ht="14.25" customHeight="1">
      <c r="A38" s="1669" t="s">
        <v>1141</v>
      </c>
      <c r="B38" s="593">
        <v>0</v>
      </c>
      <c r="C38" s="586"/>
      <c r="D38" s="593">
        <v>0.4</v>
      </c>
      <c r="E38" s="586"/>
      <c r="F38" s="593">
        <v>0.1</v>
      </c>
      <c r="G38" s="586"/>
      <c r="H38" s="593">
        <v>0.9</v>
      </c>
      <c r="I38" s="586"/>
      <c r="J38" s="593">
        <v>1</v>
      </c>
      <c r="K38" s="586"/>
      <c r="L38" s="593">
        <v>0</v>
      </c>
      <c r="M38" s="586"/>
      <c r="N38" s="593">
        <v>0</v>
      </c>
      <c r="O38" s="586"/>
      <c r="P38" s="593">
        <v>0</v>
      </c>
      <c r="Q38" s="586"/>
      <c r="R38" s="593">
        <v>0.1</v>
      </c>
      <c r="S38" s="586"/>
      <c r="T38" s="593">
        <v>1.2</v>
      </c>
      <c r="U38" s="586"/>
      <c r="V38" s="593"/>
      <c r="W38" s="586"/>
      <c r="X38" s="593"/>
      <c r="Y38" s="1812"/>
      <c r="Z38" s="586"/>
      <c r="AA38" s="585">
        <f>ROUND(SUM(B38:X38),1)</f>
        <v>3.7</v>
      </c>
      <c r="AB38" s="1812"/>
      <c r="AC38" s="586"/>
      <c r="AD38" s="2810">
        <v>4.0999999999999996</v>
      </c>
      <c r="AE38" s="589"/>
      <c r="AF38" s="590"/>
      <c r="AG38" s="591">
        <f t="shared" si="1"/>
        <v>-0.4</v>
      </c>
      <c r="AH38" s="567"/>
      <c r="AI38" s="2568">
        <f>ROUND(IF(AD38=0,0,AG38/ABS(AD38)),3)</f>
        <v>-9.8000000000000004E-2</v>
      </c>
    </row>
    <row r="39" spans="1:36" ht="14.25" customHeight="1">
      <c r="A39" s="1669" t="s">
        <v>1142</v>
      </c>
      <c r="B39" s="593">
        <v>0</v>
      </c>
      <c r="C39" s="586"/>
      <c r="D39" s="593">
        <v>0</v>
      </c>
      <c r="E39" s="586"/>
      <c r="F39" s="593">
        <v>0</v>
      </c>
      <c r="G39" s="586"/>
      <c r="H39" s="593">
        <v>0</v>
      </c>
      <c r="I39" s="586"/>
      <c r="J39" s="593">
        <v>0</v>
      </c>
      <c r="K39" s="586"/>
      <c r="L39" s="593">
        <v>0</v>
      </c>
      <c r="M39" s="586"/>
      <c r="N39" s="593">
        <v>0</v>
      </c>
      <c r="O39" s="586"/>
      <c r="P39" s="593">
        <v>0</v>
      </c>
      <c r="Q39" s="586"/>
      <c r="R39" s="593">
        <v>0</v>
      </c>
      <c r="S39" s="586"/>
      <c r="T39" s="593">
        <v>0</v>
      </c>
      <c r="U39" s="586"/>
      <c r="V39" s="593"/>
      <c r="W39" s="586"/>
      <c r="X39" s="593"/>
      <c r="Y39" s="1812"/>
      <c r="Z39" s="586"/>
      <c r="AA39" s="585">
        <f>ROUND(SUM(B39:X39),1)</f>
        <v>0</v>
      </c>
      <c r="AB39" s="1812"/>
      <c r="AC39" s="586"/>
      <c r="AD39" s="2810">
        <v>0</v>
      </c>
      <c r="AE39" s="589"/>
      <c r="AF39" s="590"/>
      <c r="AG39" s="591">
        <f t="shared" si="1"/>
        <v>0</v>
      </c>
      <c r="AH39" s="567"/>
      <c r="AI39" s="45">
        <f t="shared" si="2"/>
        <v>0</v>
      </c>
    </row>
    <row r="40" spans="1:36" ht="14.25" customHeight="1">
      <c r="A40" s="1669" t="s">
        <v>1241</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12"/>
      <c r="Z40" s="586"/>
      <c r="AA40" s="585"/>
      <c r="AB40" s="1812"/>
      <c r="AC40" s="586"/>
      <c r="AD40" s="2810"/>
      <c r="AE40" s="589"/>
      <c r="AF40" s="590"/>
      <c r="AG40" s="591"/>
      <c r="AH40" s="567"/>
      <c r="AI40" s="592"/>
    </row>
    <row r="41" spans="1:36" ht="14.25" customHeight="1">
      <c r="A41" s="1669" t="s">
        <v>1324</v>
      </c>
      <c r="B41" s="593">
        <v>50.2</v>
      </c>
      <c r="C41" s="586"/>
      <c r="D41" s="593">
        <v>41.899999999999991</v>
      </c>
      <c r="E41" s="586"/>
      <c r="F41" s="593">
        <v>55</v>
      </c>
      <c r="G41" s="586"/>
      <c r="H41" s="593">
        <v>40.5</v>
      </c>
      <c r="I41" s="586"/>
      <c r="J41" s="593">
        <v>-31.5</v>
      </c>
      <c r="K41" s="586"/>
      <c r="L41" s="593">
        <v>94.6</v>
      </c>
      <c r="M41" s="586"/>
      <c r="N41" s="593">
        <v>26.9</v>
      </c>
      <c r="O41" s="586"/>
      <c r="P41" s="593">
        <v>33.4</v>
      </c>
      <c r="Q41" s="586"/>
      <c r="R41" s="593">
        <v>17.100000000000001</v>
      </c>
      <c r="S41" s="586"/>
      <c r="T41" s="593">
        <v>44.799999999999955</v>
      </c>
      <c r="U41" s="586"/>
      <c r="V41" s="593"/>
      <c r="W41" s="586"/>
      <c r="X41" s="593"/>
      <c r="Y41" s="1812"/>
      <c r="Z41" s="586"/>
      <c r="AA41" s="585">
        <f>ROUND(SUM(B41:X41),1)</f>
        <v>372.9</v>
      </c>
      <c r="AB41" s="1812"/>
      <c r="AC41" s="586"/>
      <c r="AD41" s="2810">
        <v>393.4</v>
      </c>
      <c r="AE41" s="589"/>
      <c r="AF41" s="590"/>
      <c r="AG41" s="591">
        <f>ROUND(SUM(AA41-AD41),1)</f>
        <v>-20.5</v>
      </c>
      <c r="AH41" s="567"/>
      <c r="AI41" s="2616">
        <f>ROUND(IF(AD41=0,0,AG41/ABS(AD41)),3)</f>
        <v>-5.1999999999999998E-2</v>
      </c>
    </row>
    <row r="42" spans="1:36" ht="14.25" customHeight="1">
      <c r="A42" s="1669" t="s">
        <v>1143</v>
      </c>
      <c r="B42" s="593">
        <v>0</v>
      </c>
      <c r="C42" s="586"/>
      <c r="D42" s="593">
        <v>0</v>
      </c>
      <c r="E42" s="586"/>
      <c r="F42" s="593">
        <v>0</v>
      </c>
      <c r="G42" s="586"/>
      <c r="H42" s="593">
        <v>0</v>
      </c>
      <c r="I42" s="586"/>
      <c r="J42" s="593">
        <v>0.1</v>
      </c>
      <c r="K42" s="586"/>
      <c r="L42" s="593">
        <v>0</v>
      </c>
      <c r="M42" s="586"/>
      <c r="N42" s="593">
        <v>0</v>
      </c>
      <c r="O42" s="586"/>
      <c r="P42" s="593">
        <v>0</v>
      </c>
      <c r="Q42" s="586"/>
      <c r="R42" s="593">
        <v>0</v>
      </c>
      <c r="S42" s="586"/>
      <c r="T42" s="593">
        <v>0</v>
      </c>
      <c r="U42" s="586"/>
      <c r="V42" s="593"/>
      <c r="W42" s="586"/>
      <c r="X42" s="593"/>
      <c r="Y42" s="2645"/>
      <c r="Z42" s="586"/>
      <c r="AA42" s="585">
        <f>ROUND(SUM(B42:X42),1)</f>
        <v>0.1</v>
      </c>
      <c r="AB42" s="2645"/>
      <c r="AC42" s="586"/>
      <c r="AD42" s="2810">
        <v>0.1</v>
      </c>
      <c r="AE42" s="589"/>
      <c r="AF42" s="590"/>
      <c r="AG42" s="591">
        <f>ROUND(SUM(AA42-AD42),1)</f>
        <v>0</v>
      </c>
      <c r="AH42" s="567"/>
      <c r="AI42" s="2568">
        <f>ROUND(IF(AD42=0,0,AG42/ABS(AD42)),3)</f>
        <v>0</v>
      </c>
    </row>
    <row r="43" spans="1:36" s="602" customFormat="1" ht="15.6">
      <c r="A43" s="583" t="s">
        <v>1179</v>
      </c>
      <c r="B43" s="255">
        <f>ROUND(SUM(B29:B42),1)</f>
        <v>50.2</v>
      </c>
      <c r="C43" s="1913"/>
      <c r="D43" s="255">
        <f>ROUND(SUM(D29:D42),1)</f>
        <v>42.4</v>
      </c>
      <c r="E43" s="1913"/>
      <c r="F43" s="255">
        <f>ROUND(SUM(F29:F42),1)</f>
        <v>55.2</v>
      </c>
      <c r="G43" s="1913"/>
      <c r="H43" s="255">
        <f>ROUND(SUM(H29:H42),1)</f>
        <v>41.4</v>
      </c>
      <c r="I43" s="597"/>
      <c r="J43" s="255">
        <f>ROUND(SUM(J29:J42),1)</f>
        <v>-30.1</v>
      </c>
      <c r="K43" s="597"/>
      <c r="L43" s="255">
        <f>ROUND(SUM(L29:L42),1)</f>
        <v>94.6</v>
      </c>
      <c r="M43" s="597"/>
      <c r="N43" s="523">
        <f>ROUND(SUM(N29:N42),1)</f>
        <v>26.9</v>
      </c>
      <c r="O43" s="597"/>
      <c r="P43" s="255">
        <f>ROUND(SUM(P29:P42),1)</f>
        <v>33.5</v>
      </c>
      <c r="Q43" s="597"/>
      <c r="R43" s="255">
        <f>ROUND(SUM(R29:R42),1)</f>
        <v>17.2</v>
      </c>
      <c r="S43" s="597"/>
      <c r="T43" s="255">
        <f>ROUND(SUM(T29:T42),1)</f>
        <v>46</v>
      </c>
      <c r="U43" s="597"/>
      <c r="V43" s="255">
        <f>ROUND(SUM(V29:V42),1)</f>
        <v>0</v>
      </c>
      <c r="W43" s="597"/>
      <c r="X43" s="255">
        <f>ROUND(SUM(X29:X42),1)</f>
        <v>0</v>
      </c>
      <c r="Y43" s="599"/>
      <c r="Z43" s="597"/>
      <c r="AA43" s="523">
        <f>ROUND(SUM(AA29:AA42),1)</f>
        <v>377.3</v>
      </c>
      <c r="AB43" s="599"/>
      <c r="AC43" s="597"/>
      <c r="AD43" s="523">
        <f>ROUND(SUM(AD29:AD42),1)</f>
        <v>397.9</v>
      </c>
      <c r="AE43" s="600"/>
      <c r="AF43" s="601"/>
      <c r="AG43" s="255">
        <f>ROUND(SUM(AG29:AG42),1)</f>
        <v>-20.6</v>
      </c>
      <c r="AH43" s="577"/>
      <c r="AI43" s="3359">
        <f>ROUND(IF(AD43=0,0,AG43/ABS(AD43)),3)</f>
        <v>-5.1999999999999998E-2</v>
      </c>
      <c r="AJ43" s="1006"/>
    </row>
    <row r="44" spans="1:36" s="602" customFormat="1" ht="14.25" customHeight="1">
      <c r="A44" s="583"/>
      <c r="B44" s="272"/>
      <c r="C44" s="1913"/>
      <c r="D44" s="272"/>
      <c r="E44" s="1913"/>
      <c r="F44" s="272"/>
      <c r="G44" s="1913"/>
      <c r="H44" s="272"/>
      <c r="I44" s="597"/>
      <c r="J44" s="272"/>
      <c r="K44" s="597"/>
      <c r="L44" s="272"/>
      <c r="M44" s="597"/>
      <c r="N44" s="313"/>
      <c r="O44" s="597"/>
      <c r="P44" s="272"/>
      <c r="Q44" s="597"/>
      <c r="R44" s="272"/>
      <c r="S44" s="597"/>
      <c r="T44" s="272"/>
      <c r="U44" s="597"/>
      <c r="V44" s="272"/>
      <c r="W44" s="597"/>
      <c r="X44" s="272"/>
      <c r="Y44" s="1912"/>
      <c r="Z44" s="597"/>
      <c r="AA44" s="1915"/>
      <c r="AB44" s="1912"/>
      <c r="AC44" s="597"/>
      <c r="AD44" s="2801"/>
      <c r="AE44" s="600"/>
      <c r="AF44" s="601"/>
      <c r="AG44" s="1913"/>
      <c r="AH44" s="577"/>
      <c r="AI44" s="578"/>
      <c r="AJ44" s="1006"/>
    </row>
    <row r="45" spans="1:36" ht="15">
      <c r="A45" s="1466" t="s">
        <v>1026</v>
      </c>
      <c r="B45" s="1916">
        <v>0</v>
      </c>
      <c r="C45" s="591"/>
      <c r="D45" s="1916">
        <v>0</v>
      </c>
      <c r="E45" s="591"/>
      <c r="F45" s="1916">
        <v>0</v>
      </c>
      <c r="G45" s="586"/>
      <c r="H45" s="1916">
        <v>1.6</v>
      </c>
      <c r="I45" s="586"/>
      <c r="J45" s="1916">
        <v>35.1</v>
      </c>
      <c r="K45" s="586"/>
      <c r="L45" s="1916">
        <v>0</v>
      </c>
      <c r="M45" s="586"/>
      <c r="N45" s="3163">
        <v>0</v>
      </c>
      <c r="O45" s="586"/>
      <c r="P45" s="1916">
        <v>0</v>
      </c>
      <c r="Q45" s="586"/>
      <c r="R45" s="1916">
        <v>0</v>
      </c>
      <c r="S45" s="586"/>
      <c r="T45" s="1916">
        <v>1.6</v>
      </c>
      <c r="U45" s="586"/>
      <c r="V45" s="1916"/>
      <c r="W45" s="586"/>
      <c r="X45" s="1916"/>
      <c r="Y45" s="588"/>
      <c r="Z45" s="586"/>
      <c r="AA45" s="594">
        <f>ROUND(SUM(B45:X45),1)</f>
        <v>38.299999999999997</v>
      </c>
      <c r="AB45" s="588"/>
      <c r="AC45" s="586"/>
      <c r="AD45" s="2811">
        <v>38.299999999999997</v>
      </c>
      <c r="AE45" s="589"/>
      <c r="AF45" s="590"/>
      <c r="AG45" s="595">
        <f>ROUND(SUM(AA45-AD45),1)</f>
        <v>0</v>
      </c>
      <c r="AH45" s="567"/>
      <c r="AI45" s="1685">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08"/>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2053.1</v>
      </c>
      <c r="M47" s="598"/>
      <c r="N47" s="596">
        <f>ROUND(SUM(N25+N43+N45),1)</f>
        <v>1290.2</v>
      </c>
      <c r="O47" s="598"/>
      <c r="P47" s="596">
        <f>ROUND(SUM(P25+P43+P45),1)</f>
        <v>1267.0999999999999</v>
      </c>
      <c r="Q47" s="598"/>
      <c r="R47" s="596">
        <f>ROUND(SUM(R25+R43+R45),1)</f>
        <v>2470</v>
      </c>
      <c r="S47" s="598"/>
      <c r="T47" s="596">
        <f>ROUND(SUM(T25+T43+T45),1)</f>
        <v>3497.8</v>
      </c>
      <c r="U47" s="598"/>
      <c r="V47" s="596">
        <f>ROUND(SUM(V25+V43+V45),1)</f>
        <v>0</v>
      </c>
      <c r="W47" s="598"/>
      <c r="X47" s="596">
        <f>ROUND(SUM(X25+X43+X45),1)</f>
        <v>0</v>
      </c>
      <c r="Y47" s="599"/>
      <c r="Z47" s="597"/>
      <c r="AA47" s="596">
        <f>ROUND(SUM(AA25+AA43+AA45),1)</f>
        <v>18278.8</v>
      </c>
      <c r="AB47" s="599"/>
      <c r="AC47" s="597"/>
      <c r="AD47" s="596">
        <f>ROUND(SUM(AD25+AD43+AD45),1)</f>
        <v>16859</v>
      </c>
      <c r="AE47" s="600"/>
      <c r="AF47" s="601"/>
      <c r="AG47" s="596">
        <f>ROUND(SUM(AG25+AG43+AG45),1)</f>
        <v>1419.8</v>
      </c>
      <c r="AH47" s="577"/>
      <c r="AI47" s="1793">
        <f>ROUND(IF(AD47=0,0,AG47/ABS(AD47)),3)</f>
        <v>8.4000000000000005E-2</v>
      </c>
      <c r="AJ47" s="1007"/>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08"/>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08"/>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08"/>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v>3.1</v>
      </c>
      <c r="M51" s="586"/>
      <c r="N51" s="586">
        <v>0.8</v>
      </c>
      <c r="O51" s="586"/>
      <c r="P51" s="586">
        <v>1.2</v>
      </c>
      <c r="Q51" s="586"/>
      <c r="R51" s="586">
        <v>10.8</v>
      </c>
      <c r="S51" s="586"/>
      <c r="T51" s="3185">
        <v>0.9</v>
      </c>
      <c r="U51" s="586"/>
      <c r="V51" s="586"/>
      <c r="W51" s="586"/>
      <c r="X51" s="586"/>
      <c r="Y51" s="588"/>
      <c r="Z51" s="586"/>
      <c r="AA51" s="585">
        <f>ROUND(SUM(B51:X51),1)</f>
        <v>33.299999999999997</v>
      </c>
      <c r="AB51" s="588"/>
      <c r="AC51" s="586"/>
      <c r="AD51" s="2810">
        <v>29.1</v>
      </c>
      <c r="AE51" s="589"/>
      <c r="AF51" s="590"/>
      <c r="AG51" s="591">
        <f>ROUND(SUM(AA51-AD51),1)</f>
        <v>4.2</v>
      </c>
      <c r="AH51" s="567"/>
      <c r="AI51" s="2468">
        <f>ROUND(IF(AD51=0,0,AG51/ABS(AD51)),3)</f>
        <v>0.14399999999999999</v>
      </c>
    </row>
    <row r="52" spans="1:36" ht="14.25" customHeight="1">
      <c r="A52" s="2204" t="s">
        <v>1249</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08"/>
      <c r="AE52" s="589"/>
      <c r="AF52" s="590"/>
      <c r="AG52" s="591"/>
      <c r="AH52" s="567"/>
      <c r="AI52" s="568"/>
    </row>
    <row r="53" spans="1:36" ht="14.25" customHeight="1">
      <c r="A53" s="2205" t="s">
        <v>1248</v>
      </c>
      <c r="B53" s="605">
        <v>87.2</v>
      </c>
      <c r="C53" s="586"/>
      <c r="D53" s="605">
        <v>148.19999999999999</v>
      </c>
      <c r="E53" s="586"/>
      <c r="F53" s="605">
        <v>186.1</v>
      </c>
      <c r="G53" s="586"/>
      <c r="H53" s="605">
        <v>28</v>
      </c>
      <c r="I53" s="586"/>
      <c r="J53" s="605">
        <v>348.6</v>
      </c>
      <c r="K53" s="586"/>
      <c r="L53" s="605">
        <v>757.1</v>
      </c>
      <c r="M53" s="586"/>
      <c r="N53" s="605">
        <v>26.7</v>
      </c>
      <c r="O53" s="586"/>
      <c r="P53" s="605">
        <v>81.8</v>
      </c>
      <c r="Q53" s="586"/>
      <c r="R53" s="605">
        <v>529.29999999999995</v>
      </c>
      <c r="S53" s="586"/>
      <c r="T53" s="605">
        <v>31.099999999999909</v>
      </c>
      <c r="U53" s="586"/>
      <c r="V53" s="605"/>
      <c r="W53" s="586"/>
      <c r="X53" s="605"/>
      <c r="Y53" s="588"/>
      <c r="Z53" s="586"/>
      <c r="AA53" s="594">
        <f>ROUND(SUM(B53:X53),1)</f>
        <v>2224.1</v>
      </c>
      <c r="AB53" s="588"/>
      <c r="AC53" s="586"/>
      <c r="AD53" s="2812">
        <v>1960</v>
      </c>
      <c r="AE53" s="589"/>
      <c r="AF53" s="590"/>
      <c r="AG53" s="605">
        <f>ROUND(SUM(AA53-AD53),1)</f>
        <v>264.10000000000002</v>
      </c>
      <c r="AH53" s="567"/>
      <c r="AI53" s="1685">
        <f>ROUND(IF(AD53=0,0,AG53/ABS(AD53)),3)</f>
        <v>0.13500000000000001</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08"/>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760.2</v>
      </c>
      <c r="M55" s="598"/>
      <c r="N55" s="596">
        <f>ROUND(SUM(N51:N53),1)</f>
        <v>27.5</v>
      </c>
      <c r="O55" s="598"/>
      <c r="P55" s="596">
        <f>ROUND(SUM(P51:P53),1)</f>
        <v>83</v>
      </c>
      <c r="Q55" s="598"/>
      <c r="R55" s="596">
        <f>ROUND(SUM(R51:R53),1)</f>
        <v>540.1</v>
      </c>
      <c r="S55" s="598"/>
      <c r="T55" s="596">
        <f>ROUND(SUM(T51:T53),1)</f>
        <v>32</v>
      </c>
      <c r="U55" s="598"/>
      <c r="V55" s="596">
        <f>ROUND(SUM(V51:V53),1)</f>
        <v>0</v>
      </c>
      <c r="W55" s="598"/>
      <c r="X55" s="596">
        <f>ROUND(SUM(X51:X53),1)</f>
        <v>0</v>
      </c>
      <c r="Y55" s="599"/>
      <c r="Z55" s="597"/>
      <c r="AA55" s="596">
        <f>ROUND(SUM(AA51:AA53),1)</f>
        <v>2257.4</v>
      </c>
      <c r="AB55" s="599"/>
      <c r="AC55" s="597"/>
      <c r="AD55" s="596">
        <f>ROUND(SUM(AD51:AD53),1)</f>
        <v>1989.1</v>
      </c>
      <c r="AE55" s="600"/>
      <c r="AF55" s="601"/>
      <c r="AG55" s="596">
        <f>ROUND(SUM(AG51:AG53),1)</f>
        <v>268.3</v>
      </c>
      <c r="AH55" s="577"/>
      <c r="AI55" s="1793">
        <f>ROUND(IF(AD55=0,0,AG55/ABS(AD55)),3)</f>
        <v>0.13500000000000001</v>
      </c>
      <c r="AJ55" s="1008"/>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08"/>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08"/>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1292.9000000000001</v>
      </c>
      <c r="M58" s="598"/>
      <c r="N58" s="596">
        <f>ROUND(SUM(N47-N55),1)</f>
        <v>1262.7</v>
      </c>
      <c r="O58" s="598"/>
      <c r="P58" s="596">
        <f>ROUND(SUM(P47-P55),1)</f>
        <v>1184.0999999999999</v>
      </c>
      <c r="Q58" s="598"/>
      <c r="R58" s="596">
        <f>ROUND(SUM(R47-R55),1)</f>
        <v>1929.9</v>
      </c>
      <c r="S58" s="598"/>
      <c r="T58" s="596">
        <f>ROUND(SUM(T47-T55),1)</f>
        <v>3465.8</v>
      </c>
      <c r="U58" s="598"/>
      <c r="V58" s="596">
        <f>ROUND(SUM(V47-V55),1)</f>
        <v>0</v>
      </c>
      <c r="W58" s="598"/>
      <c r="X58" s="596">
        <f>ROUND(SUM(X47-X55),1)</f>
        <v>0</v>
      </c>
      <c r="Y58" s="599"/>
      <c r="Z58" s="597"/>
      <c r="AA58" s="596">
        <f>ROUND(SUM(AA47-AA55),1)</f>
        <v>16021.4</v>
      </c>
      <c r="AB58" s="599"/>
      <c r="AC58" s="597"/>
      <c r="AD58" s="596">
        <f>ROUND(SUM(AD47-AD55),1)</f>
        <v>14869.9</v>
      </c>
      <c r="AE58" s="600"/>
      <c r="AF58" s="601"/>
      <c r="AG58" s="596">
        <f>ROUND(SUM(+AG47-AG55),1)</f>
        <v>1151.5</v>
      </c>
      <c r="AH58" s="577"/>
      <c r="AI58" s="1793">
        <f>ROUND(IF(AD58=0,0,AG58/ABS(AD58)),3)</f>
        <v>7.6999999999999999E-2</v>
      </c>
      <c r="AJ58" s="1007"/>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09"/>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08"/>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08"/>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v>328.6</v>
      </c>
      <c r="M62" s="586"/>
      <c r="N62" s="608">
        <v>431.4</v>
      </c>
      <c r="O62" s="586"/>
      <c r="P62" s="608">
        <v>176.4</v>
      </c>
      <c r="Q62" s="586"/>
      <c r="R62" s="608">
        <v>121.2</v>
      </c>
      <c r="S62" s="586"/>
      <c r="T62" s="608">
        <v>371</v>
      </c>
      <c r="U62" s="586"/>
      <c r="V62" s="608"/>
      <c r="W62" s="586"/>
      <c r="X62" s="608"/>
      <c r="Y62" s="588"/>
      <c r="Z62" s="586"/>
      <c r="AA62" s="585">
        <f>ROUND(SUM(B62:X62),1)</f>
        <v>2634.4</v>
      </c>
      <c r="AB62" s="588"/>
      <c r="AC62" s="586"/>
      <c r="AD62" s="2810">
        <v>2302.9</v>
      </c>
      <c r="AE62" s="589"/>
      <c r="AF62" s="590"/>
      <c r="AG62" s="591">
        <f>ROUND(SUM(AA62-AD62),1)</f>
        <v>331.5</v>
      </c>
      <c r="AH62" s="567"/>
      <c r="AI62" s="45">
        <f>ROUND(IF(AD62=0,0,AG62/ABS(AD62)),3)</f>
        <v>0.14399999999999999</v>
      </c>
    </row>
    <row r="63" spans="1:36" ht="14.25" customHeight="1">
      <c r="A63" s="604" t="s">
        <v>196</v>
      </c>
      <c r="B63" s="606">
        <v>-1887.8</v>
      </c>
      <c r="C63" s="586"/>
      <c r="D63" s="606">
        <v>-969.10000000000014</v>
      </c>
      <c r="E63" s="586"/>
      <c r="F63" s="606">
        <v>-2221.6</v>
      </c>
      <c r="G63" s="586"/>
      <c r="H63" s="606">
        <v>-1139</v>
      </c>
      <c r="I63" s="586"/>
      <c r="J63" s="606">
        <v>-1016</v>
      </c>
      <c r="K63" s="586"/>
      <c r="L63" s="606">
        <v>-2228.1</v>
      </c>
      <c r="M63" s="586"/>
      <c r="N63" s="606">
        <v>-1302.8</v>
      </c>
      <c r="O63" s="586"/>
      <c r="P63" s="606">
        <v>-1029.3</v>
      </c>
      <c r="Q63" s="586"/>
      <c r="R63" s="606">
        <v>-2433</v>
      </c>
      <c r="S63" s="586"/>
      <c r="T63" s="606">
        <v>-1619.7999999999993</v>
      </c>
      <c r="U63" s="586"/>
      <c r="V63" s="606"/>
      <c r="W63" s="586"/>
      <c r="X63" s="606"/>
      <c r="Y63" s="588"/>
      <c r="Z63" s="586"/>
      <c r="AA63" s="594">
        <f>ROUND(SUM(B63:X63),1)</f>
        <v>-15846.5</v>
      </c>
      <c r="AB63" s="588"/>
      <c r="AC63" s="586"/>
      <c r="AD63" s="2813">
        <v>-14849.1</v>
      </c>
      <c r="AE63" s="589"/>
      <c r="AF63" s="590"/>
      <c r="AG63" s="605">
        <f>ROUND(SUM(-(AA63-AD63)),1)</f>
        <v>997.4</v>
      </c>
      <c r="AH63" s="567"/>
      <c r="AI63" s="1685">
        <f>ROUND(IF(AD63=0,0,AG63/ABS(AD63)),3)</f>
        <v>6.7000000000000004E-2</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08"/>
      <c r="AE64" s="589"/>
      <c r="AF64" s="590"/>
      <c r="AG64" s="591"/>
      <c r="AH64" s="567"/>
      <c r="AI64" s="568"/>
    </row>
    <row r="65" spans="1:38" ht="14.25" customHeight="1">
      <c r="A65" s="603" t="s">
        <v>1047</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-1899.5</v>
      </c>
      <c r="M65" s="598"/>
      <c r="N65" s="610">
        <f>ROUND(SUM(N62:N63),1)</f>
        <v>-871.4</v>
      </c>
      <c r="O65" s="598"/>
      <c r="P65" s="610">
        <f>ROUND(SUM(P62:P63),1)</f>
        <v>-852.9</v>
      </c>
      <c r="Q65" s="598"/>
      <c r="R65" s="610">
        <f>ROUND(SUM(R62:R63),1)</f>
        <v>-2311.8000000000002</v>
      </c>
      <c r="S65" s="598"/>
      <c r="T65" s="610">
        <f>ROUND(SUM(T62:T63),1)</f>
        <v>-1248.8</v>
      </c>
      <c r="U65" s="598"/>
      <c r="V65" s="610">
        <f>ROUND(SUM(V62:V63),1)</f>
        <v>0</v>
      </c>
      <c r="W65" s="598"/>
      <c r="X65" s="610">
        <f>ROUND(SUM(X62:X63),1)</f>
        <v>0</v>
      </c>
      <c r="Y65" s="599"/>
      <c r="Z65" s="597"/>
      <c r="AA65" s="610">
        <f>ROUND(SUM(AA62:AA63),1)</f>
        <v>-13212.1</v>
      </c>
      <c r="AB65" s="599"/>
      <c r="AC65" s="597"/>
      <c r="AD65" s="610">
        <f>ROUND(SUM(AD62:AD63),1)</f>
        <v>-12546.2</v>
      </c>
      <c r="AE65" s="600"/>
      <c r="AF65" s="601"/>
      <c r="AG65" s="610">
        <f>ROUND(SUM(AG62-AG63),1)</f>
        <v>-665.9</v>
      </c>
      <c r="AH65" s="577"/>
      <c r="AI65" s="1793">
        <f>ROUND(IF(AD65=0,0,AG65/ABS(AD65)),3)</f>
        <v>-5.2999999999999999E-2</v>
      </c>
      <c r="AJ65" s="1007"/>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08"/>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08"/>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08"/>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08"/>
      <c r="AE69" s="589"/>
      <c r="AF69" s="590"/>
      <c r="AG69" s="591"/>
      <c r="AH69" s="567"/>
      <c r="AI69" s="568"/>
    </row>
    <row r="70" spans="1:38" ht="14.25" customHeight="1">
      <c r="A70" s="583" t="s">
        <v>1343</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-606.6</v>
      </c>
      <c r="M70" s="597"/>
      <c r="N70" s="596">
        <f>ROUND(SUM(+N58+N65),1)</f>
        <v>391.3</v>
      </c>
      <c r="O70" s="597"/>
      <c r="P70" s="596">
        <f>ROUND(SUM(+P58+P65),1)</f>
        <v>331.2</v>
      </c>
      <c r="Q70" s="597"/>
      <c r="R70" s="596">
        <f>ROUND(SUM(+R58+R65),1)</f>
        <v>-381.9</v>
      </c>
      <c r="S70" s="597"/>
      <c r="T70" s="596">
        <f>ROUND(SUM(+T58+T65),1)</f>
        <v>2217</v>
      </c>
      <c r="U70" s="597"/>
      <c r="V70" s="596">
        <f>ROUND(SUM(+V58+V65),1)</f>
        <v>0</v>
      </c>
      <c r="W70" s="597"/>
      <c r="X70" s="596">
        <f>ROUND(SUM(+X58+X65),1)</f>
        <v>0</v>
      </c>
      <c r="Y70" s="599"/>
      <c r="Z70" s="597"/>
      <c r="AA70" s="596">
        <f>ROUND(SUM(+AA58+AA65),1)</f>
        <v>2809.3</v>
      </c>
      <c r="AB70" s="599"/>
      <c r="AC70" s="597"/>
      <c r="AD70" s="596">
        <f>ROUND(SUM(+AD58+AD65),1)</f>
        <v>2323.6999999999998</v>
      </c>
      <c r="AE70" s="600"/>
      <c r="AF70" s="601"/>
      <c r="AG70" s="596">
        <f>ROUND(SUM(+AG58+AG65),1)</f>
        <v>485.6</v>
      </c>
      <c r="AH70" s="577"/>
      <c r="AI70" s="2618">
        <f>ROUND(IF(AD70=0,0,AG70/ABS(AD70)),3)</f>
        <v>0.20899999999999999</v>
      </c>
      <c r="AJ70" s="1007"/>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06"/>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05"/>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396.1</v>
      </c>
      <c r="M73" s="570"/>
      <c r="N73" s="615">
        <f>ROUND(SUM(N12+N70),1)</f>
        <v>787.4</v>
      </c>
      <c r="O73" s="570"/>
      <c r="P73" s="615">
        <f>ROUND(SUM(P12+P70),1)</f>
        <v>1118.5999999999999</v>
      </c>
      <c r="Q73" s="570"/>
      <c r="R73" s="615">
        <f>ROUND(SUM(R12+R70),1)</f>
        <v>736.7</v>
      </c>
      <c r="S73" s="570"/>
      <c r="T73" s="615">
        <f>ROUND(SUM(T12+T70),1)</f>
        <v>2953.7</v>
      </c>
      <c r="U73" s="570"/>
      <c r="V73" s="615">
        <f>ROUND(SUM(V12+V70),1)</f>
        <v>0</v>
      </c>
      <c r="W73" s="570"/>
      <c r="X73" s="615">
        <f>ROUND(SUM(X12+X70),1)</f>
        <v>0</v>
      </c>
      <c r="Y73" s="573"/>
      <c r="Z73" s="570"/>
      <c r="AA73" s="615">
        <f>ROUND(SUM(AA12+AA70),1)</f>
        <v>2953.7</v>
      </c>
      <c r="AB73" s="573"/>
      <c r="AC73" s="570"/>
      <c r="AD73" s="615">
        <f>ROUND(SUM(AD12+AD70),1)</f>
        <v>2483.4</v>
      </c>
      <c r="AE73" s="616"/>
      <c r="AF73" s="575"/>
      <c r="AG73" s="615">
        <f>ROUND(SUM(+AG12+AG70),1)</f>
        <v>470.3</v>
      </c>
      <c r="AH73" s="577"/>
      <c r="AI73" s="127">
        <f>ROUND(IF(AD73=0,0,AG73/ABS(AD73)),3)</f>
        <v>0.189</v>
      </c>
      <c r="AJ73" s="1009"/>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24"/>
    </row>
    <row r="76" spans="1:38" ht="12" customHeight="1">
      <c r="A76" s="568"/>
      <c r="L76" s="551"/>
      <c r="R76" s="625"/>
      <c r="T76" s="619"/>
      <c r="X76" s="619"/>
    </row>
    <row r="77" spans="1:38">
      <c r="B77" s="2424"/>
      <c r="L77" s="551"/>
      <c r="R77" s="625"/>
      <c r="T77" s="619"/>
      <c r="X77" s="619"/>
    </row>
    <row r="78" spans="1:38">
      <c r="A78" s="584"/>
      <c r="L78" s="551"/>
    </row>
    <row r="79" spans="1:38">
      <c r="A79" s="2974"/>
      <c r="B79" s="2424"/>
      <c r="L79" s="551"/>
      <c r="R79" s="626"/>
    </row>
    <row r="80" spans="1:38">
      <c r="A80" s="627"/>
      <c r="B80" s="2424"/>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64"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4" t="s">
        <v>1066</v>
      </c>
    </row>
    <row r="2" spans="1:42">
      <c r="B2" s="1579"/>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3" t="s">
        <v>199</v>
      </c>
    </row>
    <row r="4" spans="1:42" ht="19.5" customHeight="1">
      <c r="A4" s="629"/>
      <c r="B4" s="635" t="s">
        <v>1104</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03" t="s">
        <v>1438</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49" t="s">
        <v>1556</v>
      </c>
      <c r="AG10" s="3550"/>
      <c r="AH10" s="3550"/>
      <c r="AI10" s="3550"/>
      <c r="AJ10" s="3550"/>
      <c r="AK10" s="3550"/>
      <c r="AL10" s="3550"/>
      <c r="AM10" s="3550"/>
      <c r="AN10" s="3550"/>
    </row>
    <row r="11" spans="1:42" ht="15.75" customHeight="1">
      <c r="A11" s="629"/>
      <c r="B11" s="637"/>
      <c r="C11" s="630"/>
      <c r="D11" s="630"/>
      <c r="E11" s="1421"/>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02" t="s">
        <v>1265</v>
      </c>
      <c r="AD11" s="1422"/>
      <c r="AE11" s="1423"/>
      <c r="AF11" s="1381"/>
      <c r="AG11" s="1424"/>
      <c r="AH11" s="1424"/>
      <c r="AI11" s="1424"/>
      <c r="AJ11" s="1424"/>
      <c r="AK11" s="1424"/>
      <c r="AL11" s="1424"/>
      <c r="AM11" s="1424"/>
      <c r="AN11" s="1424"/>
    </row>
    <row r="12" spans="1:42" ht="15.75" customHeight="1">
      <c r="A12" s="638"/>
      <c r="B12" s="638"/>
      <c r="C12" s="638"/>
      <c r="D12" s="638"/>
      <c r="E12" s="1395">
        <v>2017</v>
      </c>
      <c r="F12" s="1425"/>
      <c r="G12" s="1425"/>
      <c r="H12" s="1425"/>
      <c r="I12" s="1425"/>
      <c r="J12" s="1425"/>
      <c r="K12" s="1425"/>
      <c r="L12" s="1425"/>
      <c r="M12" s="1425"/>
      <c r="N12" s="1425"/>
      <c r="O12" s="1425"/>
      <c r="P12" s="1425"/>
      <c r="Q12" s="1425"/>
      <c r="R12" s="1425"/>
      <c r="S12" s="1425"/>
      <c r="T12" s="1425"/>
      <c r="U12" s="1425"/>
      <c r="V12" s="1425"/>
      <c r="W12" s="1395">
        <v>2018</v>
      </c>
      <c r="X12" s="1425"/>
      <c r="Y12" s="1425"/>
      <c r="Z12" s="1425"/>
      <c r="AA12" s="1425"/>
      <c r="AB12" s="1425"/>
      <c r="AC12" s="1402" t="s">
        <v>1266</v>
      </c>
      <c r="AD12" s="1425"/>
      <c r="AE12" s="1425"/>
      <c r="AF12" s="1426"/>
      <c r="AG12" s="1426"/>
      <c r="AH12" s="1426"/>
      <c r="AI12" s="1426"/>
      <c r="AJ12" s="1426"/>
      <c r="AK12" s="1426"/>
      <c r="AL12" s="1402" t="s">
        <v>8</v>
      </c>
      <c r="AM12" s="1402"/>
      <c r="AN12" s="1397" t="s">
        <v>9</v>
      </c>
      <c r="AO12" s="1429"/>
    </row>
    <row r="13" spans="1:42" ht="15.75" customHeight="1">
      <c r="A13" s="223"/>
      <c r="B13" s="223"/>
      <c r="C13" s="223"/>
      <c r="D13" s="223"/>
      <c r="E13" s="2062" t="s">
        <v>127</v>
      </c>
      <c r="F13" s="475"/>
      <c r="G13" s="2062" t="s">
        <v>128</v>
      </c>
      <c r="H13" s="475"/>
      <c r="I13" s="2062" t="s">
        <v>129</v>
      </c>
      <c r="J13" s="475"/>
      <c r="K13" s="2062" t="s">
        <v>130</v>
      </c>
      <c r="L13" s="475"/>
      <c r="M13" s="2062" t="s">
        <v>131</v>
      </c>
      <c r="N13" s="475"/>
      <c r="O13" s="2062" t="s">
        <v>132</v>
      </c>
      <c r="P13" s="475"/>
      <c r="Q13" s="2062" t="s">
        <v>133</v>
      </c>
      <c r="R13" s="475"/>
      <c r="S13" s="2062" t="s">
        <v>134</v>
      </c>
      <c r="T13" s="475"/>
      <c r="U13" s="2062" t="s">
        <v>135</v>
      </c>
      <c r="V13" s="475"/>
      <c r="W13" s="2062" t="s">
        <v>152</v>
      </c>
      <c r="X13" s="475"/>
      <c r="Y13" s="2062" t="s">
        <v>137</v>
      </c>
      <c r="Z13" s="475"/>
      <c r="AA13" s="2062" t="s">
        <v>138</v>
      </c>
      <c r="AB13" s="1408"/>
      <c r="AC13" s="1924" t="s">
        <v>1267</v>
      </c>
      <c r="AD13" s="475"/>
      <c r="AE13" s="475"/>
      <c r="AF13" s="2062">
        <v>2018</v>
      </c>
      <c r="AG13" s="475"/>
      <c r="AH13" s="475"/>
      <c r="AI13" s="1427">
        <v>2017</v>
      </c>
      <c r="AJ13" s="1428"/>
      <c r="AK13" s="1428"/>
      <c r="AL13" s="1409" t="s">
        <v>12</v>
      </c>
      <c r="AM13" s="1400"/>
      <c r="AN13" s="1409" t="s">
        <v>13</v>
      </c>
      <c r="AO13" s="2065"/>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67" t="s">
        <v>1344</v>
      </c>
      <c r="C15" s="221"/>
      <c r="D15" s="223"/>
      <c r="E15" s="292">
        <v>-1060.5</v>
      </c>
      <c r="F15" s="292"/>
      <c r="G15" s="292">
        <f>E103</f>
        <v>-1047</v>
      </c>
      <c r="H15" s="292"/>
      <c r="I15" s="292">
        <f>G103</f>
        <v>-1123.2</v>
      </c>
      <c r="J15" s="292"/>
      <c r="K15" s="292">
        <f>I103</f>
        <v>-906.2</v>
      </c>
      <c r="L15" s="292"/>
      <c r="M15" s="292">
        <f>K103</f>
        <v>-829.6</v>
      </c>
      <c r="N15" s="292"/>
      <c r="O15" s="292">
        <f>+M103</f>
        <v>-914</v>
      </c>
      <c r="P15" s="292"/>
      <c r="Q15" s="292">
        <f>O103</f>
        <v>-1281.4000000000001</v>
      </c>
      <c r="R15" s="292"/>
      <c r="S15" s="292">
        <f>Q103</f>
        <v>-1325.6</v>
      </c>
      <c r="T15" s="292"/>
      <c r="U15" s="292">
        <f>S103</f>
        <v>-1328.1</v>
      </c>
      <c r="V15" s="292"/>
      <c r="W15" s="292">
        <f>U103</f>
        <v>-944</v>
      </c>
      <c r="X15" s="292"/>
      <c r="Y15" s="292"/>
      <c r="Z15" s="292"/>
      <c r="AA15" s="292"/>
      <c r="AB15" s="292"/>
      <c r="AC15" s="292">
        <v>0</v>
      </c>
      <c r="AD15" s="292"/>
      <c r="AE15" s="293"/>
      <c r="AF15" s="334">
        <v>-1060.5</v>
      </c>
      <c r="AG15" s="420"/>
      <c r="AH15" s="421"/>
      <c r="AI15" s="641">
        <v>-890.8</v>
      </c>
      <c r="AJ15" s="292"/>
      <c r="AK15" s="642"/>
      <c r="AL15" s="641">
        <f>+AF15-AI15</f>
        <v>-169.70000000000005</v>
      </c>
      <c r="AM15" s="643"/>
      <c r="AN15" s="2573">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1177</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27"/>
      <c r="AH18" s="252"/>
      <c r="AI18" s="365"/>
      <c r="AJ18" s="365"/>
      <c r="AK18" s="639"/>
      <c r="AL18" s="640"/>
      <c r="AM18" s="640"/>
      <c r="AN18" s="640"/>
    </row>
    <row r="19" spans="1:46" ht="15.6">
      <c r="A19" s="223"/>
      <c r="B19" s="1907" t="s">
        <v>1244</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27"/>
      <c r="AH19" s="252"/>
      <c r="AI19" s="365"/>
      <c r="AJ19" s="365"/>
      <c r="AK19" s="639"/>
      <c r="AL19" s="640"/>
      <c r="AM19" s="640"/>
      <c r="AN19" s="640"/>
    </row>
    <row r="20" spans="1:46">
      <c r="A20" s="223"/>
      <c r="B20" s="1206" t="s">
        <v>1196</v>
      </c>
      <c r="C20" s="223"/>
      <c r="D20" s="223"/>
      <c r="E20" s="2463">
        <f>+' Exhibit I State'!E20</f>
        <v>8</v>
      </c>
      <c r="F20" s="2562"/>
      <c r="G20" s="2463">
        <f>+' Exhibit I State'!G20</f>
        <v>5.5</v>
      </c>
      <c r="H20" s="2562"/>
      <c r="I20" s="2463">
        <f>+' Exhibit I State'!I20</f>
        <v>7.7</v>
      </c>
      <c r="J20" s="2609"/>
      <c r="K20" s="2463">
        <f>+' Exhibit I State'!K20</f>
        <v>8.4</v>
      </c>
      <c r="L20" s="2610"/>
      <c r="M20" s="2463">
        <f>+' Exhibit I State'!M20</f>
        <v>8.1</v>
      </c>
      <c r="N20" s="2610"/>
      <c r="O20" s="2463">
        <f>+' Exhibit I State'!O20</f>
        <v>8</v>
      </c>
      <c r="P20" s="556"/>
      <c r="Q20" s="2463">
        <f>+' Exhibit I State'!Q20</f>
        <v>5.8</v>
      </c>
      <c r="R20" s="556"/>
      <c r="S20" s="2463">
        <f>+' Exhibit I State'!S20</f>
        <v>6.1</v>
      </c>
      <c r="T20" s="556"/>
      <c r="U20" s="2463">
        <f>+' Exhibit I State'!U20</f>
        <v>5</v>
      </c>
      <c r="V20" s="556"/>
      <c r="W20" s="2463">
        <f>+' Exhibit I State'!W20</f>
        <v>-0.1</v>
      </c>
      <c r="X20" s="556"/>
      <c r="Y20" s="2463"/>
      <c r="Z20" s="556"/>
      <c r="AA20" s="2463"/>
      <c r="AB20" s="2653"/>
      <c r="AC20" s="2653">
        <v>0</v>
      </c>
      <c r="AD20" s="1909"/>
      <c r="AE20" s="556"/>
      <c r="AF20" s="260">
        <f>ROUND(SUM(E20:AC20),1)</f>
        <v>62.5</v>
      </c>
      <c r="AG20" s="1910"/>
      <c r="AH20" s="557"/>
      <c r="AI20" s="586">
        <f>+' Exhibit I State'!AG20</f>
        <v>70.3</v>
      </c>
      <c r="AJ20" s="561"/>
      <c r="AK20" s="581"/>
      <c r="AL20" s="591">
        <f>ROUND(SUM(AF20-AI20),1)</f>
        <v>-7.8</v>
      </c>
      <c r="AM20" s="567"/>
      <c r="AN20" s="2468">
        <f>ROUND(IF(AI20=0,0,AL20/ABS(AI20)),3)</f>
        <v>-0.111</v>
      </c>
      <c r="AO20" s="1005"/>
    </row>
    <row r="21" spans="1:46">
      <c r="A21" s="223"/>
      <c r="B21" s="1206" t="s">
        <v>1198</v>
      </c>
      <c r="C21" s="223"/>
      <c r="D21" s="223"/>
      <c r="E21" s="2463">
        <f>+' Exhibit I State'!E21</f>
        <v>32.799999999999997</v>
      </c>
      <c r="F21" s="2562"/>
      <c r="G21" s="2463">
        <f>+' Exhibit I State'!G21</f>
        <v>30.9</v>
      </c>
      <c r="H21" s="2562"/>
      <c r="I21" s="2463">
        <f>+' Exhibit I State'!I21</f>
        <v>34.9</v>
      </c>
      <c r="J21" s="2609"/>
      <c r="K21" s="2463">
        <f>+' Exhibit I State'!K21</f>
        <v>34.6</v>
      </c>
      <c r="L21" s="2610"/>
      <c r="M21" s="2463">
        <f>+' Exhibit I State'!M21</f>
        <v>35.4</v>
      </c>
      <c r="N21" s="2610"/>
      <c r="O21" s="2463">
        <f>+' Exhibit I State'!O21</f>
        <v>36.4</v>
      </c>
      <c r="P21" s="556"/>
      <c r="Q21" s="2463">
        <f>+' Exhibit I State'!Q21</f>
        <v>33.5</v>
      </c>
      <c r="R21" s="556"/>
      <c r="S21" s="2463">
        <f>+' Exhibit I State'!S21</f>
        <v>33.6</v>
      </c>
      <c r="T21" s="556"/>
      <c r="U21" s="2463">
        <f>+' Exhibit I State'!U21</f>
        <v>36</v>
      </c>
      <c r="V21" s="556"/>
      <c r="W21" s="2463">
        <f>+' Exhibit I State'!W21</f>
        <v>34.799999999999997</v>
      </c>
      <c r="X21" s="556"/>
      <c r="Y21" s="2463"/>
      <c r="Z21" s="556"/>
      <c r="AA21" s="2463"/>
      <c r="AB21" s="2653"/>
      <c r="AC21" s="2653">
        <v>0</v>
      </c>
      <c r="AD21" s="1909"/>
      <c r="AE21" s="556"/>
      <c r="AF21" s="260">
        <f>ROUND(SUM(E21:AC21),1)</f>
        <v>342.9</v>
      </c>
      <c r="AG21" s="1910"/>
      <c r="AH21" s="557"/>
      <c r="AI21" s="586">
        <f>+' Exhibit I State'!AG21</f>
        <v>345.9</v>
      </c>
      <c r="AJ21" s="561"/>
      <c r="AK21" s="581"/>
      <c r="AL21" s="591">
        <f>ROUND(SUM(AF21-AI21),1)</f>
        <v>-3</v>
      </c>
      <c r="AM21" s="567"/>
      <c r="AN21" s="45">
        <f>ROUND(IF(AI21=0,0,AL21/ABS(AI21)),3)</f>
        <v>-8.9999999999999993E-3</v>
      </c>
      <c r="AO21" s="1005"/>
    </row>
    <row r="22" spans="1:46">
      <c r="A22" s="223"/>
      <c r="B22" s="1206" t="s">
        <v>1200</v>
      </c>
      <c r="C22" s="223"/>
      <c r="D22" s="223"/>
      <c r="E22" s="2463">
        <f>+' Exhibit I State'!E22</f>
        <v>11.5</v>
      </c>
      <c r="F22" s="2562"/>
      <c r="G22" s="2463">
        <f>+' Exhibit I State'!G22</f>
        <v>-32.700000000000003</v>
      </c>
      <c r="H22" s="2562"/>
      <c r="I22" s="2463">
        <f>+' Exhibit I State'!I22</f>
        <v>10.7</v>
      </c>
      <c r="J22" s="2609"/>
      <c r="K22" s="2463">
        <f>+' Exhibit I State'!K22</f>
        <v>12</v>
      </c>
      <c r="L22" s="2610"/>
      <c r="M22" s="2463">
        <f>+' Exhibit I State'!M22</f>
        <v>11.9</v>
      </c>
      <c r="N22" s="2610"/>
      <c r="O22" s="2463">
        <f>+' Exhibit I State'!O22</f>
        <v>9.8000000000000007</v>
      </c>
      <c r="P22" s="556"/>
      <c r="Q22" s="2463">
        <f>+' Exhibit I State'!Q22</f>
        <v>14.2</v>
      </c>
      <c r="R22" s="556"/>
      <c r="S22" s="2463">
        <f>+' Exhibit I State'!S22</f>
        <v>11.4</v>
      </c>
      <c r="T22" s="556"/>
      <c r="U22" s="2463">
        <f>+' Exhibit I State'!U22</f>
        <v>10.7</v>
      </c>
      <c r="V22" s="556"/>
      <c r="W22" s="2463">
        <f>+' Exhibit I State'!W22</f>
        <v>14.5</v>
      </c>
      <c r="X22" s="556"/>
      <c r="Y22" s="2463"/>
      <c r="Z22" s="556"/>
      <c r="AA22" s="2463"/>
      <c r="AB22" s="2653"/>
      <c r="AC22" s="2653">
        <v>0</v>
      </c>
      <c r="AD22" s="1909"/>
      <c r="AE22" s="556"/>
      <c r="AF22" s="260">
        <f>ROUND(SUM(E22:AC22),1)</f>
        <v>74</v>
      </c>
      <c r="AG22" s="1910"/>
      <c r="AH22" s="557"/>
      <c r="AI22" s="586">
        <f>+' Exhibit I State'!AG22</f>
        <v>117</v>
      </c>
      <c r="AJ22" s="561"/>
      <c r="AK22" s="581"/>
      <c r="AL22" s="591">
        <f>ROUND(SUM(AF22-AI22),1)</f>
        <v>-43</v>
      </c>
      <c r="AM22" s="567"/>
      <c r="AN22" s="45">
        <f>ROUND(IF(AI22=0,0,AL22/ABS(AI22)),3)</f>
        <v>-0.36799999999999999</v>
      </c>
      <c r="AO22" s="1005"/>
    </row>
    <row r="23" spans="1:46" ht="15.6">
      <c r="A23" s="223"/>
      <c r="B23" s="583" t="s">
        <v>1294</v>
      </c>
      <c r="C23" s="223"/>
      <c r="D23" s="223"/>
      <c r="E23" s="2611">
        <f>ROUND(SUM(E20:E22),1)</f>
        <v>52.3</v>
      </c>
      <c r="F23" s="2612"/>
      <c r="G23" s="2611">
        <f>ROUND(SUM(G20:G22),1)</f>
        <v>3.7</v>
      </c>
      <c r="H23" s="2612"/>
      <c r="I23" s="2611">
        <f>ROUND(SUM(I20:I22),1)</f>
        <v>53.3</v>
      </c>
      <c r="J23" s="2612"/>
      <c r="K23" s="2611">
        <f>ROUND(SUM(K20:K22),1)</f>
        <v>55</v>
      </c>
      <c r="L23" s="2610"/>
      <c r="M23" s="2611">
        <f>ROUND(SUM(M20:M22),1)</f>
        <v>55.4</v>
      </c>
      <c r="N23" s="2610"/>
      <c r="O23" s="2611">
        <f>ROUND(SUM(O20:O22),1)</f>
        <v>54.2</v>
      </c>
      <c r="P23" s="556"/>
      <c r="Q23" s="2611">
        <f>ROUND(SUM(Q20:Q22),1)</f>
        <v>53.5</v>
      </c>
      <c r="R23" s="556"/>
      <c r="S23" s="2611">
        <f>ROUND(SUM(S20:S22),1)</f>
        <v>51.1</v>
      </c>
      <c r="T23" s="556"/>
      <c r="U23" s="2611">
        <f>ROUND(SUM(U20:U22),1)</f>
        <v>51.7</v>
      </c>
      <c r="V23" s="556"/>
      <c r="W23" s="2816">
        <f>ROUND(SUM(W20:W22),1)</f>
        <v>49.2</v>
      </c>
      <c r="X23" s="556"/>
      <c r="Y23" s="2816">
        <f>ROUND(SUM(Y20:Y22),1)</f>
        <v>0</v>
      </c>
      <c r="Z23" s="556"/>
      <c r="AA23" s="1219">
        <f>ROUND(SUM(AA20:AA22),1)</f>
        <v>0</v>
      </c>
      <c r="AB23" s="313"/>
      <c r="AC23" s="2816">
        <f>ROUND(SUM(AC20:AC22),1)</f>
        <v>0</v>
      </c>
      <c r="AD23" s="1909"/>
      <c r="AE23" s="556"/>
      <c r="AF23" s="480">
        <f>ROUND(SUM(AF20:AF22),1)</f>
        <v>479.4</v>
      </c>
      <c r="AG23" s="1910"/>
      <c r="AH23" s="557"/>
      <c r="AI23" s="480">
        <f>ROUND(SUM(AI20:AI22),1)</f>
        <v>533.20000000000005</v>
      </c>
      <c r="AJ23" s="561"/>
      <c r="AK23" s="581"/>
      <c r="AL23" s="2064">
        <f>ROUND(SUM(AF23-AI23),1)</f>
        <v>-53.8</v>
      </c>
      <c r="AM23" s="577"/>
      <c r="AN23" s="72">
        <f>ROUND(IF(AI23=0,0,AL23/ABS(AI23)),3)</f>
        <v>-0.10100000000000001</v>
      </c>
      <c r="AO23" s="1005"/>
    </row>
    <row r="24" spans="1:46" ht="15.6">
      <c r="A24" s="223"/>
      <c r="B24" s="1907" t="s">
        <v>1245</v>
      </c>
      <c r="C24" s="223"/>
      <c r="D24" s="223"/>
      <c r="E24" s="2613"/>
      <c r="F24" s="2612"/>
      <c r="G24" s="2613"/>
      <c r="H24" s="2612"/>
      <c r="I24" s="2613"/>
      <c r="J24" s="2612"/>
      <c r="K24" s="2613"/>
      <c r="L24" s="2610"/>
      <c r="M24" s="2613"/>
      <c r="N24" s="2610"/>
      <c r="O24" s="2613"/>
      <c r="P24" s="556"/>
      <c r="Q24" s="2613"/>
      <c r="R24" s="556"/>
      <c r="S24" s="2613"/>
      <c r="T24" s="556"/>
      <c r="U24" s="2613"/>
      <c r="V24" s="556"/>
      <c r="W24" s="313"/>
      <c r="X24" s="556"/>
      <c r="Y24" s="313"/>
      <c r="Z24" s="556"/>
      <c r="AA24" s="313"/>
      <c r="AB24" s="313"/>
      <c r="AC24" s="313"/>
      <c r="AD24" s="1909"/>
      <c r="AE24" s="556"/>
      <c r="AF24" s="272"/>
      <c r="AG24" s="1910"/>
      <c r="AH24" s="557"/>
      <c r="AI24" s="272"/>
      <c r="AJ24" s="561"/>
      <c r="AK24" s="581"/>
      <c r="AL24" s="1913"/>
      <c r="AM24" s="577"/>
      <c r="AN24" s="114"/>
      <c r="AO24" s="1005"/>
    </row>
    <row r="25" spans="1:46" ht="15.6">
      <c r="A25" s="223"/>
      <c r="B25" s="1206" t="s">
        <v>1203</v>
      </c>
      <c r="C25" s="223"/>
      <c r="D25" s="223"/>
      <c r="E25" s="2463">
        <f>+' Exhibit I State'!E25</f>
        <v>0</v>
      </c>
      <c r="F25" s="2612"/>
      <c r="G25" s="2463">
        <f>+' Exhibit I State'!G25</f>
        <v>0</v>
      </c>
      <c r="H25" s="2612"/>
      <c r="I25" s="2463">
        <f>+' Exhibit I State'!I25</f>
        <v>0</v>
      </c>
      <c r="J25" s="2612"/>
      <c r="K25" s="2463">
        <f>+' Exhibit I State'!K25</f>
        <v>0</v>
      </c>
      <c r="L25" s="2610"/>
      <c r="M25" s="2463">
        <f>+' Exhibit I State'!M25</f>
        <v>0</v>
      </c>
      <c r="N25" s="2610"/>
      <c r="O25" s="2463">
        <f>+' Exhibit I State'!O25</f>
        <v>0</v>
      </c>
      <c r="P25" s="556"/>
      <c r="Q25" s="2463">
        <f>+' Exhibit I State'!Q25</f>
        <v>0</v>
      </c>
      <c r="R25" s="556"/>
      <c r="S25" s="2463">
        <f>+' Exhibit I State'!S25</f>
        <v>0</v>
      </c>
      <c r="T25" s="556"/>
      <c r="U25" s="2463">
        <f>+' Exhibit I State'!U25</f>
        <v>0</v>
      </c>
      <c r="V25" s="556"/>
      <c r="W25" s="2463">
        <v>0</v>
      </c>
      <c r="X25" s="556"/>
      <c r="Y25" s="2463"/>
      <c r="Z25" s="556"/>
      <c r="AA25" s="2463"/>
      <c r="AB25" s="2653"/>
      <c r="AC25" s="2653">
        <v>0</v>
      </c>
      <c r="AD25" s="1909"/>
      <c r="AE25" s="556"/>
      <c r="AF25" s="1740">
        <v>0</v>
      </c>
      <c r="AG25" s="1910"/>
      <c r="AH25" s="557"/>
      <c r="AI25" s="586">
        <f>+' Exhibit I State'!AG25</f>
        <v>0</v>
      </c>
      <c r="AJ25" s="561"/>
      <c r="AK25" s="581"/>
      <c r="AL25" s="591">
        <f>ROUND(SUM(AF25-AI25),1)</f>
        <v>0</v>
      </c>
      <c r="AM25" s="567"/>
      <c r="AN25" s="2608">
        <f>ROUND(IF(AI25=0,0,AL25/ABS(AI25)),3)</f>
        <v>0</v>
      </c>
      <c r="AO25" s="1005"/>
      <c r="AP25" s="552"/>
      <c r="AQ25" s="552"/>
      <c r="AR25" s="552"/>
      <c r="AS25" s="552"/>
      <c r="AT25" s="552"/>
    </row>
    <row r="26" spans="1:46" ht="15.6">
      <c r="A26" s="223"/>
      <c r="B26" s="1206" t="s">
        <v>1204</v>
      </c>
      <c r="C26" s="223"/>
      <c r="D26" s="223"/>
      <c r="E26" s="2463">
        <f>+' Exhibit I State'!E26</f>
        <v>0.9</v>
      </c>
      <c r="F26" s="2562"/>
      <c r="G26" s="2463">
        <f>+' Exhibit I State'!G26</f>
        <v>0.6</v>
      </c>
      <c r="H26" s="2562"/>
      <c r="I26" s="2463">
        <f>+' Exhibit I State'!I26</f>
        <v>2</v>
      </c>
      <c r="J26" s="2612"/>
      <c r="K26" s="2463">
        <f>+' Exhibit I State'!K26</f>
        <v>0</v>
      </c>
      <c r="L26" s="2610"/>
      <c r="M26" s="2463">
        <f>+' Exhibit I State'!M26</f>
        <v>0.1</v>
      </c>
      <c r="N26" s="2610"/>
      <c r="O26" s="2463">
        <f>+' Exhibit I State'!O26</f>
        <v>2.2000000000000002</v>
      </c>
      <c r="P26" s="556"/>
      <c r="Q26" s="2463">
        <f>+' Exhibit I State'!Q26</f>
        <v>0.2</v>
      </c>
      <c r="R26" s="556"/>
      <c r="S26" s="2463">
        <f>+' Exhibit I State'!S26</f>
        <v>0</v>
      </c>
      <c r="T26" s="556"/>
      <c r="U26" s="2463">
        <f>+' Exhibit I State'!U26</f>
        <v>2</v>
      </c>
      <c r="V26" s="556"/>
      <c r="W26" s="2463">
        <f>+' Exhibit I State'!W26</f>
        <v>0.6</v>
      </c>
      <c r="X26" s="556"/>
      <c r="Y26" s="2463"/>
      <c r="Z26" s="556"/>
      <c r="AA26" s="2463"/>
      <c r="AB26" s="2653"/>
      <c r="AC26" s="2653">
        <v>0</v>
      </c>
      <c r="AD26" s="1909"/>
      <c r="AE26" s="556"/>
      <c r="AF26" s="260">
        <f>ROUND(SUM(E26:AC26),1)</f>
        <v>8.6</v>
      </c>
      <c r="AG26" s="1910"/>
      <c r="AH26" s="557"/>
      <c r="AI26" s="586">
        <f>+' Exhibit I State'!AG26</f>
        <v>12.1</v>
      </c>
      <c r="AJ26" s="561"/>
      <c r="AK26" s="581"/>
      <c r="AL26" s="591">
        <f>ROUND(SUM(AF26-AI26),1)</f>
        <v>-3.5</v>
      </c>
      <c r="AM26" s="567"/>
      <c r="AN26" s="2582">
        <f>ROUND(IF(AI26=0,1,AL26/ABS(AI26)),3)</f>
        <v>-0.28899999999999998</v>
      </c>
      <c r="AO26" s="1005"/>
      <c r="AP26" s="552"/>
      <c r="AQ26" s="552"/>
      <c r="AR26" s="552"/>
      <c r="AS26" s="552"/>
      <c r="AT26" s="552"/>
    </row>
    <row r="27" spans="1:46" ht="15.6">
      <c r="A27" s="223"/>
      <c r="B27" s="1206" t="s">
        <v>1207</v>
      </c>
      <c r="C27" s="223"/>
      <c r="D27" s="223"/>
      <c r="E27" s="2463">
        <f>+' Exhibit I State'!E27</f>
        <v>45.9</v>
      </c>
      <c r="F27" s="2562"/>
      <c r="G27" s="2463">
        <f>+' Exhibit I State'!G27</f>
        <v>45.7</v>
      </c>
      <c r="H27" s="2562"/>
      <c r="I27" s="2463">
        <f>+' Exhibit I State'!I27</f>
        <v>53.2</v>
      </c>
      <c r="J27" s="2612"/>
      <c r="K27" s="2463">
        <f>+' Exhibit I State'!K27</f>
        <v>55.2</v>
      </c>
      <c r="L27" s="2610"/>
      <c r="M27" s="2463">
        <f>+' Exhibit I State'!M27</f>
        <v>50.2</v>
      </c>
      <c r="N27" s="2610"/>
      <c r="O27" s="2463">
        <f>+' Exhibit I State'!O27</f>
        <v>55.2</v>
      </c>
      <c r="P27" s="556"/>
      <c r="Q27" s="2463">
        <f>+' Exhibit I State'!Q27</f>
        <v>50.8</v>
      </c>
      <c r="R27" s="556"/>
      <c r="S27" s="2463">
        <f>+' Exhibit I State'!S27</f>
        <v>51.5</v>
      </c>
      <c r="T27" s="556"/>
      <c r="U27" s="2463">
        <f>+' Exhibit I State'!U27</f>
        <v>50.7</v>
      </c>
      <c r="V27" s="556"/>
      <c r="W27" s="2463">
        <f>+' Exhibit I State'!W27</f>
        <v>51.4</v>
      </c>
      <c r="X27" s="556"/>
      <c r="Y27" s="2463"/>
      <c r="Z27" s="556"/>
      <c r="AA27" s="2463"/>
      <c r="AB27" s="2653"/>
      <c r="AC27" s="2653">
        <v>0</v>
      </c>
      <c r="AD27" s="1909"/>
      <c r="AE27" s="556"/>
      <c r="AF27" s="260">
        <f>ROUND(SUM(E27:AC27),1)</f>
        <v>509.8</v>
      </c>
      <c r="AG27" s="1910"/>
      <c r="AH27" s="557"/>
      <c r="AI27" s="586">
        <f>+' Exhibit I State'!AG27</f>
        <v>528.9</v>
      </c>
      <c r="AJ27" s="561"/>
      <c r="AK27" s="581"/>
      <c r="AL27" s="591">
        <f>ROUND(SUM(AF27-AI27),1)</f>
        <v>-19.100000000000001</v>
      </c>
      <c r="AM27" s="567"/>
      <c r="AN27" s="2568">
        <f>ROUND(IF(AI27=0,0,AL27/ABS(AI27)),3)</f>
        <v>-3.5999999999999997E-2</v>
      </c>
      <c r="AO27" s="1005"/>
      <c r="AP27" s="552"/>
      <c r="AQ27" s="552"/>
      <c r="AR27" s="552"/>
      <c r="AS27" s="552"/>
      <c r="AT27" s="552"/>
    </row>
    <row r="28" spans="1:46" ht="15.6">
      <c r="A28" s="223"/>
      <c r="B28" s="583" t="s">
        <v>1295</v>
      </c>
      <c r="C28" s="223"/>
      <c r="D28" s="223"/>
      <c r="E28" s="2611">
        <f>ROUND(SUM(E25:E27),1)</f>
        <v>46.8</v>
      </c>
      <c r="F28" s="2562"/>
      <c r="G28" s="2611">
        <f>ROUND(SUM(G25:G27),1)</f>
        <v>46.3</v>
      </c>
      <c r="H28" s="2562"/>
      <c r="I28" s="2611">
        <f>ROUND(SUM(I25:I27),1)</f>
        <v>55.2</v>
      </c>
      <c r="J28" s="2612"/>
      <c r="K28" s="2611">
        <f>ROUND(SUM(K25:K27),1)</f>
        <v>55.2</v>
      </c>
      <c r="L28" s="2610"/>
      <c r="M28" s="2611">
        <f>ROUND(SUM(M25:M27),1)</f>
        <v>50.3</v>
      </c>
      <c r="N28" s="2610"/>
      <c r="O28" s="2611">
        <f>ROUND(SUM(O25:O27),1)</f>
        <v>57.4</v>
      </c>
      <c r="P28" s="556"/>
      <c r="Q28" s="2611">
        <f>ROUND(SUM(Q25:Q27),1)</f>
        <v>51</v>
      </c>
      <c r="R28" s="556"/>
      <c r="S28" s="2611">
        <f>ROUND(SUM(S25:S27),1)</f>
        <v>51.5</v>
      </c>
      <c r="T28" s="556"/>
      <c r="U28" s="2611">
        <f>ROUND(SUM(U25:U27),1)</f>
        <v>52.7</v>
      </c>
      <c r="V28" s="556"/>
      <c r="W28" s="2816">
        <f>ROUND(SUM(W25:W27),1)</f>
        <v>52</v>
      </c>
      <c r="X28" s="556"/>
      <c r="Y28" s="2816">
        <f>ROUND(SUM(Y25:Y27),1)</f>
        <v>0</v>
      </c>
      <c r="Z28" s="556"/>
      <c r="AA28" s="1219">
        <f>ROUND(SUM(AA25:AA27),1)</f>
        <v>0</v>
      </c>
      <c r="AB28" s="313"/>
      <c r="AC28" s="2816">
        <f>ROUND(SUM(AC25:AC27),1)</f>
        <v>0</v>
      </c>
      <c r="AD28" s="1909"/>
      <c r="AE28" s="556"/>
      <c r="AF28" s="1219">
        <f>ROUND(SUM(AF25:AF27),1)</f>
        <v>518.4</v>
      </c>
      <c r="AG28" s="1910"/>
      <c r="AH28" s="557"/>
      <c r="AI28" s="1219">
        <f>ROUND(SUM(AI25:AI27),1)</f>
        <v>541</v>
      </c>
      <c r="AJ28" s="561"/>
      <c r="AK28" s="581"/>
      <c r="AL28" s="1219">
        <f>ROUND(SUM(AL25:AL27),1)</f>
        <v>-22.6</v>
      </c>
      <c r="AM28" s="567"/>
      <c r="AN28" s="2605">
        <f>ROUND(IF(AI28=0,0,AL28/ABS(AI28)),3)</f>
        <v>-4.2000000000000003E-2</v>
      </c>
      <c r="AO28" s="1005"/>
      <c r="AP28" s="552"/>
      <c r="AQ28" s="552"/>
      <c r="AR28" s="552"/>
      <c r="AS28" s="552"/>
      <c r="AT28" s="552"/>
    </row>
    <row r="29" spans="1:46" ht="15.6">
      <c r="A29" s="223"/>
      <c r="B29" s="1907" t="s">
        <v>1246</v>
      </c>
      <c r="C29" s="223"/>
      <c r="D29" s="223"/>
      <c r="E29" s="2614"/>
      <c r="F29" s="2614"/>
      <c r="G29" s="2614"/>
      <c r="H29" s="2614"/>
      <c r="I29" s="2614"/>
      <c r="J29" s="2614"/>
      <c r="K29" s="2614"/>
      <c r="L29" s="2614"/>
      <c r="M29" s="2614"/>
      <c r="N29" s="2614"/>
      <c r="O29" s="2614"/>
      <c r="P29" s="365"/>
      <c r="Q29" s="2614"/>
      <c r="R29" s="365"/>
      <c r="S29" s="2614"/>
      <c r="T29" s="365"/>
      <c r="U29" s="2614"/>
      <c r="V29" s="365"/>
      <c r="W29" s="365"/>
      <c r="X29" s="365"/>
      <c r="Y29" s="365"/>
      <c r="Z29" s="365"/>
      <c r="AA29" s="365"/>
      <c r="AB29" s="365"/>
      <c r="AC29" s="365"/>
      <c r="AD29" s="365"/>
      <c r="AE29" s="470"/>
      <c r="AF29" s="365"/>
      <c r="AG29" s="1927"/>
      <c r="AH29" s="252"/>
      <c r="AI29" s="365"/>
      <c r="AJ29" s="365"/>
      <c r="AK29" s="639"/>
      <c r="AL29" s="640"/>
      <c r="AM29" s="640"/>
      <c r="AN29" s="2615"/>
    </row>
    <row r="30" spans="1:46" ht="15.6">
      <c r="A30" s="223"/>
      <c r="B30" s="1206" t="s">
        <v>1213</v>
      </c>
      <c r="C30" s="223"/>
      <c r="D30" s="223"/>
      <c r="E30" s="2463">
        <f>+' Exhibit I State'!E30</f>
        <v>0</v>
      </c>
      <c r="F30" s="2562"/>
      <c r="G30" s="2463">
        <f>+' Exhibit I State'!G30</f>
        <v>0</v>
      </c>
      <c r="H30" s="2562"/>
      <c r="I30" s="2463">
        <f>+' Exhibit I State'!I30</f>
        <v>11.9</v>
      </c>
      <c r="J30" s="2612"/>
      <c r="K30" s="2463">
        <f>+' Exhibit I State'!K30</f>
        <v>11.9</v>
      </c>
      <c r="L30" s="2610"/>
      <c r="M30" s="2463">
        <f>+' Exhibit I State'!M30</f>
        <v>11.9</v>
      </c>
      <c r="N30" s="2610"/>
      <c r="O30" s="2463">
        <f>+' Exhibit I State'!O30</f>
        <v>11.9</v>
      </c>
      <c r="P30" s="556"/>
      <c r="Q30" s="2463">
        <f>+' Exhibit I State'!Q30</f>
        <v>11.9</v>
      </c>
      <c r="R30" s="556"/>
      <c r="S30" s="2463">
        <f>+' Exhibit I State'!S30</f>
        <v>12</v>
      </c>
      <c r="T30" s="556"/>
      <c r="U30" s="2463">
        <f>+' Exhibit I State'!U30</f>
        <v>11.9</v>
      </c>
      <c r="V30" s="556"/>
      <c r="W30" s="2463">
        <f>+' Exhibit I State'!W30</f>
        <v>11.9</v>
      </c>
      <c r="X30" s="556"/>
      <c r="Y30" s="2463"/>
      <c r="Z30" s="556"/>
      <c r="AA30" s="2463"/>
      <c r="AB30" s="2653"/>
      <c r="AC30" s="2653">
        <v>0</v>
      </c>
      <c r="AD30" s="1909"/>
      <c r="AE30" s="556"/>
      <c r="AF30" s="260">
        <f>ROUND(SUM(E30:AC30),1)</f>
        <v>95.3</v>
      </c>
      <c r="AG30" s="1910"/>
      <c r="AH30" s="557"/>
      <c r="AI30" s="586">
        <f>+' Exhibit I State'!AG30</f>
        <v>95.3</v>
      </c>
      <c r="AJ30" s="561"/>
      <c r="AK30" s="581"/>
      <c r="AL30" s="591">
        <f>ROUND(SUM(AF30-AI30),1)</f>
        <v>0</v>
      </c>
      <c r="AM30" s="567"/>
      <c r="AN30" s="2568">
        <f>ROUND(IF(AI30=0,0,AL30/ABS(AI30)),3)</f>
        <v>0</v>
      </c>
      <c r="AO30" s="1005"/>
      <c r="AP30" s="552"/>
      <c r="AQ30" s="552"/>
      <c r="AR30" s="552"/>
    </row>
    <row r="31" spans="1:46" ht="15.6">
      <c r="A31" s="223"/>
      <c r="B31" s="583" t="s">
        <v>1296</v>
      </c>
      <c r="C31" s="223"/>
      <c r="D31" s="223"/>
      <c r="E31" s="255">
        <f>ROUND(SUM(E30:E30),1)</f>
        <v>0</v>
      </c>
      <c r="F31" s="1719"/>
      <c r="G31" s="255">
        <f>ROUND(SUM(G30:G30),1)</f>
        <v>0</v>
      </c>
      <c r="H31" s="1719"/>
      <c r="I31" s="255">
        <f>ROUND(SUM(I30:I30),1)</f>
        <v>11.9</v>
      </c>
      <c r="J31" s="1719"/>
      <c r="K31" s="255">
        <f>ROUND(SUM(K30:K30),1)</f>
        <v>11.9</v>
      </c>
      <c r="L31" s="556"/>
      <c r="M31" s="255">
        <f>ROUND(SUM(M30:M30),1)</f>
        <v>11.9</v>
      </c>
      <c r="N31" s="556"/>
      <c r="O31" s="255">
        <f>ROUND(SUM(O30:O30),1)</f>
        <v>11.9</v>
      </c>
      <c r="P31" s="556"/>
      <c r="Q31" s="255">
        <f>ROUND(SUM(Q30:Q30),1)</f>
        <v>11.9</v>
      </c>
      <c r="R31" s="556"/>
      <c r="S31" s="255">
        <f>ROUND(SUM(S30:S30),1)</f>
        <v>12</v>
      </c>
      <c r="T31" s="556"/>
      <c r="U31" s="255">
        <f>ROUND(SUM(U30:U30),1)</f>
        <v>11.9</v>
      </c>
      <c r="V31" s="556"/>
      <c r="W31" s="255">
        <f>ROUND(SUM(W30:W30),1)</f>
        <v>11.9</v>
      </c>
      <c r="X31" s="556"/>
      <c r="Y31" s="255">
        <f>ROUND(SUM(Y30:Y30),1)</f>
        <v>0</v>
      </c>
      <c r="Z31" s="556"/>
      <c r="AA31" s="255">
        <f>ROUND(SUM(AA30:AA30),1)</f>
        <v>0</v>
      </c>
      <c r="AB31" s="2801"/>
      <c r="AC31" s="255">
        <f>ROUND(SUM(AC30:AC30),1)</f>
        <v>0</v>
      </c>
      <c r="AD31" s="1909"/>
      <c r="AE31" s="556"/>
      <c r="AF31" s="255">
        <f>ROUND(SUM(AF30:AF30),1)</f>
        <v>95.3</v>
      </c>
      <c r="AG31" s="1910"/>
      <c r="AH31" s="557"/>
      <c r="AI31" s="255">
        <f>ROUND(SUM(AI30:AI30),1)</f>
        <v>95.3</v>
      </c>
      <c r="AJ31" s="561"/>
      <c r="AK31" s="581"/>
      <c r="AL31" s="2064">
        <f>ROUND(SUM(AF31-AI31),1)</f>
        <v>0</v>
      </c>
      <c r="AM31" s="577"/>
      <c r="AN31" s="2586">
        <f>ROUND(IF(AI31=0,0,AL31/ABS(AI31)),3)</f>
        <v>0</v>
      </c>
      <c r="AO31" s="1005"/>
      <c r="AP31" s="552"/>
      <c r="AQ31" s="552"/>
      <c r="AR31" s="552"/>
    </row>
    <row r="32" spans="1:46" ht="15.6">
      <c r="A32" s="223"/>
      <c r="B32" s="583"/>
      <c r="C32" s="223"/>
      <c r="D32" s="223"/>
      <c r="E32" s="480"/>
      <c r="F32" s="1719"/>
      <c r="G32" s="480"/>
      <c r="H32" s="1719"/>
      <c r="I32" s="480"/>
      <c r="J32" s="1719"/>
      <c r="K32" s="480"/>
      <c r="L32" s="556"/>
      <c r="M32" s="480"/>
      <c r="N32" s="556"/>
      <c r="O32" s="480"/>
      <c r="P32" s="556"/>
      <c r="Q32" s="2816"/>
      <c r="R32" s="556"/>
      <c r="S32" s="2816"/>
      <c r="T32" s="556"/>
      <c r="U32" s="2816"/>
      <c r="V32" s="556"/>
      <c r="W32" s="2816"/>
      <c r="X32" s="556"/>
      <c r="Y32" s="2816"/>
      <c r="Z32" s="556"/>
      <c r="AA32" s="1219"/>
      <c r="AB32" s="313"/>
      <c r="AC32" s="2816"/>
      <c r="AD32" s="1909"/>
      <c r="AE32" s="556"/>
      <c r="AF32" s="480"/>
      <c r="AG32" s="1910"/>
      <c r="AH32" s="557"/>
      <c r="AI32" s="557"/>
      <c r="AJ32" s="561"/>
      <c r="AK32" s="581"/>
      <c r="AL32" s="582"/>
      <c r="AM32" s="567"/>
      <c r="AN32" s="2604"/>
      <c r="AO32" s="1005"/>
      <c r="AP32" s="552"/>
      <c r="AQ32" s="552"/>
      <c r="AR32" s="552"/>
    </row>
    <row r="33" spans="1:44" ht="15.6">
      <c r="A33" s="223"/>
      <c r="B33" s="583" t="s">
        <v>1209</v>
      </c>
      <c r="C33" s="223"/>
      <c r="D33" s="223"/>
      <c r="E33" s="1911">
        <f>ROUND(SUM(E11+E28+E23+E31),1)</f>
        <v>99.1</v>
      </c>
      <c r="F33" s="260"/>
      <c r="G33" s="1911">
        <f>ROUND(SUM(G11+G28+G23+G31),1)</f>
        <v>50</v>
      </c>
      <c r="H33" s="260"/>
      <c r="I33" s="1911">
        <f>ROUND(SUM(I11+I28+I23+I31),1)</f>
        <v>120.4</v>
      </c>
      <c r="J33" s="260"/>
      <c r="K33" s="1911">
        <f>ROUND(SUM(K11+K28+K23+K31),1)</f>
        <v>122.1</v>
      </c>
      <c r="L33" s="556"/>
      <c r="M33" s="1911">
        <f>ROUND(SUM(M11+M28+M23+M31),1)</f>
        <v>117.6</v>
      </c>
      <c r="N33" s="556"/>
      <c r="O33" s="1911">
        <f>ROUND(SUM(O11+O28+O23+O31),1)</f>
        <v>123.5</v>
      </c>
      <c r="P33" s="556"/>
      <c r="Q33" s="1911">
        <f>ROUND(SUM(Q11+Q28+Q23+Q31),1)</f>
        <v>116.4</v>
      </c>
      <c r="R33" s="556"/>
      <c r="S33" s="1911">
        <f>ROUND(SUM(S11+S28+S23+S31),1)</f>
        <v>114.6</v>
      </c>
      <c r="T33" s="556"/>
      <c r="U33" s="1911">
        <f>ROUND(SUM(U11+U28+U23+U31),1)</f>
        <v>116.3</v>
      </c>
      <c r="V33" s="556"/>
      <c r="W33" s="1911">
        <f>ROUND(SUM(W11+W28+W23+W31),1)</f>
        <v>113.1</v>
      </c>
      <c r="X33" s="556"/>
      <c r="Y33" s="1911">
        <f>ROUND(SUM(Y11+Y28+Y23+Y31),1)</f>
        <v>0</v>
      </c>
      <c r="Z33" s="556"/>
      <c r="AA33" s="1911">
        <f>ROUND(SUM(AA11+AA28+AA23+AA31),1)</f>
        <v>0</v>
      </c>
      <c r="AB33" s="1914"/>
      <c r="AC33" s="1911">
        <f>ROUND(SUM(+AC28+AC23+AC31),1)</f>
        <v>0</v>
      </c>
      <c r="AD33" s="1909"/>
      <c r="AE33" s="556"/>
      <c r="AF33" s="1911">
        <f>ROUND(SUM(AF28+AF23+AF31),1)</f>
        <v>1093.0999999999999</v>
      </c>
      <c r="AG33" s="1910"/>
      <c r="AH33" s="557"/>
      <c r="AI33" s="1911">
        <f>ROUND(SUM(AI11+AI28+AI23+AI31),1)</f>
        <v>1169.5</v>
      </c>
      <c r="AJ33" s="561"/>
      <c r="AK33" s="581"/>
      <c r="AL33" s="2064">
        <f>ROUND(SUM(AF33-AI33),1)</f>
        <v>-76.400000000000006</v>
      </c>
      <c r="AM33" s="577"/>
      <c r="AN33" s="2586">
        <f>ROUND(IF(AI33=0,0,AL33/ABS(AI33)),3)</f>
        <v>-6.5000000000000002E-2</v>
      </c>
      <c r="AO33" s="1005"/>
      <c r="AP33" s="552"/>
      <c r="AQ33" s="552"/>
      <c r="AR33" s="552"/>
    </row>
    <row r="34" spans="1:44" ht="15.6">
      <c r="A34" s="223"/>
      <c r="B34" s="583"/>
      <c r="C34" s="223"/>
      <c r="D34" s="223"/>
      <c r="E34" s="1914"/>
      <c r="F34" s="260"/>
      <c r="G34" s="1914"/>
      <c r="H34" s="260"/>
      <c r="I34" s="1914"/>
      <c r="J34" s="260"/>
      <c r="K34" s="1914"/>
      <c r="L34" s="556"/>
      <c r="M34" s="1914"/>
      <c r="N34" s="556"/>
      <c r="O34" s="1914"/>
      <c r="P34" s="556"/>
      <c r="Q34" s="1914"/>
      <c r="R34" s="556"/>
      <c r="S34" s="1914"/>
      <c r="T34" s="556"/>
      <c r="U34" s="1914"/>
      <c r="V34" s="556"/>
      <c r="W34" s="1914"/>
      <c r="X34" s="556"/>
      <c r="Y34" s="1914"/>
      <c r="Z34" s="556"/>
      <c r="AA34" s="1914"/>
      <c r="AB34" s="1914"/>
      <c r="AC34" s="1914"/>
      <c r="AD34" s="2487"/>
      <c r="AE34" s="556"/>
      <c r="AF34" s="1914"/>
      <c r="AG34" s="1910"/>
      <c r="AH34" s="557"/>
      <c r="AI34" s="1914"/>
      <c r="AJ34" s="561"/>
      <c r="AK34" s="581"/>
      <c r="AL34" s="1913"/>
      <c r="AM34" s="577"/>
      <c r="AN34" s="2573"/>
      <c r="AO34" s="1005"/>
      <c r="AP34" s="552"/>
      <c r="AQ34" s="552"/>
      <c r="AR34" s="552"/>
    </row>
    <row r="35" spans="1:44" ht="15.6">
      <c r="A35" s="223"/>
      <c r="B35" s="486" t="s">
        <v>1128</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13"/>
      <c r="AH35" s="254"/>
      <c r="AI35" s="646"/>
      <c r="AJ35" s="273"/>
      <c r="AK35" s="649"/>
      <c r="AL35" s="250"/>
      <c r="AM35" s="647"/>
      <c r="AN35" s="2568"/>
      <c r="AO35" s="640"/>
    </row>
    <row r="36" spans="1:44" ht="15.6">
      <c r="A36" s="223"/>
      <c r="B36" s="1669" t="s">
        <v>1237</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13"/>
      <c r="AH36" s="254"/>
      <c r="AI36" s="646"/>
      <c r="AJ36" s="273"/>
      <c r="AK36" s="649"/>
      <c r="AL36" s="250"/>
      <c r="AM36" s="647"/>
      <c r="AN36" s="2568"/>
      <c r="AO36" s="640"/>
    </row>
    <row r="37" spans="1:44" ht="15.6">
      <c r="A37" s="223"/>
      <c r="B37" s="1669" t="s">
        <v>1146</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f>+' Exhibit I State'!S37+'Exhibit I Federal'!S20</f>
        <v>0</v>
      </c>
      <c r="T37" s="260"/>
      <c r="U37" s="370">
        <f>+' Exhibit I State'!U37+'Exhibit I Federal'!U20</f>
        <v>0</v>
      </c>
      <c r="V37" s="260"/>
      <c r="W37" s="370">
        <f>+' Exhibit I State'!W37+'Exhibit I Federal'!W20</f>
        <v>0</v>
      </c>
      <c r="X37" s="260"/>
      <c r="Y37" s="370"/>
      <c r="Z37" s="260"/>
      <c r="AA37" s="370"/>
      <c r="AB37" s="1089"/>
      <c r="AC37" s="1089">
        <v>0</v>
      </c>
      <c r="AD37" s="260"/>
      <c r="AE37" s="249"/>
      <c r="AF37" s="513">
        <f>ROUND(SUM(E37:AC37),1)</f>
        <v>23</v>
      </c>
      <c r="AG37" s="1813"/>
      <c r="AH37" s="254"/>
      <c r="AI37" s="2030">
        <f>+' Exhibit I State'!AG37+'Exhibit I Federal'!AG20</f>
        <v>23</v>
      </c>
      <c r="AJ37" s="273"/>
      <c r="AK37" s="649"/>
      <c r="AL37" s="250">
        <f t="shared" ref="AL37:AL60" si="0">ROUND(SUM(+AF37-AI37),1)</f>
        <v>0</v>
      </c>
      <c r="AM37" s="647"/>
      <c r="AN37" s="2568">
        <f>ROUND(IF(AI37=0,0,AL37/ABS(AI37)),3)</f>
        <v>0</v>
      </c>
      <c r="AO37" s="640"/>
    </row>
    <row r="38" spans="1:44" ht="15.6">
      <c r="A38" s="223"/>
      <c r="B38" s="1669" t="s">
        <v>1238</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89"/>
      <c r="AC38" s="1089"/>
      <c r="AD38" s="260"/>
      <c r="AE38" s="249"/>
      <c r="AF38" s="513"/>
      <c r="AG38" s="1813"/>
      <c r="AH38" s="254"/>
      <c r="AI38" s="2030"/>
      <c r="AJ38" s="273"/>
      <c r="AK38" s="649"/>
      <c r="AL38" s="250"/>
      <c r="AM38" s="647"/>
      <c r="AN38" s="2568"/>
      <c r="AO38" s="640"/>
    </row>
    <row r="39" spans="1:44" ht="15.6">
      <c r="A39" s="223"/>
      <c r="B39" s="1669" t="s">
        <v>1147</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f>+' Exhibit I State'!Q39+'Exhibit I Federal'!Q22</f>
        <v>11.4</v>
      </c>
      <c r="R39" s="260"/>
      <c r="S39" s="370">
        <f>+' Exhibit I State'!S39+'Exhibit I Federal'!S22</f>
        <v>8.1999999999999993</v>
      </c>
      <c r="T39" s="260"/>
      <c r="U39" s="370">
        <f>+' Exhibit I State'!U39+'Exhibit I Federal'!U22</f>
        <v>8.4</v>
      </c>
      <c r="V39" s="260"/>
      <c r="W39" s="370">
        <f>+' Exhibit I State'!W39+'Exhibit I Federal'!W22</f>
        <v>12.3</v>
      </c>
      <c r="X39" s="260"/>
      <c r="Y39" s="370"/>
      <c r="Z39" s="260"/>
      <c r="AA39" s="370"/>
      <c r="AB39" s="1089"/>
      <c r="AC39" s="1089">
        <v>0</v>
      </c>
      <c r="AD39" s="260"/>
      <c r="AE39" s="249"/>
      <c r="AF39" s="513">
        <f>ROUND(SUM(E39:AC39),1)</f>
        <v>105.3</v>
      </c>
      <c r="AG39" s="1813"/>
      <c r="AH39" s="254"/>
      <c r="AI39" s="2030">
        <f>+' Exhibit I State'!AG39+'Exhibit I Federal'!AG22</f>
        <v>91.9</v>
      </c>
      <c r="AJ39" s="273"/>
      <c r="AK39" s="649"/>
      <c r="AL39" s="250">
        <f t="shared" si="0"/>
        <v>13.4</v>
      </c>
      <c r="AM39" s="647"/>
      <c r="AN39" s="2568">
        <f>ROUND(IF(AI39=0,0,AL39/ABS(AI39)),3)</f>
        <v>0.14599999999999999</v>
      </c>
      <c r="AO39" s="640"/>
    </row>
    <row r="40" spans="1:44" ht="15.6">
      <c r="A40" s="223"/>
      <c r="B40" s="1669" t="s">
        <v>1242</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89"/>
      <c r="AC40" s="1089"/>
      <c r="AD40" s="260"/>
      <c r="AE40" s="249"/>
      <c r="AF40" s="513"/>
      <c r="AG40" s="1813"/>
      <c r="AH40" s="254"/>
      <c r="AI40" s="2030"/>
      <c r="AJ40" s="273"/>
      <c r="AK40" s="649"/>
      <c r="AL40" s="250"/>
      <c r="AM40" s="647"/>
      <c r="AN40" s="2568"/>
      <c r="AO40" s="640"/>
    </row>
    <row r="41" spans="1:44" ht="15.6">
      <c r="A41" s="223"/>
      <c r="B41" s="1669" t="s">
        <v>1151</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f>+' Exhibit I State'!Q41+'Exhibit I Federal'!Q24</f>
        <v>1.8</v>
      </c>
      <c r="R41" s="260"/>
      <c r="S41" s="370">
        <f>+' Exhibit I State'!S41+'Exhibit I Federal'!S24</f>
        <v>1.1000000000000001</v>
      </c>
      <c r="T41" s="260"/>
      <c r="U41" s="370">
        <f>+' Exhibit I State'!U41+'Exhibit I Federal'!U24</f>
        <v>0.6</v>
      </c>
      <c r="V41" s="260"/>
      <c r="W41" s="370">
        <f>+' Exhibit I State'!W41+'Exhibit I Federal'!W24</f>
        <v>0.3</v>
      </c>
      <c r="X41" s="260"/>
      <c r="Y41" s="370"/>
      <c r="Z41" s="260"/>
      <c r="AA41" s="370"/>
      <c r="AB41" s="1089"/>
      <c r="AC41" s="1089">
        <v>0</v>
      </c>
      <c r="AD41" s="260"/>
      <c r="AE41" s="249"/>
      <c r="AF41" s="513">
        <f>ROUND(SUM(E41:AC41),1)</f>
        <v>26.2</v>
      </c>
      <c r="AG41" s="1813"/>
      <c r="AH41" s="254"/>
      <c r="AI41" s="2030">
        <f>+' Exhibit I State'!AG41+'Exhibit I Federal'!AG24</f>
        <v>33.299999999999997</v>
      </c>
      <c r="AJ41" s="273"/>
      <c r="AK41" s="649"/>
      <c r="AL41" s="250">
        <f t="shared" si="0"/>
        <v>-7.1</v>
      </c>
      <c r="AM41" s="647"/>
      <c r="AN41" s="2568">
        <f>ROUND(IF(AI41=0,0,AL41/ABS(AI41)),3)</f>
        <v>-0.21299999999999999</v>
      </c>
      <c r="AO41" s="640"/>
    </row>
    <row r="42" spans="1:44" ht="15.6">
      <c r="A42" s="223"/>
      <c r="B42" s="1669" t="s">
        <v>1310</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f>+' Exhibit I State'!S42+'Exhibit I Federal'!S25</f>
        <v>0</v>
      </c>
      <c r="T42" s="260"/>
      <c r="U42" s="370">
        <f>+' Exhibit I State'!U42+'Exhibit I Federal'!U25</f>
        <v>0</v>
      </c>
      <c r="V42" s="260"/>
      <c r="W42" s="370">
        <f>+' Exhibit I State'!W42+'Exhibit I Federal'!W25</f>
        <v>0</v>
      </c>
      <c r="X42" s="260"/>
      <c r="Y42" s="370"/>
      <c r="Z42" s="260"/>
      <c r="AA42" s="370"/>
      <c r="AB42" s="1089"/>
      <c r="AC42" s="1089">
        <v>0</v>
      </c>
      <c r="AD42" s="260"/>
      <c r="AE42" s="249"/>
      <c r="AF42" s="513">
        <f>ROUND(SUM(E42:AC42),1)</f>
        <v>0</v>
      </c>
      <c r="AG42" s="2639"/>
      <c r="AH42" s="254"/>
      <c r="AI42" s="2030">
        <f>+' Exhibit I State'!AG42+'Exhibit I Federal'!AG25</f>
        <v>0</v>
      </c>
      <c r="AJ42" s="273"/>
      <c r="AK42" s="649"/>
      <c r="AL42" s="250">
        <f>ROUND(SUM(+AF42-AI42),1)</f>
        <v>0</v>
      </c>
      <c r="AM42" s="647"/>
      <c r="AN42" s="2568">
        <f>ROUND(IF(AI42=0,0,AL42/ABS(AI42)),3)</f>
        <v>0</v>
      </c>
      <c r="AO42" s="640"/>
    </row>
    <row r="43" spans="1:44" ht="15.6">
      <c r="A43" s="223"/>
      <c r="B43" s="1669" t="s">
        <v>1154</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f>+' Exhibit I State'!Q43+'Exhibit I Federal'!Q26</f>
        <v>56.4</v>
      </c>
      <c r="R43" s="260"/>
      <c r="S43" s="370">
        <f>+' Exhibit I State'!S43+'Exhibit I Federal'!S26</f>
        <v>59.5</v>
      </c>
      <c r="T43" s="260"/>
      <c r="U43" s="370">
        <f>+' Exhibit I State'!U43+'Exhibit I Federal'!U26</f>
        <v>59.9</v>
      </c>
      <c r="V43" s="260"/>
      <c r="W43" s="370">
        <f>+' Exhibit I State'!W43+'Exhibit I Federal'!W26</f>
        <v>54.2</v>
      </c>
      <c r="X43" s="260"/>
      <c r="Y43" s="370"/>
      <c r="Z43" s="260"/>
      <c r="AA43" s="370"/>
      <c r="AB43" s="1089"/>
      <c r="AC43" s="1089">
        <v>0</v>
      </c>
      <c r="AD43" s="260"/>
      <c r="AE43" s="249"/>
      <c r="AF43" s="513">
        <f t="shared" ref="AF43:AF60" si="1">ROUND(SUM(E43:AA43),1)</f>
        <v>619.5</v>
      </c>
      <c r="AG43" s="1813"/>
      <c r="AH43" s="254"/>
      <c r="AI43" s="2030">
        <f>+' Exhibit I State'!AG43+'Exhibit I Federal'!AG26</f>
        <v>594.1</v>
      </c>
      <c r="AJ43" s="273"/>
      <c r="AK43" s="649"/>
      <c r="AL43" s="250">
        <f t="shared" si="0"/>
        <v>25.4</v>
      </c>
      <c r="AM43" s="647"/>
      <c r="AN43" s="2568">
        <f>ROUND(IF(AI43=0,0,AL43/ABS(AI43)),3)</f>
        <v>4.2999999999999997E-2</v>
      </c>
      <c r="AO43" s="640"/>
    </row>
    <row r="44" spans="1:44" ht="15.6">
      <c r="A44" s="223"/>
      <c r="B44" s="1669" t="s">
        <v>1155</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f>+' Exhibit I State'!Q44+'Exhibit I Federal'!Q27</f>
        <v>0.2</v>
      </c>
      <c r="R44" s="260"/>
      <c r="S44" s="370">
        <f>+' Exhibit I State'!S44+'Exhibit I Federal'!S27</f>
        <v>0</v>
      </c>
      <c r="T44" s="260"/>
      <c r="U44" s="370">
        <f>+' Exhibit I State'!U44+'Exhibit I Federal'!U27</f>
        <v>0</v>
      </c>
      <c r="V44" s="260"/>
      <c r="W44" s="370">
        <f>+' Exhibit I State'!W44+'Exhibit I Federal'!W27</f>
        <v>0</v>
      </c>
      <c r="X44" s="260"/>
      <c r="Y44" s="370"/>
      <c r="Z44" s="260"/>
      <c r="AA44" s="370"/>
      <c r="AB44" s="1089"/>
      <c r="AC44" s="1089">
        <v>0</v>
      </c>
      <c r="AD44" s="260"/>
      <c r="AE44" s="249"/>
      <c r="AF44" s="513">
        <f t="shared" si="1"/>
        <v>24.1</v>
      </c>
      <c r="AG44" s="1813"/>
      <c r="AH44" s="254"/>
      <c r="AI44" s="2941">
        <f>+' Exhibit I State'!AG44+'Exhibit I Federal'!AG27</f>
        <v>26.9</v>
      </c>
      <c r="AJ44" s="273"/>
      <c r="AK44" s="649"/>
      <c r="AL44" s="1205">
        <f>ROUND(SUM(+AF44-AI44),1)</f>
        <v>-2.8</v>
      </c>
      <c r="AM44" s="1740"/>
      <c r="AN44" s="2568">
        <f>ROUND(IF(AI44=0,1,AL44/ABS(AI44)),3)</f>
        <v>-0.104</v>
      </c>
      <c r="AO44" s="640"/>
    </row>
    <row r="45" spans="1:44" ht="15.6">
      <c r="A45" s="223"/>
      <c r="B45" s="1669" t="s">
        <v>1129</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f>+' Exhibit I State'!Q45+'Exhibit I Federal'!Q28</f>
        <v>2.2000000000000002</v>
      </c>
      <c r="R45" s="260"/>
      <c r="S45" s="370">
        <f>+' Exhibit I State'!S45+'Exhibit I Federal'!S28</f>
        <v>1.9</v>
      </c>
      <c r="T45" s="260"/>
      <c r="U45" s="370">
        <f>+' Exhibit I State'!U45+'Exhibit I Federal'!U28</f>
        <v>1.9</v>
      </c>
      <c r="V45" s="260"/>
      <c r="W45" s="370">
        <f>+' Exhibit I State'!W45+'Exhibit I Federal'!W28</f>
        <v>2.2000000000000002</v>
      </c>
      <c r="X45" s="260"/>
      <c r="Y45" s="370"/>
      <c r="Z45" s="260"/>
      <c r="AA45" s="370"/>
      <c r="AB45" s="1089"/>
      <c r="AC45" s="1089">
        <v>0</v>
      </c>
      <c r="AD45" s="260"/>
      <c r="AE45" s="249"/>
      <c r="AF45" s="513">
        <f t="shared" si="1"/>
        <v>23.9</v>
      </c>
      <c r="AG45" s="1813"/>
      <c r="AH45" s="254"/>
      <c r="AI45" s="2030">
        <f>+' Exhibit I State'!AG45+'Exhibit I Federal'!AG28</f>
        <v>27.7</v>
      </c>
      <c r="AJ45" s="273"/>
      <c r="AK45" s="649"/>
      <c r="AL45" s="250">
        <f t="shared" si="0"/>
        <v>-3.8</v>
      </c>
      <c r="AM45" s="647"/>
      <c r="AN45" s="2636">
        <f>ROUND(IF(AI45=0,1,AL45/ABS(AI45)),3)</f>
        <v>-0.13700000000000001</v>
      </c>
      <c r="AO45" s="640"/>
    </row>
    <row r="46" spans="1:44" ht="15.6">
      <c r="A46" s="223"/>
      <c r="B46" s="1669" t="s">
        <v>1130</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f>+' Exhibit I State'!Q46+'Exhibit I Federal'!Q29</f>
        <v>0.5</v>
      </c>
      <c r="R46" s="260"/>
      <c r="S46" s="370">
        <f>+' Exhibit I State'!S46+'Exhibit I Federal'!S29</f>
        <v>0.6</v>
      </c>
      <c r="T46" s="260"/>
      <c r="U46" s="370">
        <f>+' Exhibit I State'!U46+'Exhibit I Federal'!U29</f>
        <v>0.5</v>
      </c>
      <c r="V46" s="260"/>
      <c r="W46" s="370">
        <f>+' Exhibit I State'!W46+'Exhibit I Federal'!W29</f>
        <v>0.6</v>
      </c>
      <c r="X46" s="260"/>
      <c r="Y46" s="370"/>
      <c r="Z46" s="260"/>
      <c r="AA46" s="370"/>
      <c r="AB46" s="1089"/>
      <c r="AC46" s="1089">
        <v>0</v>
      </c>
      <c r="AD46" s="260"/>
      <c r="AE46" s="249"/>
      <c r="AF46" s="513">
        <f t="shared" si="1"/>
        <v>5.2</v>
      </c>
      <c r="AG46" s="1813"/>
      <c r="AH46" s="254"/>
      <c r="AI46" s="2030">
        <f>+' Exhibit I State'!AG46+'Exhibit I Federal'!AG29</f>
        <v>2</v>
      </c>
      <c r="AJ46" s="273"/>
      <c r="AK46" s="649"/>
      <c r="AL46" s="250">
        <f>ROUND(SUM(+AF46-AI46),1)</f>
        <v>3.2</v>
      </c>
      <c r="AM46" s="647"/>
      <c r="AN46" s="2568">
        <f>ROUND(IF(AI46=0,1,AL46/ABS(AI46)),3)</f>
        <v>1.6</v>
      </c>
      <c r="AO46" s="640"/>
    </row>
    <row r="47" spans="1:44" ht="15.6">
      <c r="A47" s="223"/>
      <c r="B47" s="1669" t="s">
        <v>1240</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89"/>
      <c r="AC47" s="1089"/>
      <c r="AD47" s="260"/>
      <c r="AE47" s="249"/>
      <c r="AF47" s="513"/>
      <c r="AG47" s="1813"/>
      <c r="AH47" s="254"/>
      <c r="AI47" s="2030"/>
      <c r="AJ47" s="273"/>
      <c r="AK47" s="649"/>
      <c r="AL47" s="250"/>
      <c r="AM47" s="647"/>
      <c r="AN47" s="45"/>
      <c r="AO47" s="640"/>
    </row>
    <row r="48" spans="1:44" ht="15.6">
      <c r="A48" s="223"/>
      <c r="B48" s="1669" t="s">
        <v>1159</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f>+' Exhibit I State'!Q48+'Exhibit I Federal'!Q31</f>
        <v>876.3</v>
      </c>
      <c r="R48" s="260"/>
      <c r="S48" s="370">
        <f>+' Exhibit I State'!S48+'Exhibit I Federal'!S31</f>
        <v>28.3</v>
      </c>
      <c r="T48" s="260"/>
      <c r="U48" s="370">
        <f>+' Exhibit I State'!U48+'Exhibit I Federal'!U31</f>
        <v>1751.2</v>
      </c>
      <c r="V48" s="260"/>
      <c r="W48" s="370">
        <f>+' Exhibit I State'!W48+'Exhibit I Federal'!W31</f>
        <v>143</v>
      </c>
      <c r="X48" s="260"/>
      <c r="Y48" s="370"/>
      <c r="Z48" s="260"/>
      <c r="AA48" s="370"/>
      <c r="AB48" s="1089"/>
      <c r="AC48" s="1089">
        <v>0</v>
      </c>
      <c r="AD48" s="260"/>
      <c r="AE48" s="249"/>
      <c r="AF48" s="513">
        <f t="shared" si="1"/>
        <v>4076.6</v>
      </c>
      <c r="AG48" s="1813"/>
      <c r="AH48" s="254"/>
      <c r="AI48" s="2030">
        <f>+' Exhibit I State'!AG48+'Exhibit I Federal'!AG31</f>
        <v>1666.5</v>
      </c>
      <c r="AJ48" s="273"/>
      <c r="AK48" s="649"/>
      <c r="AL48" s="250">
        <f t="shared" si="0"/>
        <v>2410.1</v>
      </c>
      <c r="AM48" s="647"/>
      <c r="AN48" s="2568">
        <f>ROUND(IF(AI48=0,0,AL48/ABS(AI48)),3)</f>
        <v>1.446</v>
      </c>
      <c r="AO48" s="640"/>
    </row>
    <row r="49" spans="1:41" ht="15.6">
      <c r="A49" s="223"/>
      <c r="B49" s="1669" t="s">
        <v>1161</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f>+' Exhibit I State'!S49+'Exhibit I Federal'!S32</f>
        <v>0</v>
      </c>
      <c r="T49" s="260"/>
      <c r="U49" s="370">
        <f>+' Exhibit I State'!U49+'Exhibit I Federal'!U32</f>
        <v>0</v>
      </c>
      <c r="V49" s="260"/>
      <c r="W49" s="370">
        <f>+' Exhibit I State'!W49+'Exhibit I Federal'!W32</f>
        <v>0</v>
      </c>
      <c r="X49" s="260"/>
      <c r="Y49" s="370"/>
      <c r="Z49" s="260"/>
      <c r="AA49" s="370"/>
      <c r="AB49" s="1089"/>
      <c r="AC49" s="1089">
        <v>0</v>
      </c>
      <c r="AD49" s="260"/>
      <c r="AE49" s="249"/>
      <c r="AF49" s="513">
        <f t="shared" si="1"/>
        <v>0</v>
      </c>
      <c r="AG49" s="2639"/>
      <c r="AH49" s="254"/>
      <c r="AI49" s="2030">
        <f>+' Exhibit I State'!AG49+'Exhibit I Federal'!AG32</f>
        <v>0</v>
      </c>
      <c r="AJ49" s="273"/>
      <c r="AK49" s="649"/>
      <c r="AL49" s="250">
        <f t="shared" si="0"/>
        <v>0</v>
      </c>
      <c r="AM49" s="647"/>
      <c r="AN49" s="2568">
        <f>ROUND(IF(AI49=0,0,AL49/ABS(AI49)),3)</f>
        <v>0</v>
      </c>
      <c r="AO49" s="640"/>
    </row>
    <row r="50" spans="1:41" ht="15.6">
      <c r="A50" s="223"/>
      <c r="B50" s="1669" t="s">
        <v>1162</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f>+' Exhibit I State'!Q50+'Exhibit I Federal'!Q33</f>
        <v>18</v>
      </c>
      <c r="R50" s="260"/>
      <c r="S50" s="370">
        <f>+' Exhibit I State'!S50+'Exhibit I Federal'!S33</f>
        <v>0</v>
      </c>
      <c r="T50" s="260"/>
      <c r="U50" s="370">
        <f>+' Exhibit I State'!U50+'Exhibit I Federal'!U33</f>
        <v>0.1</v>
      </c>
      <c r="V50" s="260"/>
      <c r="W50" s="370">
        <f>+' Exhibit I State'!W50+'Exhibit I Federal'!W33</f>
        <v>3.6</v>
      </c>
      <c r="X50" s="260"/>
      <c r="Y50" s="370"/>
      <c r="Z50" s="260"/>
      <c r="AA50" s="370"/>
      <c r="AB50" s="1089"/>
      <c r="AC50" s="1089">
        <v>0</v>
      </c>
      <c r="AD50" s="260"/>
      <c r="AE50" s="249"/>
      <c r="AF50" s="513">
        <f t="shared" si="1"/>
        <v>46.6</v>
      </c>
      <c r="AG50" s="1813"/>
      <c r="AH50" s="254"/>
      <c r="AI50" s="2030">
        <f>+' Exhibit I State'!AG50+'Exhibit I Federal'!AG33</f>
        <v>6.9</v>
      </c>
      <c r="AJ50" s="273"/>
      <c r="AK50" s="649"/>
      <c r="AL50" s="250">
        <f t="shared" si="0"/>
        <v>39.700000000000003</v>
      </c>
      <c r="AM50" s="647"/>
      <c r="AN50" s="2616">
        <f>ROUND(IF(AI50=0,1,AL50/ABS(AI50)),3)</f>
        <v>5.7539999999999996</v>
      </c>
      <c r="AO50" s="640"/>
    </row>
    <row r="51" spans="1:41" ht="15.6">
      <c r="A51" s="223"/>
      <c r="B51" s="1669" t="s">
        <v>1141</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f>+' Exhibit I State'!Q51+'Exhibit I Federal'!Q34</f>
        <v>0.4</v>
      </c>
      <c r="R51" s="260"/>
      <c r="S51" s="370">
        <f>+' Exhibit I State'!S51+'Exhibit I Federal'!S34</f>
        <v>0.1</v>
      </c>
      <c r="T51" s="260"/>
      <c r="U51" s="370">
        <f>+' Exhibit I State'!U51+'Exhibit I Federal'!U34</f>
        <v>0.1</v>
      </c>
      <c r="V51" s="260"/>
      <c r="W51" s="370">
        <f>+' Exhibit I State'!W51+'Exhibit I Federal'!W34</f>
        <v>0</v>
      </c>
      <c r="X51" s="260"/>
      <c r="Y51" s="370"/>
      <c r="Z51" s="260"/>
      <c r="AA51" s="370"/>
      <c r="AB51" s="1089"/>
      <c r="AC51" s="1089">
        <v>0</v>
      </c>
      <c r="AD51" s="260"/>
      <c r="AE51" s="249"/>
      <c r="AF51" s="513">
        <f t="shared" si="1"/>
        <v>1.3</v>
      </c>
      <c r="AG51" s="1813"/>
      <c r="AH51" s="254"/>
      <c r="AI51" s="2030">
        <f>+' Exhibit I State'!AG51+'Exhibit I Federal'!AG34</f>
        <v>1.8</v>
      </c>
      <c r="AJ51" s="273"/>
      <c r="AK51" s="649"/>
      <c r="AL51" s="250">
        <f t="shared" si="0"/>
        <v>-0.5</v>
      </c>
      <c r="AM51" s="647"/>
      <c r="AN51" s="2568">
        <f>ROUND(IF(AI51=0,1,AL51/ABS(AI51)),3)</f>
        <v>-0.27800000000000002</v>
      </c>
      <c r="AO51" s="640"/>
    </row>
    <row r="52" spans="1:41" ht="15.6">
      <c r="A52" s="223"/>
      <c r="B52" s="1669" t="s">
        <v>1142</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f>+' Exhibit I State'!Q52+'Exhibit I Federal'!Q35</f>
        <v>0.5</v>
      </c>
      <c r="R52" s="260"/>
      <c r="S52" s="370">
        <f>+' Exhibit I State'!S52+'Exhibit I Federal'!S35</f>
        <v>1</v>
      </c>
      <c r="T52" s="260"/>
      <c r="U52" s="370">
        <f>+' Exhibit I State'!U52+'Exhibit I Federal'!U35</f>
        <v>0.6</v>
      </c>
      <c r="V52" s="260"/>
      <c r="W52" s="370">
        <f>+' Exhibit I State'!W52+'Exhibit I Federal'!W35</f>
        <v>2.4</v>
      </c>
      <c r="X52" s="260"/>
      <c r="Y52" s="370"/>
      <c r="Z52" s="260"/>
      <c r="AA52" s="370"/>
      <c r="AB52" s="1089"/>
      <c r="AC52" s="1089">
        <v>0</v>
      </c>
      <c r="AD52" s="260"/>
      <c r="AE52" s="249"/>
      <c r="AF52" s="513">
        <f t="shared" si="1"/>
        <v>10.4</v>
      </c>
      <c r="AG52" s="1813"/>
      <c r="AH52" s="254"/>
      <c r="AI52" s="2897">
        <f>+' Exhibit I State'!AG52+'Exhibit I Federal'!AG35</f>
        <v>6.3000000000000007</v>
      </c>
      <c r="AJ52" s="273"/>
      <c r="AK52" s="649"/>
      <c r="AL52" s="250">
        <f t="shared" si="0"/>
        <v>4.0999999999999996</v>
      </c>
      <c r="AM52" s="647"/>
      <c r="AN52" s="45">
        <f>ROUND(IF(AI52=0,0,AL52/ABS(AI52)),3)</f>
        <v>0.65100000000000002</v>
      </c>
      <c r="AO52" s="640"/>
    </row>
    <row r="53" spans="1:41" ht="15.6">
      <c r="A53" s="223"/>
      <c r="B53" s="1669" t="s">
        <v>1241</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89"/>
      <c r="AC53" s="1089"/>
      <c r="AD53" s="260"/>
      <c r="AE53" s="249"/>
      <c r="AF53" s="513"/>
      <c r="AG53" s="1813"/>
      <c r="AH53" s="254"/>
      <c r="AI53" s="2030"/>
      <c r="AJ53" s="273"/>
      <c r="AK53" s="649"/>
      <c r="AL53" s="250"/>
      <c r="AM53" s="647"/>
      <c r="AN53" s="45"/>
      <c r="AO53" s="640"/>
    </row>
    <row r="54" spans="1:41" ht="15.6">
      <c r="A54" s="223"/>
      <c r="B54" s="1669" t="s">
        <v>1163</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f>+' Exhibit I State'!S54+'Exhibit I Federal'!S37</f>
        <v>0</v>
      </c>
      <c r="T54" s="260"/>
      <c r="U54" s="370">
        <f>+' Exhibit I State'!U54+'Exhibit I Federal'!U37</f>
        <v>0</v>
      </c>
      <c r="V54" s="260"/>
      <c r="W54" s="370">
        <f>+' Exhibit I State'!W54+'Exhibit I Federal'!W37</f>
        <v>0</v>
      </c>
      <c r="X54" s="260"/>
      <c r="Y54" s="370"/>
      <c r="Z54" s="260"/>
      <c r="AA54" s="370"/>
      <c r="AB54" s="1089"/>
      <c r="AC54" s="1089">
        <v>0</v>
      </c>
      <c r="AD54" s="260"/>
      <c r="AE54" s="249"/>
      <c r="AF54" s="513">
        <f t="shared" si="1"/>
        <v>0</v>
      </c>
      <c r="AG54" s="1813"/>
      <c r="AH54" s="254"/>
      <c r="AI54" s="2030">
        <f>+' Exhibit I State'!AG54+'Exhibit I Federal'!AG37</f>
        <v>0</v>
      </c>
      <c r="AJ54" s="273"/>
      <c r="AK54" s="649"/>
      <c r="AL54" s="1205">
        <f>ROUND(SUM(+AF54-AI54),1)</f>
        <v>0</v>
      </c>
      <c r="AM54" s="1740"/>
      <c r="AN54" s="2568">
        <f>ROUND(IF(AI54=0,0,AL54/ABS(AI54)),3)</f>
        <v>0</v>
      </c>
      <c r="AO54" s="640"/>
    </row>
    <row r="55" spans="1:41" ht="15.6">
      <c r="A55" s="223"/>
      <c r="B55" s="1669" t="s">
        <v>1165</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f>+' Exhibit I State'!Q55+'Exhibit I Federal'!Q38</f>
        <v>0.5</v>
      </c>
      <c r="R55" s="260"/>
      <c r="S55" s="370">
        <f>+' Exhibit I State'!S55+'Exhibit I Federal'!S38</f>
        <v>0.2</v>
      </c>
      <c r="T55" s="260"/>
      <c r="U55" s="370">
        <f>+' Exhibit I State'!U55+'Exhibit I Federal'!U38</f>
        <v>1</v>
      </c>
      <c r="V55" s="260"/>
      <c r="W55" s="370">
        <f>+' Exhibit I State'!W55+'Exhibit I Federal'!W38</f>
        <v>0.7</v>
      </c>
      <c r="X55" s="260"/>
      <c r="Y55" s="370"/>
      <c r="Z55" s="260"/>
      <c r="AA55" s="370"/>
      <c r="AB55" s="1089"/>
      <c r="AC55" s="1089">
        <v>0</v>
      </c>
      <c r="AD55" s="260"/>
      <c r="AE55" s="249"/>
      <c r="AF55" s="513">
        <f t="shared" si="1"/>
        <v>15.7</v>
      </c>
      <c r="AG55" s="1813"/>
      <c r="AH55" s="254"/>
      <c r="AI55" s="2030">
        <f>+' Exhibit I State'!AG55+'Exhibit I Federal'!AG38</f>
        <v>18.399999999999999</v>
      </c>
      <c r="AJ55" s="273"/>
      <c r="AK55" s="649"/>
      <c r="AL55" s="1205">
        <f>ROUND(SUM(+AF55-AI55),1)</f>
        <v>-2.7</v>
      </c>
      <c r="AM55" s="1740"/>
      <c r="AN55" s="2568">
        <f>ROUND(IF(AI55=0,1,AL55/ABS(AI55)),3)</f>
        <v>-0.14699999999999999</v>
      </c>
      <c r="AO55" s="640"/>
    </row>
    <row r="56" spans="1:41" ht="15.6">
      <c r="A56" s="223"/>
      <c r="B56" s="1669" t="s">
        <v>1166</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f>+' Exhibit I State'!S56+'Exhibit I Federal'!S39</f>
        <v>0</v>
      </c>
      <c r="T56" s="260"/>
      <c r="U56" s="370">
        <f>+' Exhibit I State'!U56+'Exhibit I Federal'!U39</f>
        <v>0</v>
      </c>
      <c r="V56" s="260"/>
      <c r="W56" s="370">
        <f>+' Exhibit I State'!W56+'Exhibit I Federal'!W39</f>
        <v>0.2</v>
      </c>
      <c r="X56" s="260"/>
      <c r="Y56" s="370"/>
      <c r="Z56" s="260"/>
      <c r="AA56" s="370"/>
      <c r="AB56" s="1089"/>
      <c r="AC56" s="1089">
        <v>0</v>
      </c>
      <c r="AD56" s="260"/>
      <c r="AE56" s="249"/>
      <c r="AF56" s="513">
        <f t="shared" si="1"/>
        <v>0.2</v>
      </c>
      <c r="AG56" s="2954"/>
      <c r="AH56" s="254"/>
      <c r="AI56" s="2030">
        <f>+' Exhibit I State'!AG56+'Exhibit I Federal'!AG39</f>
        <v>0</v>
      </c>
      <c r="AJ56" s="273"/>
      <c r="AK56" s="649"/>
      <c r="AL56" s="1205">
        <f>ROUND(SUM(+AF56-AI56),1)</f>
        <v>0.2</v>
      </c>
      <c r="AM56" s="1740"/>
      <c r="AN56" s="2568">
        <f>ROUND(IF(AI56=0,1,AL56/ABS(AI56)),3)</f>
        <v>1</v>
      </c>
      <c r="AO56" s="640"/>
    </row>
    <row r="57" spans="1:41" ht="15.6">
      <c r="A57" s="223"/>
      <c r="B57" s="1669" t="s">
        <v>1168</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f>+' Exhibit I State'!Q57</f>
        <v>0</v>
      </c>
      <c r="R57" s="260"/>
      <c r="S57" s="370">
        <f>+' Exhibit I State'!S57</f>
        <v>0</v>
      </c>
      <c r="T57" s="260"/>
      <c r="U57" s="370">
        <f>+' Exhibit I State'!U57</f>
        <v>0.1</v>
      </c>
      <c r="V57" s="260"/>
      <c r="W57" s="370">
        <f>+' Exhibit I State'!W57</f>
        <v>0</v>
      </c>
      <c r="X57" s="260"/>
      <c r="Y57" s="370"/>
      <c r="Z57" s="260"/>
      <c r="AA57" s="370"/>
      <c r="AB57" s="1089"/>
      <c r="AC57" s="1089">
        <v>0</v>
      </c>
      <c r="AD57" s="260"/>
      <c r="AE57" s="249"/>
      <c r="AF57" s="513">
        <f>+' Exhibit I State'!AD57</f>
        <v>0.3</v>
      </c>
      <c r="AG57" s="2898"/>
      <c r="AH57" s="254"/>
      <c r="AI57" s="2030">
        <f>+' Exhibit I State'!AG57</f>
        <v>0.4</v>
      </c>
      <c r="AJ57" s="273"/>
      <c r="AK57" s="649"/>
      <c r="AL57" s="1205">
        <f>ROUND(SUM(+AF57-AI57),1)</f>
        <v>-0.1</v>
      </c>
      <c r="AM57" s="1740"/>
      <c r="AN57" s="2568">
        <f>ROUND(IF(AI57=0,1,AL57/ABS(AI57)),3)</f>
        <v>-0.25</v>
      </c>
      <c r="AO57" s="640"/>
    </row>
    <row r="58" spans="1:41" ht="15.6">
      <c r="A58" s="223"/>
      <c r="B58" s="1669" t="s">
        <v>1169</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f>+' Exhibit I State'!Q58+'Exhibit I Federal'!Q40</f>
        <v>1.3</v>
      </c>
      <c r="R58" s="260"/>
      <c r="S58" s="370">
        <f>+' Exhibit I State'!S58+'Exhibit I Federal'!S40</f>
        <v>1.7</v>
      </c>
      <c r="T58" s="260"/>
      <c r="U58" s="370">
        <f>+' Exhibit I State'!U58+'Exhibit I Federal'!U40</f>
        <v>1.4</v>
      </c>
      <c r="V58" s="260"/>
      <c r="W58" s="370">
        <f>+' Exhibit I State'!W58+'Exhibit I Federal'!W40</f>
        <v>0.2</v>
      </c>
      <c r="X58" s="260"/>
      <c r="Y58" s="370"/>
      <c r="Z58" s="260"/>
      <c r="AA58" s="370"/>
      <c r="AB58" s="1089"/>
      <c r="AC58" s="1089">
        <v>0</v>
      </c>
      <c r="AD58" s="260"/>
      <c r="AE58" s="249"/>
      <c r="AF58" s="513">
        <f t="shared" si="1"/>
        <v>5.4</v>
      </c>
      <c r="AG58" s="1813"/>
      <c r="AH58" s="254"/>
      <c r="AI58" s="2030">
        <f>+' Exhibit I State'!AG58+'Exhibit I Federal'!AG40</f>
        <v>8.5</v>
      </c>
      <c r="AJ58" s="273"/>
      <c r="AK58" s="649"/>
      <c r="AL58" s="250">
        <f t="shared" si="0"/>
        <v>-3.1</v>
      </c>
      <c r="AM58" s="647"/>
      <c r="AN58" s="2582">
        <f>ROUND(IF(AI58=0,1,AL58/ABS(AI58)),3)</f>
        <v>-0.36499999999999999</v>
      </c>
      <c r="AO58" s="640"/>
    </row>
    <row r="59" spans="1:41" ht="15.6">
      <c r="A59" s="223"/>
      <c r="B59" s="1669" t="s">
        <v>1171</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f>+' Exhibit I State'!Q59+'Exhibit I Federal'!Q41</f>
        <v>0.8</v>
      </c>
      <c r="R59" s="260"/>
      <c r="S59" s="370">
        <f>+' Exhibit I State'!S59+'Exhibit I Federal'!S41</f>
        <v>0.9</v>
      </c>
      <c r="T59" s="260"/>
      <c r="U59" s="370">
        <f>+' Exhibit I State'!U59+'Exhibit I Federal'!U41</f>
        <v>0.9</v>
      </c>
      <c r="V59" s="260"/>
      <c r="W59" s="370">
        <f>+' Exhibit I State'!W59+'Exhibit I Federal'!W41</f>
        <v>3.4</v>
      </c>
      <c r="X59" s="260"/>
      <c r="Y59" s="370"/>
      <c r="Z59" s="260"/>
      <c r="AA59" s="370"/>
      <c r="AB59" s="1089"/>
      <c r="AC59" s="1089">
        <v>0</v>
      </c>
      <c r="AD59" s="260"/>
      <c r="AE59" s="249"/>
      <c r="AF59" s="1966">
        <f t="shared" si="1"/>
        <v>20.399999999999999</v>
      </c>
      <c r="AG59" s="1813"/>
      <c r="AH59" s="254"/>
      <c r="AI59" s="2030">
        <f>+' Exhibit I State'!AG59+'Exhibit I Federal'!AG41</f>
        <v>14.9</v>
      </c>
      <c r="AJ59" s="273"/>
      <c r="AK59" s="649"/>
      <c r="AL59" s="250">
        <f t="shared" si="0"/>
        <v>5.5</v>
      </c>
      <c r="AM59" s="647"/>
      <c r="AN59" s="2468">
        <f>ROUND(IF(AI59=0,0,AL59/ABS(AI59)),3)</f>
        <v>0.36899999999999999</v>
      </c>
      <c r="AO59" s="640"/>
    </row>
    <row r="60" spans="1:41" ht="15.6">
      <c r="A60" s="223"/>
      <c r="B60" s="1669" t="s">
        <v>1143</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f>+' Exhibit I State'!Q60+'Exhibit I Federal'!Q42</f>
        <v>0.5</v>
      </c>
      <c r="R60" s="260"/>
      <c r="S60" s="370">
        <f>+' Exhibit I State'!S60+'Exhibit I Federal'!S42</f>
        <v>0.4</v>
      </c>
      <c r="T60" s="260"/>
      <c r="U60" s="370">
        <f>+' Exhibit I State'!U60+'Exhibit I Federal'!U42</f>
        <v>0.2</v>
      </c>
      <c r="V60" s="260"/>
      <c r="W60" s="370">
        <f>+' Exhibit I State'!W60+'Exhibit I Federal'!W42</f>
        <v>0</v>
      </c>
      <c r="X60" s="260"/>
      <c r="Y60" s="370"/>
      <c r="Z60" s="260"/>
      <c r="AA60" s="370"/>
      <c r="AB60" s="1089"/>
      <c r="AC60" s="1089">
        <v>0</v>
      </c>
      <c r="AD60" s="260"/>
      <c r="AE60" s="249"/>
      <c r="AF60" s="513">
        <f t="shared" si="1"/>
        <v>13.6</v>
      </c>
      <c r="AG60" s="1813"/>
      <c r="AH60" s="254"/>
      <c r="AI60" s="2030">
        <f>+' Exhibit I State'!AG60+'Exhibit I Federal'!AG42</f>
        <v>2.4</v>
      </c>
      <c r="AJ60" s="273"/>
      <c r="AK60" s="649"/>
      <c r="AL60" s="250">
        <f t="shared" si="0"/>
        <v>11.2</v>
      </c>
      <c r="AM60" s="647"/>
      <c r="AN60" s="2636">
        <f>ROUND(IF(AI60=0,1,AL60/ABS(AI60)),3)</f>
        <v>4.6669999999999998</v>
      </c>
      <c r="AO60" s="640"/>
    </row>
    <row r="61" spans="1:41" s="645" customFormat="1" ht="15.6">
      <c r="A61" s="221"/>
      <c r="B61" s="583" t="s">
        <v>1290</v>
      </c>
      <c r="C61" s="221"/>
      <c r="D61" s="221"/>
      <c r="E61" s="480">
        <f>ROUND(SUM(E37:E60),1)</f>
        <v>92.6</v>
      </c>
      <c r="F61" s="1719"/>
      <c r="G61" s="480">
        <f>ROUND(SUM(G37:G60),1)</f>
        <v>94.1</v>
      </c>
      <c r="H61" s="1928"/>
      <c r="I61" s="480">
        <f>ROUND(SUM(I37:I60),1)</f>
        <v>191</v>
      </c>
      <c r="J61" s="1719"/>
      <c r="K61" s="480">
        <f>ROUND(SUM(K37:K60),1)</f>
        <v>1212.2</v>
      </c>
      <c r="L61" s="1719"/>
      <c r="M61" s="480">
        <f>ROUND(SUM(M37:M60),1)</f>
        <v>155.69999999999999</v>
      </c>
      <c r="N61" s="1719"/>
      <c r="O61" s="480">
        <f>ROUND(SUM(O37:O60),1)</f>
        <v>147.4</v>
      </c>
      <c r="P61" s="1719"/>
      <c r="Q61" s="480">
        <f>ROUND(SUM(Q37:Q60),1)</f>
        <v>970.8</v>
      </c>
      <c r="R61" s="1719"/>
      <c r="S61" s="480">
        <f>ROUND(SUM(S37:S60),1)</f>
        <v>103.9</v>
      </c>
      <c r="T61" s="1719"/>
      <c r="U61" s="480">
        <f>ROUND(SUM(U37:U60),1)</f>
        <v>1826.9</v>
      </c>
      <c r="V61" s="1719"/>
      <c r="W61" s="480">
        <f>ROUND(SUM(W37:W60),1)</f>
        <v>223.1</v>
      </c>
      <c r="X61" s="1719"/>
      <c r="Y61" s="480">
        <f>ROUND(SUM(Y37:Y60),1)</f>
        <v>0</v>
      </c>
      <c r="Z61" s="1719"/>
      <c r="AA61" s="480">
        <f>ROUND(SUM(AA37:AA60),1)</f>
        <v>0</v>
      </c>
      <c r="AB61" s="2801"/>
      <c r="AC61" s="480">
        <f>ROUND(SUM(AC37:AC60),1)</f>
        <v>0</v>
      </c>
      <c r="AD61" s="1719"/>
      <c r="AE61" s="258"/>
      <c r="AF61" s="480">
        <f>ROUND(SUM(AF37:AF60),1)</f>
        <v>5017.7</v>
      </c>
      <c r="AG61" s="418"/>
      <c r="AH61" s="272"/>
      <c r="AI61" s="480">
        <f>ROUND(SUM(AI37:AI60),1)</f>
        <v>2525</v>
      </c>
      <c r="AJ61" s="282"/>
      <c r="AK61" s="649"/>
      <c r="AL61" s="480">
        <f>ROUND(SUM(AL37:AL60),1)</f>
        <v>2492.6999999999998</v>
      </c>
      <c r="AM61" s="1929"/>
      <c r="AN61" s="1930">
        <f>ROUND(SUM(AL61/AI61),3)</f>
        <v>0.98699999999999999</v>
      </c>
    </row>
    <row r="62" spans="1:41" ht="15.6">
      <c r="A62" s="223"/>
      <c r="B62" s="583"/>
      <c r="C62" s="223"/>
      <c r="D62" s="223"/>
      <c r="E62" s="1111"/>
      <c r="F62" s="260"/>
      <c r="G62" s="2800"/>
      <c r="H62" s="513"/>
      <c r="I62" s="2800"/>
      <c r="J62" s="260"/>
      <c r="K62" s="2800"/>
      <c r="L62" s="260"/>
      <c r="M62" s="2800"/>
      <c r="N62" s="260"/>
      <c r="O62" s="2800"/>
      <c r="P62" s="260"/>
      <c r="Q62" s="2930"/>
      <c r="R62" s="260"/>
      <c r="S62" s="2930"/>
      <c r="T62" s="260"/>
      <c r="U62" s="2930"/>
      <c r="V62" s="260"/>
      <c r="W62" s="674"/>
      <c r="X62" s="260"/>
      <c r="Y62" s="674"/>
      <c r="Z62" s="260"/>
      <c r="AA62" s="513"/>
      <c r="AB62" s="513"/>
      <c r="AC62" s="513"/>
      <c r="AD62" s="260"/>
      <c r="AE62" s="249"/>
      <c r="AF62" s="513"/>
      <c r="AG62" s="1906"/>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f>+' Exhibit I State'!Q63+'Exhibit I Federal'!Q45</f>
        <v>128.1</v>
      </c>
      <c r="R63" s="260"/>
      <c r="S63" s="513">
        <f>+' Exhibit I State'!S63+'Exhibit I Federal'!S45</f>
        <v>270.10000000000002</v>
      </c>
      <c r="T63" s="260"/>
      <c r="U63" s="513">
        <f>+' Exhibit I State'!U63+'Exhibit I Federal'!U45</f>
        <v>303.10000000000002</v>
      </c>
      <c r="V63" s="260"/>
      <c r="W63" s="513">
        <f>+' Exhibit I State'!W63+'Exhibit I Federal'!W45</f>
        <v>126.5</v>
      </c>
      <c r="X63" s="260"/>
      <c r="Y63" s="513"/>
      <c r="Z63" s="260"/>
      <c r="AA63" s="513"/>
      <c r="AB63" s="674"/>
      <c r="AC63" s="674">
        <v>0</v>
      </c>
      <c r="AD63" s="260"/>
      <c r="AE63" s="249"/>
      <c r="AF63" s="260">
        <f>ROUND(SUM(E63:AA63),1)</f>
        <v>1806</v>
      </c>
      <c r="AG63" s="275"/>
      <c r="AH63" s="248"/>
      <c r="AI63" s="260">
        <f>+' Exhibit I State'!AG63+'Exhibit I Federal'!AG45</f>
        <v>2142.1999999999998</v>
      </c>
      <c r="AJ63" s="273"/>
      <c r="AK63" s="651"/>
      <c r="AL63" s="653">
        <f>ROUND(SUM(+AF63-AI63),1)</f>
        <v>-336.2</v>
      </c>
      <c r="AM63" s="650"/>
      <c r="AN63" s="654">
        <f>ROUND(SUM(AL63/AI63),3)</f>
        <v>-0.157</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1215.3</v>
      </c>
      <c r="R65" s="256"/>
      <c r="S65" s="596">
        <f>ROUND(SUM(+S61+S63+S33),1)</f>
        <v>488.6</v>
      </c>
      <c r="T65" s="256"/>
      <c r="U65" s="596">
        <f>ROUND(SUM(+U61+U63+U33),1)</f>
        <v>2246.3000000000002</v>
      </c>
      <c r="V65" s="256"/>
      <c r="W65" s="596">
        <f>ROUND(SUM(+W61+W63+W33),1)</f>
        <v>462.7</v>
      </c>
      <c r="X65" s="256"/>
      <c r="Y65" s="596">
        <f>ROUND(SUM(+Y61+Y63+Y33),1)</f>
        <v>0</v>
      </c>
      <c r="Z65" s="256"/>
      <c r="AA65" s="596">
        <f>ROUND(SUM(+AA61+AA63+AA33),1)</f>
        <v>0</v>
      </c>
      <c r="AB65" s="1913"/>
      <c r="AC65" s="596">
        <f>ROUND(SUM(+AC61+AC63+AC33),1)</f>
        <v>0</v>
      </c>
      <c r="AD65" s="256"/>
      <c r="AE65" s="258"/>
      <c r="AF65" s="596">
        <f>ROUND(SUM(+AF61+AF63+AF33),1)</f>
        <v>7916.8</v>
      </c>
      <c r="AG65" s="418"/>
      <c r="AH65" s="272"/>
      <c r="AI65" s="596">
        <f>ROUND(SUM(+AI61+AI63+AI33),1)</f>
        <v>5836.7</v>
      </c>
      <c r="AJ65" s="282"/>
      <c r="AK65" s="651"/>
      <c r="AL65" s="596">
        <f>ROUND(SUM(+AL61+AL63+AL33),1)</f>
        <v>2080.1</v>
      </c>
      <c r="AM65" s="366"/>
      <c r="AN65" s="1681">
        <f>ROUND(SUM(AL65/AI65),3)</f>
        <v>0.35599999999999998</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f>+' Exhibit I State'!Q69+'Exhibit I Federal'!Q51</f>
        <v>20.3</v>
      </c>
      <c r="R69" s="260"/>
      <c r="S69" s="513">
        <f>+' Exhibit I State'!S69+'Exhibit I Federal'!S51</f>
        <v>7.5</v>
      </c>
      <c r="T69" s="260"/>
      <c r="U69" s="513">
        <f>+' Exhibit I State'!U69+'Exhibit I Federal'!U51</f>
        <v>9.8000000000000007</v>
      </c>
      <c r="V69" s="260"/>
      <c r="W69" s="513">
        <f>+' Exhibit I State'!W69+'Exhibit I Federal'!W51</f>
        <v>4.2</v>
      </c>
      <c r="X69" s="260"/>
      <c r="Y69" s="513"/>
      <c r="Z69" s="260"/>
      <c r="AA69" s="513"/>
      <c r="AB69" s="674"/>
      <c r="AC69" s="674">
        <v>0</v>
      </c>
      <c r="AD69" s="260"/>
      <c r="AE69" s="249"/>
      <c r="AF69" s="260">
        <f>ROUND(SUM(E69:AA69),1)</f>
        <v>97.2</v>
      </c>
      <c r="AG69" s="275"/>
      <c r="AH69" s="248"/>
      <c r="AI69" s="260">
        <f>+' Exhibit I State'!AG69+'Exhibit I Federal'!AG51</f>
        <v>29.9</v>
      </c>
      <c r="AJ69" s="273"/>
      <c r="AK69" s="649"/>
      <c r="AL69" s="250">
        <f>ROUND(SUM(+AF69-AI69),1)</f>
        <v>67.3</v>
      </c>
      <c r="AM69" s="650"/>
      <c r="AN69" s="2616">
        <f>ROUND(IF(AI69=0,0,AL69/ABS(AI69)),3)</f>
        <v>2.2509999999999999</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f>+' Exhibit I State'!Q70+'Exhibit I Federal'!Q52</f>
        <v>8.6</v>
      </c>
      <c r="R70" s="260"/>
      <c r="S70" s="513">
        <f>+' Exhibit I State'!S70+'Exhibit I Federal'!S52</f>
        <v>32.5</v>
      </c>
      <c r="T70" s="260"/>
      <c r="U70" s="513">
        <f>+' Exhibit I State'!U70+'Exhibit I Federal'!U52</f>
        <v>177.4</v>
      </c>
      <c r="V70" s="260"/>
      <c r="W70" s="513">
        <f>+' Exhibit I State'!W70+'Exhibit I Federal'!W52</f>
        <v>7</v>
      </c>
      <c r="X70" s="260"/>
      <c r="Y70" s="513"/>
      <c r="Z70" s="260"/>
      <c r="AA70" s="513"/>
      <c r="AB70" s="674"/>
      <c r="AC70" s="674">
        <v>0</v>
      </c>
      <c r="AD70" s="260"/>
      <c r="AE70" s="249"/>
      <c r="AF70" s="260">
        <f t="shared" ref="AF70:AF76" si="2">ROUND(SUM(E70:AA70),1)</f>
        <v>285.89999999999998</v>
      </c>
      <c r="AG70" s="275"/>
      <c r="AH70" s="248"/>
      <c r="AI70" s="260">
        <f>+' Exhibit I State'!AG70+'Exhibit I Federal'!AG52</f>
        <v>267.3</v>
      </c>
      <c r="AJ70" s="273"/>
      <c r="AK70" s="649"/>
      <c r="AL70" s="250">
        <f t="shared" ref="AL70:AL77" si="3">ROUND(SUM(+AF70-AI70),1)</f>
        <v>18.600000000000001</v>
      </c>
      <c r="AM70" s="650"/>
      <c r="AN70" s="2568">
        <f>ROUND(IF(AI70=0,0,AL70/ABS(AI70)),3)</f>
        <v>7.0000000000000007E-2</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f>+' Exhibit I State'!Q71+'Exhibit I Federal'!Q53</f>
        <v>55.8</v>
      </c>
      <c r="R71" s="260"/>
      <c r="S71" s="513">
        <f>+' Exhibit I State'!S71+'Exhibit I Federal'!S53</f>
        <v>33.9</v>
      </c>
      <c r="T71" s="260"/>
      <c r="U71" s="513">
        <f>+' Exhibit I State'!U71+'Exhibit I Federal'!U53</f>
        <v>81.7</v>
      </c>
      <c r="V71" s="260"/>
      <c r="W71" s="513">
        <f>+' Exhibit I State'!W71+'Exhibit I Federal'!W53</f>
        <v>47.7</v>
      </c>
      <c r="X71" s="260"/>
      <c r="Y71" s="513"/>
      <c r="Z71" s="260"/>
      <c r="AA71" s="513"/>
      <c r="AB71" s="674"/>
      <c r="AC71" s="674">
        <v>0</v>
      </c>
      <c r="AD71" s="260"/>
      <c r="AE71" s="249"/>
      <c r="AF71" s="260">
        <f t="shared" si="2"/>
        <v>513.6</v>
      </c>
      <c r="AG71" s="275"/>
      <c r="AH71" s="248"/>
      <c r="AI71" s="260">
        <f>+' Exhibit I State'!AG71+'Exhibit I Federal'!AG53</f>
        <v>376.8</v>
      </c>
      <c r="AJ71" s="273"/>
      <c r="AK71" s="649"/>
      <c r="AL71" s="250">
        <f t="shared" si="3"/>
        <v>136.80000000000001</v>
      </c>
      <c r="AM71" s="650"/>
      <c r="AN71" s="2568">
        <f>ROUND(IF(AI71=0,0,AL71/ABS(AI71)),3)</f>
        <v>0.36299999999999999</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1"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f>+' Exhibit I State'!Q73+'Exhibit I Federal'!Q55</f>
        <v>0</v>
      </c>
      <c r="R73" s="260"/>
      <c r="S73" s="513">
        <f>+' Exhibit I State'!S73+'Exhibit I Federal'!S55</f>
        <v>0</v>
      </c>
      <c r="T73" s="260"/>
      <c r="U73" s="513">
        <f>+' Exhibit I State'!U73+'Exhibit I Federal'!U55</f>
        <v>0</v>
      </c>
      <c r="V73" s="260"/>
      <c r="W73" s="513">
        <f>+' Exhibit I State'!W73+'Exhibit I Federal'!W55</f>
        <v>0</v>
      </c>
      <c r="X73" s="260"/>
      <c r="Y73" s="513"/>
      <c r="Z73" s="260"/>
      <c r="AA73" s="513"/>
      <c r="AB73" s="2654"/>
      <c r="AC73" s="2654">
        <v>0</v>
      </c>
      <c r="AD73" s="260"/>
      <c r="AE73" s="249"/>
      <c r="AF73" s="260">
        <f t="shared" si="2"/>
        <v>0</v>
      </c>
      <c r="AG73" s="275"/>
      <c r="AH73" s="248"/>
      <c r="AI73" s="265">
        <f>+' Exhibit I State'!AG73+'Exhibit I Federal'!AG55</f>
        <v>0</v>
      </c>
      <c r="AJ73" s="260"/>
      <c r="AK73" s="651"/>
      <c r="AL73" s="250">
        <f t="shared" si="3"/>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f>+' Exhibit I State'!Q74+'Exhibit I Federal'!Q56</f>
        <v>26.5</v>
      </c>
      <c r="R74" s="260"/>
      <c r="S74" s="513">
        <f>+' Exhibit I State'!S74+'Exhibit I Federal'!S56</f>
        <v>3</v>
      </c>
      <c r="T74" s="260"/>
      <c r="U74" s="513">
        <f>+' Exhibit I State'!U74+'Exhibit I Federal'!U56</f>
        <v>41.900000000000006</v>
      </c>
      <c r="V74" s="260"/>
      <c r="W74" s="513">
        <f>+' Exhibit I State'!W74+'Exhibit I Federal'!W56</f>
        <v>40.4</v>
      </c>
      <c r="X74" s="260"/>
      <c r="Y74" s="513"/>
      <c r="Z74" s="260"/>
      <c r="AA74" s="513"/>
      <c r="AB74" s="674"/>
      <c r="AC74" s="674">
        <v>0</v>
      </c>
      <c r="AD74" s="260"/>
      <c r="AE74" s="249"/>
      <c r="AF74" s="260">
        <f t="shared" si="2"/>
        <v>206.1</v>
      </c>
      <c r="AG74" s="275"/>
      <c r="AH74" s="248"/>
      <c r="AI74" s="265">
        <f>+' Exhibit I State'!AG74+'Exhibit I Federal'!AG56</f>
        <v>123.3</v>
      </c>
      <c r="AJ74" s="273"/>
      <c r="AK74" s="649"/>
      <c r="AL74" s="250">
        <f t="shared" si="3"/>
        <v>82.8</v>
      </c>
      <c r="AM74" s="650"/>
      <c r="AN74" s="45">
        <f>ROUND(IF(AI74=0,0,AL74/ABS(AI74)),3)</f>
        <v>0.67200000000000004</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f>+' Exhibit I State'!Q75+'Exhibit I Federal'!Q57</f>
        <v>0</v>
      </c>
      <c r="R75" s="260"/>
      <c r="S75" s="513">
        <f>+' Exhibit I State'!S75+'Exhibit I Federal'!S57</f>
        <v>0</v>
      </c>
      <c r="T75" s="260"/>
      <c r="U75" s="513">
        <f>+' Exhibit I State'!U75+'Exhibit I Federal'!U57</f>
        <v>-0.2</v>
      </c>
      <c r="V75" s="260"/>
      <c r="W75" s="513">
        <f>+' Exhibit I State'!W75+'Exhibit I Federal'!W57</f>
        <v>2.7</v>
      </c>
      <c r="X75" s="260"/>
      <c r="Y75" s="513"/>
      <c r="Z75" s="260"/>
      <c r="AA75" s="513"/>
      <c r="AB75" s="2654"/>
      <c r="AC75" s="2654">
        <v>0</v>
      </c>
      <c r="AD75" s="260"/>
      <c r="AE75" s="249"/>
      <c r="AF75" s="260">
        <f t="shared" si="2"/>
        <v>20.5</v>
      </c>
      <c r="AG75" s="275"/>
      <c r="AH75" s="248"/>
      <c r="AI75" s="265">
        <f>+' Exhibit I State'!AG75+'Exhibit I Federal'!AG57</f>
        <v>37.799999999999997</v>
      </c>
      <c r="AJ75" s="273"/>
      <c r="AK75" s="649"/>
      <c r="AL75" s="250">
        <f t="shared" si="3"/>
        <v>-17.3</v>
      </c>
      <c r="AM75" s="650"/>
      <c r="AN75" s="2568">
        <f>ROUND(IF(AI75=0,1,AL75/ABS(AI75)),3)</f>
        <v>-0.45800000000000002</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f>+' Exhibit I State'!Q76+'Exhibit I Federal'!Q58</f>
        <v>24.9</v>
      </c>
      <c r="R76" s="260"/>
      <c r="S76" s="513">
        <f>+' Exhibit I State'!S76+'Exhibit I Federal'!S58</f>
        <v>65.400000000000006</v>
      </c>
      <c r="T76" s="260"/>
      <c r="U76" s="513">
        <f>+' Exhibit I State'!U76+'Exhibit I Federal'!U58</f>
        <v>34.200000000000003</v>
      </c>
      <c r="V76" s="260"/>
      <c r="W76" s="513">
        <f>+' Exhibit I State'!W76+'Exhibit I Federal'!W58</f>
        <v>16.8</v>
      </c>
      <c r="X76" s="260"/>
      <c r="Y76" s="513"/>
      <c r="Z76" s="260"/>
      <c r="AA76" s="513"/>
      <c r="AB76" s="674"/>
      <c r="AC76" s="674">
        <v>0</v>
      </c>
      <c r="AD76" s="260"/>
      <c r="AE76" s="249"/>
      <c r="AF76" s="260">
        <f t="shared" si="2"/>
        <v>261.2</v>
      </c>
      <c r="AG76" s="275"/>
      <c r="AH76" s="248"/>
      <c r="AI76" s="265">
        <f>+' Exhibit I State'!AG76+'Exhibit I Federal'!AG58</f>
        <v>124.6</v>
      </c>
      <c r="AJ76" s="260"/>
      <c r="AK76" s="651"/>
      <c r="AL76" s="250">
        <f t="shared" si="3"/>
        <v>136.6</v>
      </c>
      <c r="AM76" s="650"/>
      <c r="AN76" s="2568">
        <f>ROUND(IF(AI76=0,1,AL76/ABS(AI76)),3)</f>
        <v>1.0960000000000001</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f>+' Exhibit I State'!Q77+'Exhibit I Federal'!Q59</f>
        <v>43.2</v>
      </c>
      <c r="R77" s="260"/>
      <c r="S77" s="513">
        <f>+' Exhibit I State'!S77+'Exhibit I Federal'!S59</f>
        <v>14.9</v>
      </c>
      <c r="T77" s="260"/>
      <c r="U77" s="513">
        <f>+' Exhibit I State'!U77+'Exhibit I Federal'!U59</f>
        <v>-10.5</v>
      </c>
      <c r="V77" s="260"/>
      <c r="W77" s="513">
        <f>+' Exhibit I State'!W77+'Exhibit I Federal'!W59</f>
        <v>32.799999999999997</v>
      </c>
      <c r="X77" s="260"/>
      <c r="Y77" s="513"/>
      <c r="Z77" s="260"/>
      <c r="AA77" s="513"/>
      <c r="AB77" s="674"/>
      <c r="AC77" s="674">
        <v>0</v>
      </c>
      <c r="AD77" s="260"/>
      <c r="AE77" s="249"/>
      <c r="AF77" s="260">
        <f>ROUND(SUM(E77:AA77),1)</f>
        <v>778.8</v>
      </c>
      <c r="AG77" s="275"/>
      <c r="AH77" s="248"/>
      <c r="AI77" s="265">
        <f>+' Exhibit I State'!AG77+'Exhibit I Federal'!AG59</f>
        <v>551.4</v>
      </c>
      <c r="AJ77" s="260"/>
      <c r="AK77" s="651"/>
      <c r="AL77" s="250">
        <f t="shared" si="3"/>
        <v>227.4</v>
      </c>
      <c r="AM77" s="650"/>
      <c r="AN77" s="2894">
        <f>ROUND(IF(AI77=0,0,AL77/ABS(AI77)),3)</f>
        <v>0.41199999999999998</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f>+' Exhibit I State'!Q78+'Exhibit I Federal'!Q60</f>
        <v>70.899999999999991</v>
      </c>
      <c r="R78" s="260"/>
      <c r="S78" s="513">
        <f>+' Exhibit I State'!S78+'Exhibit I Federal'!S60</f>
        <v>32.1</v>
      </c>
      <c r="T78" s="260"/>
      <c r="U78" s="513">
        <f>+' Exhibit I State'!U78+'Exhibit I Federal'!U60</f>
        <v>288.5</v>
      </c>
      <c r="V78" s="260"/>
      <c r="W78" s="513">
        <f>+' Exhibit I State'!W78+'Exhibit I Federal'!W60</f>
        <v>60.9</v>
      </c>
      <c r="X78" s="260"/>
      <c r="Y78" s="513"/>
      <c r="Z78" s="260"/>
      <c r="AA78" s="513"/>
      <c r="AB78" s="674"/>
      <c r="AC78" s="674">
        <v>0</v>
      </c>
      <c r="AD78" s="260"/>
      <c r="AE78" s="249"/>
      <c r="AF78" s="260">
        <f>ROUND(SUM(E78:AA78),1)</f>
        <v>878.9</v>
      </c>
      <c r="AG78" s="275"/>
      <c r="AH78" s="248"/>
      <c r="AI78" s="265">
        <f>+' Exhibit I State'!AG78+'Exhibit I Federal'!AG60</f>
        <v>963.69999999999993</v>
      </c>
      <c r="AJ78" s="248"/>
      <c r="AK78" s="651"/>
      <c r="AL78" s="250">
        <f>ROUND(SUM(+AF78-AI78),1)</f>
        <v>-84.8</v>
      </c>
      <c r="AM78" s="640"/>
      <c r="AN78" s="1685">
        <f>ROUND(IF(AI78=0,0,AL78/ABS(AI78)),3)</f>
        <v>-8.7999999999999995E-2</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250.2</v>
      </c>
      <c r="R79" s="256"/>
      <c r="S79" s="540">
        <f>ROUND(SUM(S69:S78),1)</f>
        <v>189.3</v>
      </c>
      <c r="T79" s="256"/>
      <c r="U79" s="540">
        <f>ROUND(SUM(U69:U78),1)</f>
        <v>622.79999999999995</v>
      </c>
      <c r="V79" s="256"/>
      <c r="W79" s="540">
        <f>ROUND(SUM(W69:W78),1)</f>
        <v>212.5</v>
      </c>
      <c r="X79" s="256"/>
      <c r="Y79" s="540">
        <f>ROUND(SUM(Y69:Y78),1)</f>
        <v>0</v>
      </c>
      <c r="Z79" s="256"/>
      <c r="AA79" s="540">
        <f>ROUND(SUM(AA69:AA78),1)</f>
        <v>0</v>
      </c>
      <c r="AB79" s="2801"/>
      <c r="AC79" s="540">
        <f>ROUND(SUM(AC69:AC78),1)</f>
        <v>0</v>
      </c>
      <c r="AD79" s="256"/>
      <c r="AE79" s="258"/>
      <c r="AF79" s="540">
        <f>ROUND(SUM(AF69:AF78),1)</f>
        <v>3042.2</v>
      </c>
      <c r="AG79" s="418"/>
      <c r="AH79" s="272"/>
      <c r="AI79" s="540">
        <f>ROUND(SUM(AI69:AI78),1)</f>
        <v>2474.8000000000002</v>
      </c>
      <c r="AJ79" s="272"/>
      <c r="AK79" s="651"/>
      <c r="AL79" s="540">
        <f>ROUND(SUM(AL69:AL78),1)</f>
        <v>567.4</v>
      </c>
      <c r="AM79" s="658"/>
      <c r="AN79" s="1681">
        <f>ROUND(SUM(AL79/AI79),3)</f>
        <v>0.22900000000000001</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f>+' Exhibit I State'!Q81+'Exhibit I Federal'!Q63</f>
        <v>0</v>
      </c>
      <c r="R81" s="260"/>
      <c r="S81" s="513">
        <f>+' Exhibit I State'!S81+'Exhibit I Federal'!S63</f>
        <v>0</v>
      </c>
      <c r="T81" s="260"/>
      <c r="U81" s="513">
        <f>+' Exhibit I State'!U81+'Exhibit I Federal'!U63</f>
        <v>0</v>
      </c>
      <c r="V81" s="260"/>
      <c r="W81" s="513">
        <f>+' Exhibit I State'!W81+'Exhibit I Federal'!W63</f>
        <v>0</v>
      </c>
      <c r="X81" s="260"/>
      <c r="Y81" s="513"/>
      <c r="Z81" s="260"/>
      <c r="AA81" s="513"/>
      <c r="AB81" s="1089"/>
      <c r="AC81" s="1089">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f>+' Exhibit I State'!Q82+'Exhibit I Federal'!Q64</f>
        <v>0</v>
      </c>
      <c r="R82" s="260"/>
      <c r="S82" s="513">
        <f>+' Exhibit I State'!S82+'Exhibit I Federal'!S64</f>
        <v>0</v>
      </c>
      <c r="T82" s="260"/>
      <c r="U82" s="513">
        <f>+' Exhibit I State'!U82+'Exhibit I Federal'!U64</f>
        <v>0</v>
      </c>
      <c r="V82" s="260"/>
      <c r="W82" s="513">
        <f>+' Exhibit I State'!W82+'Exhibit I Federal'!W64</f>
        <v>0</v>
      </c>
      <c r="X82" s="260"/>
      <c r="Y82" s="513"/>
      <c r="Z82" s="260"/>
      <c r="AA82" s="513"/>
      <c r="AB82" s="1089"/>
      <c r="AC82" s="1089">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f>+' Exhibit I State'!Q83+'Exhibit I Federal'!Q65</f>
        <v>0</v>
      </c>
      <c r="R83" s="260"/>
      <c r="S83" s="513">
        <f>+' Exhibit I State'!S83+'Exhibit I Federal'!S65</f>
        <v>0</v>
      </c>
      <c r="T83" s="260"/>
      <c r="U83" s="513">
        <f>+' Exhibit I State'!U83+'Exhibit I Federal'!U65</f>
        <v>0</v>
      </c>
      <c r="V83" s="260"/>
      <c r="W83" s="513">
        <f>+' Exhibit I State'!W83+'Exhibit I Federal'!W65</f>
        <v>0</v>
      </c>
      <c r="X83" s="260"/>
      <c r="Y83" s="513"/>
      <c r="Z83" s="661"/>
      <c r="AA83" s="513"/>
      <c r="AB83" s="1089"/>
      <c r="AC83" s="1089">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f>+' Exhibit I State'!Q84+'Exhibit I Federal'!Q66</f>
        <v>718.2</v>
      </c>
      <c r="R84" s="260"/>
      <c r="S84" s="513">
        <f>+' Exhibit I State'!S84+'Exhibit I Federal'!S66</f>
        <v>645.30000000000007</v>
      </c>
      <c r="T84" s="260"/>
      <c r="U84" s="513">
        <f>+' Exhibit I State'!U84+'Exhibit I Federal'!U66</f>
        <v>517.79999999999995</v>
      </c>
      <c r="V84" s="260"/>
      <c r="W84" s="513">
        <f>+' Exhibit I State'!W84+'Exhibit I Federal'!W66</f>
        <v>606.70000000000005</v>
      </c>
      <c r="X84" s="260"/>
      <c r="Y84" s="513"/>
      <c r="Z84" s="260"/>
      <c r="AA84" s="513"/>
      <c r="AB84" s="1089"/>
      <c r="AC84" s="1089">
        <v>0</v>
      </c>
      <c r="AD84" s="260"/>
      <c r="AE84" s="249"/>
      <c r="AF84" s="317">
        <f>ROUND(SUM(E84:AA84),1)</f>
        <v>5564.3</v>
      </c>
      <c r="AG84" s="275"/>
      <c r="AH84" s="248"/>
      <c r="AI84" s="1699">
        <f>+' Exhibit I State'!AG84+'Exhibit I Federal'!AG66</f>
        <v>5402.2</v>
      </c>
      <c r="AJ84" s="274"/>
      <c r="AK84" s="649"/>
      <c r="AL84" s="653">
        <f>ROUND(SUM(+AF84-AI84),1)</f>
        <v>162.1</v>
      </c>
      <c r="AM84" s="640"/>
      <c r="AN84" s="1685">
        <f>ROUND(IF(AI84=0,0,AL84/ABS(AI84)),3)</f>
        <v>0.03</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19">
        <f>ROUND(SUM(+G84+G79),1)</f>
        <v>680.2</v>
      </c>
      <c r="H86" s="256"/>
      <c r="I86" s="1719">
        <f>ROUND(SUM(+I84+I79),1)</f>
        <v>818.4</v>
      </c>
      <c r="J86" s="256"/>
      <c r="K86" s="1719">
        <f>ROUND(SUM(+K84+K79),1)</f>
        <v>780.4</v>
      </c>
      <c r="L86" s="256"/>
      <c r="M86" s="1719">
        <f>ROUND(SUM(+M84+M79),1)</f>
        <v>997.6</v>
      </c>
      <c r="N86" s="256"/>
      <c r="O86" s="1719">
        <f>ROUND(SUM(+O84+O79),1)</f>
        <v>964.9</v>
      </c>
      <c r="P86" s="256"/>
      <c r="Q86" s="1719">
        <f>ROUND(SUM(+Q84+Q79),1)</f>
        <v>968.4</v>
      </c>
      <c r="R86" s="256"/>
      <c r="S86" s="1719">
        <f>ROUND(SUM(+S84+S79),1)</f>
        <v>834.6</v>
      </c>
      <c r="T86" s="256"/>
      <c r="U86" s="1719">
        <f>ROUND(SUM(+U84+U79),1)</f>
        <v>1140.5999999999999</v>
      </c>
      <c r="V86" s="256"/>
      <c r="W86" s="256">
        <f>ROUND(SUM(+W84+W79),1)</f>
        <v>819.2</v>
      </c>
      <c r="X86" s="256"/>
      <c r="Y86" s="1719">
        <f>ROUND(SUM(+Y84+Y79),1)</f>
        <v>0</v>
      </c>
      <c r="Z86" s="256"/>
      <c r="AA86" s="1719">
        <f>ROUND(SUM(+AA84+AA79),1)</f>
        <v>0</v>
      </c>
      <c r="AB86" s="1719"/>
      <c r="AC86" s="1719">
        <f>ROUND(SUM(+AC84+AC79),1)</f>
        <v>0</v>
      </c>
      <c r="AD86" s="256"/>
      <c r="AE86" s="258"/>
      <c r="AF86" s="256">
        <f>ROUND(SUM(+AF84+AF79),1)</f>
        <v>8606.5</v>
      </c>
      <c r="AG86" s="418"/>
      <c r="AH86" s="272"/>
      <c r="AI86" s="256">
        <f>ROUND(SUM(+AI84+AI79),1)</f>
        <v>7877</v>
      </c>
      <c r="AJ86" s="272"/>
      <c r="AK86" s="651"/>
      <c r="AL86" s="270">
        <f>ROUND(SUM(AL79+AL84),1)</f>
        <v>729.5</v>
      </c>
      <c r="AM86" s="658"/>
      <c r="AN86" s="549">
        <f>ROUND(SUM(AL86/AI86),3)</f>
        <v>9.2999999999999999E-2</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19">
        <f>ROUND(SUM(G65-G86),1)</f>
        <v>-423.2</v>
      </c>
      <c r="H89" s="256"/>
      <c r="I89" s="1719">
        <f>ROUND(SUM(I65-I86),1)</f>
        <v>-224.7</v>
      </c>
      <c r="J89" s="256"/>
      <c r="K89" s="1719">
        <f>ROUND(SUM(K65-K86),1)</f>
        <v>693.3</v>
      </c>
      <c r="L89" s="256"/>
      <c r="M89" s="1719">
        <f>ROUND(SUM(M65-M86),1)</f>
        <v>-563.9</v>
      </c>
      <c r="N89" s="256"/>
      <c r="O89" s="1719">
        <f>ROUND(SUM(O65-O86),1)</f>
        <v>-546.9</v>
      </c>
      <c r="P89" s="256"/>
      <c r="Q89" s="1719">
        <f>ROUND(SUM(Q65-Q86),1)</f>
        <v>246.9</v>
      </c>
      <c r="R89" s="256"/>
      <c r="S89" s="1719">
        <f>ROUND(SUM(S65-S86),1)</f>
        <v>-346</v>
      </c>
      <c r="T89" s="256"/>
      <c r="U89" s="1719">
        <f>ROUND(SUM(U65-U86),1)</f>
        <v>1105.7</v>
      </c>
      <c r="V89" s="256"/>
      <c r="W89" s="256">
        <f>ROUND(SUM(W65-W86),1)</f>
        <v>-356.5</v>
      </c>
      <c r="X89" s="256"/>
      <c r="Y89" s="1719">
        <f>ROUND(SUM(Y65-Y86),1)</f>
        <v>0</v>
      </c>
      <c r="Z89" s="256"/>
      <c r="AA89" s="1719">
        <f>ROUND(SUM(AA65-AA86),1)</f>
        <v>0</v>
      </c>
      <c r="AB89" s="1719"/>
      <c r="AC89" s="1719">
        <f>ROUND(SUM(AC65-AC86),1)</f>
        <v>0</v>
      </c>
      <c r="AD89" s="256"/>
      <c r="AE89" s="258"/>
      <c r="AF89" s="256">
        <f>ROUND(SUM(AF65-AF86),1)</f>
        <v>-689.7</v>
      </c>
      <c r="AG89" s="418"/>
      <c r="AH89" s="272"/>
      <c r="AI89" s="256">
        <f>ROUND(SUM(AI65-AI86),1)</f>
        <v>-2040.3</v>
      </c>
      <c r="AJ89" s="272"/>
      <c r="AK89" s="651"/>
      <c r="AL89" s="270">
        <f>ROUND(SUM(AL65-AL86),1)</f>
        <v>1350.6</v>
      </c>
      <c r="AM89" s="658"/>
      <c r="AN89" s="549">
        <f>ROUND(IF(AI89=0,0,AL89/ABS(AI89)),3)</f>
        <v>0.66200000000000003</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f>+' Exhibit I State'!Q92+'Exhibit I Federal'!Q74</f>
        <v>0</v>
      </c>
      <c r="R92" s="260"/>
      <c r="S92" s="513">
        <f>+' Exhibit I State'!S92+'Exhibit I Federal'!S74</f>
        <v>0</v>
      </c>
      <c r="T92" s="260"/>
      <c r="U92" s="513">
        <f>+' Exhibit I State'!U92+'Exhibit I Federal'!U74</f>
        <v>0</v>
      </c>
      <c r="V92" s="260"/>
      <c r="W92" s="513">
        <f>+' Exhibit I State'!W92+'Exhibit I Federal'!W74</f>
        <v>0</v>
      </c>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f>' Exhibit I State'!Q93+'Exhibit I Federal'!Q74</f>
        <v>-266</v>
      </c>
      <c r="R93" s="260"/>
      <c r="S93" s="513">
        <f>' Exhibit I State'!S93+'Exhibit I Federal'!S74</f>
        <v>365</v>
      </c>
      <c r="T93" s="260"/>
      <c r="U93" s="513">
        <f>' Exhibit I State'!U93+'Exhibit I Federal'!U74</f>
        <v>-700.4</v>
      </c>
      <c r="V93" s="260"/>
      <c r="W93" s="513">
        <f>' Exhibit I State'!W93+'Exhibit I Federal'!W74</f>
        <v>251.7</v>
      </c>
      <c r="X93" s="260"/>
      <c r="Y93" s="513"/>
      <c r="Z93" s="260"/>
      <c r="AA93" s="513"/>
      <c r="AB93" s="1966"/>
      <c r="AC93" s="1966">
        <v>0</v>
      </c>
      <c r="AD93" s="260"/>
      <c r="AE93" s="249"/>
      <c r="AF93" s="273">
        <f>ROUND(SUM(E93:AC93),1)</f>
        <v>1187.4000000000001</v>
      </c>
      <c r="AG93" s="275"/>
      <c r="AH93" s="248"/>
      <c r="AI93" s="316">
        <v>2498.1999999999998</v>
      </c>
      <c r="AJ93" s="273"/>
      <c r="AK93" s="649"/>
      <c r="AL93" s="657">
        <f>ROUND(SUM(+AF93-AI93),1)</f>
        <v>-1310.8</v>
      </c>
      <c r="AM93" s="640"/>
      <c r="AN93" s="2894">
        <f>ROUND(IF(AI93=0,0,AL93/ABS(AI93)),3)</f>
        <v>-0.52500000000000002</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f>' Exhibit I State'!Q94+'Exhibit I Federal'!Q75</f>
        <v>-25.1</v>
      </c>
      <c r="R94" s="260"/>
      <c r="S94" s="260">
        <f>' Exhibit I State'!S94+'Exhibit I Federal'!S75</f>
        <v>-21.5</v>
      </c>
      <c r="T94" s="260"/>
      <c r="U94" s="260">
        <f>' Exhibit I State'!U94+'Exhibit I Federal'!U75</f>
        <v>-21.2</v>
      </c>
      <c r="V94" s="260"/>
      <c r="W94" s="260">
        <f>' Exhibit I State'!W94+'Exhibit I Federal'!W75</f>
        <v>-24.5</v>
      </c>
      <c r="X94" s="260"/>
      <c r="Y94" s="260"/>
      <c r="Z94" s="260"/>
      <c r="AA94" s="260"/>
      <c r="AB94" s="1966"/>
      <c r="AC94" s="1966">
        <v>0</v>
      </c>
      <c r="AD94" s="260"/>
      <c r="AE94" s="249"/>
      <c r="AF94" s="273">
        <f>ROUND(SUM(E94:AC94),1)</f>
        <v>-510.5</v>
      </c>
      <c r="AG94" s="275"/>
      <c r="AH94" s="248"/>
      <c r="AI94" s="522">
        <v>-526.29999999999995</v>
      </c>
      <c r="AJ94" s="248"/>
      <c r="AK94" s="651"/>
      <c r="AL94" s="1675">
        <f>ROUND(-SUM(+AF94-AI94),1)</f>
        <v>-15.8</v>
      </c>
      <c r="AM94" s="640"/>
      <c r="AN94" s="1685">
        <f>ROUND(IF(AI94=0,0,AL94/ABS(AI94)),3)</f>
        <v>-0.03</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1297</v>
      </c>
      <c r="C96" s="223"/>
      <c r="D96" s="223"/>
      <c r="E96" s="256">
        <f>ROUND(SUM(E92:E95),1)</f>
        <v>287.89999999999998</v>
      </c>
      <c r="F96" s="256"/>
      <c r="G96" s="1719">
        <f>ROUND(SUM(G92:G95),1)</f>
        <v>347</v>
      </c>
      <c r="H96" s="256"/>
      <c r="I96" s="1719">
        <f>ROUND(SUM(I92:I95),1)</f>
        <v>441.7</v>
      </c>
      <c r="J96" s="256"/>
      <c r="K96" s="1719">
        <f>ROUND(SUM(K92:K95),1)</f>
        <v>-616.70000000000005</v>
      </c>
      <c r="L96" s="256"/>
      <c r="M96" s="1719">
        <f>ROUND(SUM(M92:M95),1)</f>
        <v>479.5</v>
      </c>
      <c r="N96" s="256"/>
      <c r="O96" s="256">
        <f>ROUND(SUM(O92:O95),1)</f>
        <v>179.5</v>
      </c>
      <c r="P96" s="256"/>
      <c r="Q96" s="1719">
        <f>ROUND(SUM(Q92:Q95),1)</f>
        <v>-291.10000000000002</v>
      </c>
      <c r="R96" s="256"/>
      <c r="S96" s="1719">
        <f>ROUND(SUM(S92:S95),1)</f>
        <v>343.5</v>
      </c>
      <c r="T96" s="256"/>
      <c r="U96" s="1719">
        <f>ROUND(SUM(U92:U95),1)</f>
        <v>-721.6</v>
      </c>
      <c r="V96" s="256"/>
      <c r="W96" s="256">
        <f>ROUND(SUM(W92:W95),1)</f>
        <v>227.2</v>
      </c>
      <c r="X96" s="256"/>
      <c r="Y96" s="1719">
        <f>ROUND(SUM(Y92:Y95),1)</f>
        <v>0</v>
      </c>
      <c r="Z96" s="256"/>
      <c r="AA96" s="1719">
        <f>ROUND(SUM(AA92:AA95),1)</f>
        <v>0</v>
      </c>
      <c r="AB96" s="1719"/>
      <c r="AC96" s="1719">
        <f>ROUND(SUM(AC92:AC95),1)</f>
        <v>0</v>
      </c>
      <c r="AD96" s="256"/>
      <c r="AE96" s="258"/>
      <c r="AF96" s="256">
        <f>ROUND(SUM(AF92:AF95),1)</f>
        <v>676.9</v>
      </c>
      <c r="AG96" s="418"/>
      <c r="AH96" s="272"/>
      <c r="AI96" s="256">
        <f>ROUND(SUM(AI92:AI95),1)</f>
        <v>1971.9</v>
      </c>
      <c r="AJ96" s="272"/>
      <c r="AK96" s="651"/>
      <c r="AL96" s="270">
        <f>ROUND(SUM(AF96-AI96),1)</f>
        <v>-1295</v>
      </c>
      <c r="AM96" s="658"/>
      <c r="AN96" s="666">
        <f>ROUND(SUM(AL96/ABS(AI96)),3)</f>
        <v>-0.65700000000000003</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19" t="s">
        <v>15</v>
      </c>
      <c r="H100" s="256"/>
      <c r="I100" s="256"/>
      <c r="J100" s="256"/>
      <c r="K100" s="1719"/>
      <c r="L100" s="256"/>
      <c r="M100" s="1719"/>
      <c r="N100" s="256"/>
      <c r="O100" s="256"/>
      <c r="P100" s="256"/>
      <c r="Q100" s="1719"/>
      <c r="R100" s="256"/>
      <c r="S100" s="1719"/>
      <c r="T100" s="256"/>
      <c r="U100" s="1719"/>
      <c r="V100" s="256"/>
      <c r="W100" s="256"/>
      <c r="X100" s="256"/>
      <c r="Y100" s="1719"/>
      <c r="Z100" s="256"/>
      <c r="AA100" s="1719"/>
      <c r="AB100" s="1719"/>
      <c r="AC100" s="1719"/>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1288</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-44.2</v>
      </c>
      <c r="R101" s="256"/>
      <c r="S101" s="665">
        <f>ROUND(SUM(S89+S96),1)</f>
        <v>-2.5</v>
      </c>
      <c r="T101" s="256"/>
      <c r="U101" s="665">
        <f>ROUND(SUM(U89+U96),1)</f>
        <v>384.1</v>
      </c>
      <c r="V101" s="256"/>
      <c r="W101" s="665">
        <f>ROUND(SUM(W89+W96),1)</f>
        <v>-129.30000000000001</v>
      </c>
      <c r="X101" s="256"/>
      <c r="Y101" s="665">
        <f>ROUND(SUM(Y89+Y96),1)</f>
        <v>0</v>
      </c>
      <c r="Z101" s="256"/>
      <c r="AA101" s="665">
        <f>ROUND(SUM(AA89+AA96),1)</f>
        <v>0</v>
      </c>
      <c r="AB101" s="3066"/>
      <c r="AC101" s="665">
        <f>ROUND(SUM(AC89+AC96),1)</f>
        <v>0</v>
      </c>
      <c r="AD101" s="256"/>
      <c r="AE101" s="258"/>
      <c r="AF101" s="665">
        <f>ROUND(AF89+AF96,1)</f>
        <v>-12.8</v>
      </c>
      <c r="AG101" s="418"/>
      <c r="AH101" s="272"/>
      <c r="AI101" s="665">
        <f>ROUND(AI89+AI96,1)</f>
        <v>-68.400000000000006</v>
      </c>
      <c r="AJ101" s="664"/>
      <c r="AK101" s="663"/>
      <c r="AL101" s="665">
        <f>ROUND(SUM(+AF101-AI101),1)</f>
        <v>55.6</v>
      </c>
      <c r="AM101" s="658"/>
      <c r="AN101" s="666">
        <f>ROUND(IF(AI101=0,0,AL101/ABS(AI101)),3)</f>
        <v>0.81299999999999994</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1298</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-1325.6</v>
      </c>
      <c r="R103" s="292"/>
      <c r="S103" s="499">
        <f>ROUND(SUM(+S101+S15),1)</f>
        <v>-1328.1</v>
      </c>
      <c r="T103" s="292"/>
      <c r="U103" s="499">
        <f>ROUND(SUM(+U101+U15),1)</f>
        <v>-944</v>
      </c>
      <c r="V103" s="292"/>
      <c r="W103" s="499">
        <f>ROUND(SUM(+W101+W15),1)</f>
        <v>-1073.3</v>
      </c>
      <c r="X103" s="292"/>
      <c r="Y103" s="499">
        <f>ROUND(SUM(+Y101+Y15),1)</f>
        <v>0</v>
      </c>
      <c r="Z103" s="292"/>
      <c r="AA103" s="499">
        <f>ROUND(SUM(+AA101+AA15),1)</f>
        <v>0</v>
      </c>
      <c r="AB103" s="421"/>
      <c r="AC103" s="499">
        <f>ROUND(SUM(+AC101+AC15),1)</f>
        <v>0</v>
      </c>
      <c r="AD103" s="292"/>
      <c r="AE103" s="293"/>
      <c r="AF103" s="499">
        <f>ROUND(SUM(+AF101+AF15),1)</f>
        <v>-1073.3</v>
      </c>
      <c r="AG103" s="292"/>
      <c r="AH103" s="293"/>
      <c r="AI103" s="499">
        <f>ROUND(SUM(+AI101+AI15),1)</f>
        <v>-959.2</v>
      </c>
      <c r="AJ103" s="507"/>
      <c r="AK103" s="421"/>
      <c r="AL103" s="499">
        <f>ROUND(SUM(+AL101+AL15),1)</f>
        <v>-114.1</v>
      </c>
      <c r="AM103" s="382"/>
      <c r="AN103" s="527">
        <f>ROUND(SUM(-(+AF103-AI103)/AI103),3)</f>
        <v>-0.11899999999999999</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37" t="s">
        <v>1468</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83" bestFit="1" customWidth="1"/>
    <col min="6" max="6" width="1.81640625" style="1983" customWidth="1"/>
    <col min="7" max="7" width="11.81640625" style="1983" customWidth="1"/>
    <col min="8" max="8" width="1.81640625" style="1983" customWidth="1"/>
    <col min="9" max="9" width="11.08984375" style="1983" bestFit="1" customWidth="1"/>
    <col min="10" max="10" width="1.81640625" style="1983" customWidth="1"/>
    <col min="11" max="11" width="12" style="1983"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83" customWidth="1"/>
    <col min="29" max="29" width="1.81640625" style="1983" customWidth="1"/>
    <col min="30" max="30" width="11.08984375" style="1983" bestFit="1" customWidth="1"/>
    <col min="31" max="32" width="1.08984375" style="1983" customWidth="1"/>
    <col min="33" max="33" width="11.36328125" style="1983" customWidth="1"/>
    <col min="34" max="35" width="1" style="1983" customWidth="1"/>
    <col min="36" max="36" width="13.453125" style="1983"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4" t="s">
        <v>1066</v>
      </c>
    </row>
    <row r="2" spans="1:39">
      <c r="B2" s="1579"/>
    </row>
    <row r="3" spans="1:39" ht="19.5" customHeight="1">
      <c r="A3" s="629"/>
      <c r="B3" s="534" t="s">
        <v>510</v>
      </c>
      <c r="C3" s="630"/>
      <c r="D3" s="630"/>
      <c r="E3" s="1984"/>
      <c r="F3" s="1985"/>
      <c r="G3" s="1985"/>
      <c r="H3" s="1985"/>
      <c r="I3" s="1985"/>
      <c r="J3" s="1985"/>
      <c r="K3" s="1985"/>
      <c r="L3" s="631"/>
      <c r="M3" s="631"/>
      <c r="N3" s="631"/>
      <c r="O3" s="631"/>
      <c r="P3" s="631"/>
      <c r="Q3" s="631"/>
      <c r="R3" s="631"/>
      <c r="S3" s="631"/>
      <c r="T3" s="631"/>
      <c r="U3" s="631"/>
      <c r="V3" s="631"/>
      <c r="W3" s="631"/>
      <c r="X3" s="631"/>
      <c r="Y3" s="631"/>
      <c r="Z3" s="631"/>
      <c r="AA3" s="631"/>
      <c r="AB3" s="1985"/>
      <c r="AC3" s="1985"/>
      <c r="AD3" s="1985"/>
      <c r="AE3" s="1985"/>
      <c r="AF3" s="1985"/>
      <c r="AG3" s="1985"/>
      <c r="AH3" s="1985"/>
      <c r="AI3" s="1985"/>
      <c r="AL3" s="733" t="s">
        <v>199</v>
      </c>
    </row>
    <row r="4" spans="1:39" ht="19.5" customHeight="1">
      <c r="A4" s="629"/>
      <c r="B4" s="534" t="s">
        <v>1474</v>
      </c>
      <c r="C4" s="630"/>
      <c r="D4" s="630"/>
      <c r="E4" s="1984"/>
      <c r="F4" s="1985"/>
      <c r="G4" s="1985"/>
      <c r="H4" s="1985"/>
      <c r="I4" s="1985"/>
      <c r="J4" s="1985"/>
      <c r="K4" s="1985"/>
      <c r="L4" s="631"/>
      <c r="M4" s="631"/>
      <c r="N4" s="631"/>
      <c r="O4" s="631"/>
      <c r="P4" s="631"/>
      <c r="Q4" s="631"/>
      <c r="R4" s="631"/>
      <c r="S4" s="631"/>
      <c r="T4" s="631"/>
      <c r="U4" s="631"/>
      <c r="V4" s="631"/>
      <c r="W4" s="631"/>
      <c r="X4" s="631"/>
      <c r="Y4" s="631"/>
      <c r="Z4" s="631"/>
      <c r="AA4" s="631"/>
      <c r="AB4" s="1985"/>
      <c r="AC4" s="1985"/>
      <c r="AE4" s="1997"/>
      <c r="AF4" s="1997"/>
    </row>
    <row r="5" spans="1:39" ht="19.5" customHeight="1">
      <c r="A5" s="629"/>
      <c r="B5" s="2804" t="s">
        <v>226</v>
      </c>
      <c r="C5" s="630"/>
      <c r="D5" s="630"/>
      <c r="E5" s="1984"/>
      <c r="F5" s="1985"/>
      <c r="G5" s="1985"/>
      <c r="H5" s="1985"/>
      <c r="I5" s="1985"/>
      <c r="J5" s="1985"/>
      <c r="K5" s="1985"/>
      <c r="L5" s="631"/>
      <c r="M5" s="631"/>
      <c r="N5" s="631"/>
      <c r="O5" s="631"/>
      <c r="P5" s="631"/>
      <c r="Q5" s="631"/>
      <c r="R5" s="631"/>
      <c r="S5" s="631"/>
      <c r="T5" s="631"/>
      <c r="U5" s="631"/>
      <c r="V5" s="631"/>
      <c r="W5" s="631"/>
      <c r="X5" s="631"/>
      <c r="Y5" s="631"/>
      <c r="Z5" s="631"/>
      <c r="AA5" s="631"/>
      <c r="AB5" s="1985"/>
      <c r="AC5" s="1985"/>
      <c r="AD5" s="1985"/>
      <c r="AE5" s="1985"/>
      <c r="AF5" s="1985"/>
      <c r="AG5" s="1985"/>
      <c r="AH5" s="1985"/>
      <c r="AI5" s="1985"/>
      <c r="AL5" s="503"/>
    </row>
    <row r="6" spans="1:39" ht="19.5" customHeight="1">
      <c r="A6" s="629"/>
      <c r="B6" s="2804" t="s">
        <v>1438</v>
      </c>
      <c r="C6" s="630"/>
      <c r="D6" s="630"/>
      <c r="E6" s="1984"/>
      <c r="F6" s="1985"/>
      <c r="G6" s="1985"/>
      <c r="H6" s="1986"/>
      <c r="I6" s="1985"/>
      <c r="J6" s="1985"/>
      <c r="K6" s="1985"/>
      <c r="L6" s="631"/>
      <c r="M6" s="631"/>
      <c r="N6" s="631"/>
      <c r="O6" s="631"/>
      <c r="P6" s="631"/>
      <c r="Q6" s="631"/>
      <c r="R6" s="631"/>
      <c r="S6" s="631"/>
      <c r="T6" s="631"/>
      <c r="U6" s="631"/>
      <c r="V6" s="631"/>
      <c r="W6" s="631"/>
      <c r="X6" s="631"/>
      <c r="Y6" s="631"/>
      <c r="Z6" s="631"/>
      <c r="AA6" s="631"/>
      <c r="AB6" s="1985"/>
      <c r="AC6" s="1985"/>
      <c r="AD6" s="1985"/>
      <c r="AE6" s="1998"/>
      <c r="AF6" s="1998"/>
      <c r="AG6" s="1998"/>
      <c r="AH6" s="1998"/>
      <c r="AI6" s="1998"/>
    </row>
    <row r="7" spans="1:39" ht="19.5" customHeight="1">
      <c r="A7" s="629"/>
      <c r="B7" s="635" t="s">
        <v>959</v>
      </c>
      <c r="C7" s="630"/>
      <c r="D7" s="630"/>
      <c r="E7" s="1984"/>
      <c r="F7" s="1985"/>
      <c r="G7" s="1985"/>
      <c r="H7" s="1986"/>
      <c r="I7" s="1985"/>
      <c r="J7" s="1985"/>
      <c r="K7" s="1985"/>
      <c r="L7" s="631"/>
      <c r="M7" s="631"/>
      <c r="N7" s="631"/>
      <c r="O7" s="631"/>
      <c r="P7" s="631"/>
      <c r="Q7" s="631"/>
      <c r="R7" s="631"/>
      <c r="S7" s="631"/>
      <c r="T7" s="631"/>
      <c r="U7" s="631"/>
      <c r="V7" s="631"/>
      <c r="W7" s="631"/>
      <c r="X7" s="631"/>
      <c r="Y7" s="631"/>
      <c r="Z7" s="631"/>
      <c r="AA7" s="631"/>
      <c r="AB7" s="1985"/>
      <c r="AC7" s="1985"/>
      <c r="AD7" s="1985"/>
      <c r="AE7" s="1998"/>
      <c r="AF7" s="1998"/>
      <c r="AG7" s="1998"/>
      <c r="AH7" s="1998"/>
      <c r="AI7" s="1998"/>
    </row>
    <row r="8" spans="1:39" ht="19.5" customHeight="1">
      <c r="A8" s="629"/>
      <c r="C8" s="630"/>
      <c r="D8" s="630"/>
      <c r="E8" s="1984"/>
      <c r="F8" s="1985"/>
      <c r="G8" s="1985"/>
      <c r="H8" s="1985"/>
      <c r="I8" s="1985"/>
      <c r="J8" s="1985"/>
      <c r="K8" s="1985"/>
      <c r="L8" s="631"/>
      <c r="M8" s="631"/>
      <c r="N8" s="631"/>
      <c r="O8" s="631"/>
      <c r="P8" s="631"/>
      <c r="Q8" s="631"/>
      <c r="R8" s="631"/>
      <c r="S8" s="631"/>
      <c r="T8" s="631"/>
      <c r="U8" s="631"/>
      <c r="V8" s="631"/>
      <c r="W8" s="631"/>
      <c r="X8" s="631"/>
      <c r="Y8" s="631"/>
      <c r="Z8" s="631"/>
      <c r="AA8" s="631"/>
      <c r="AB8" s="1985"/>
      <c r="AC8" s="1999"/>
    </row>
    <row r="9" spans="1:39" ht="15.75" customHeight="1">
      <c r="A9" s="629"/>
      <c r="B9" s="635"/>
      <c r="C9" s="630"/>
      <c r="D9" s="630"/>
      <c r="E9" s="1984"/>
      <c r="F9" s="1985"/>
      <c r="G9" s="1985"/>
      <c r="H9" s="1985"/>
      <c r="I9" s="1985"/>
      <c r="J9" s="1985"/>
      <c r="K9" s="1985"/>
      <c r="L9" s="631"/>
      <c r="M9" s="631"/>
      <c r="N9" s="631"/>
      <c r="O9" s="631"/>
      <c r="P9" s="631"/>
      <c r="Q9" s="631"/>
      <c r="R9" s="631"/>
      <c r="S9" s="631"/>
      <c r="T9" s="631"/>
      <c r="U9" s="631"/>
      <c r="V9" s="631"/>
      <c r="W9" s="631"/>
      <c r="X9" s="631"/>
      <c r="Y9" s="631"/>
      <c r="Z9" s="631"/>
      <c r="AA9" s="631"/>
      <c r="AB9" s="1985"/>
      <c r="AC9" s="1999"/>
    </row>
    <row r="10" spans="1:39" ht="15.75" customHeight="1">
      <c r="A10" s="629"/>
      <c r="B10" s="637"/>
      <c r="C10" s="630"/>
      <c r="D10" s="630"/>
      <c r="E10" s="1984"/>
      <c r="F10" s="1985"/>
      <c r="G10" s="1985"/>
      <c r="H10" s="1985"/>
      <c r="I10" s="1985"/>
      <c r="J10" s="1985"/>
      <c r="K10" s="1985"/>
      <c r="L10" s="631"/>
      <c r="M10" s="631"/>
      <c r="N10" s="631"/>
      <c r="O10" s="631"/>
      <c r="P10" s="631"/>
      <c r="Q10" s="631"/>
      <c r="R10" s="631"/>
      <c r="S10" s="631"/>
      <c r="T10" s="631"/>
      <c r="U10" s="631"/>
      <c r="V10" s="631"/>
      <c r="W10" s="631"/>
      <c r="X10" s="631"/>
      <c r="Y10" s="631"/>
      <c r="Z10" s="631"/>
      <c r="AA10" s="631"/>
      <c r="AB10" s="1985"/>
      <c r="AC10" s="1999"/>
      <c r="AD10" s="3549" t="s">
        <v>1557</v>
      </c>
      <c r="AE10" s="3550"/>
      <c r="AF10" s="3550"/>
      <c r="AG10" s="3550"/>
      <c r="AH10" s="3550"/>
      <c r="AI10" s="3550"/>
      <c r="AJ10" s="3550"/>
      <c r="AK10" s="3550"/>
      <c r="AL10" s="3550"/>
    </row>
    <row r="11" spans="1:39" ht="15.75" customHeight="1">
      <c r="A11" s="629"/>
      <c r="B11" s="637"/>
      <c r="C11" s="630"/>
      <c r="D11" s="630"/>
      <c r="E11" s="1987"/>
      <c r="F11" s="1988"/>
      <c r="G11" s="1988"/>
      <c r="H11" s="1988"/>
      <c r="I11" s="1988"/>
      <c r="J11" s="1988"/>
      <c r="K11" s="1988"/>
      <c r="L11" s="1422"/>
      <c r="M11" s="1422"/>
      <c r="N11" s="1422"/>
      <c r="O11" s="1422"/>
      <c r="P11" s="1422"/>
      <c r="Q11" s="1422"/>
      <c r="R11" s="1422"/>
      <c r="S11" s="1422"/>
      <c r="T11" s="1422"/>
      <c r="U11" s="1422"/>
      <c r="V11" s="1422"/>
      <c r="W11" s="1422"/>
      <c r="X11" s="1422"/>
      <c r="Y11" s="1422"/>
      <c r="Z11" s="1422"/>
      <c r="AA11" s="1422"/>
      <c r="AB11" s="1988"/>
      <c r="AC11" s="2000"/>
      <c r="AD11" s="2001"/>
      <c r="AE11" s="2002"/>
      <c r="AF11" s="2002"/>
      <c r="AG11" s="2002"/>
      <c r="AH11" s="2002"/>
      <c r="AI11" s="2002"/>
      <c r="AJ11" s="2002"/>
      <c r="AK11" s="1424"/>
      <c r="AL11" s="1424"/>
    </row>
    <row r="12" spans="1:39" ht="15.75" customHeight="1">
      <c r="A12" s="638"/>
      <c r="B12" s="638"/>
      <c r="C12" s="638"/>
      <c r="D12" s="638"/>
      <c r="E12" s="1386">
        <v>2017</v>
      </c>
      <c r="F12" s="1989"/>
      <c r="G12" s="1989"/>
      <c r="H12" s="1989"/>
      <c r="I12" s="1989"/>
      <c r="J12" s="1989"/>
      <c r="K12" s="1989"/>
      <c r="L12" s="1425"/>
      <c r="M12" s="1425"/>
      <c r="N12" s="1425"/>
      <c r="O12" s="1425"/>
      <c r="P12" s="1425"/>
      <c r="Q12" s="1425"/>
      <c r="R12" s="1425"/>
      <c r="S12" s="1425"/>
      <c r="T12" s="1425"/>
      <c r="U12" s="1425"/>
      <c r="V12" s="1425"/>
      <c r="W12" s="1395">
        <v>2018</v>
      </c>
      <c r="X12" s="1425"/>
      <c r="Y12" s="1425"/>
      <c r="Z12" s="1425"/>
      <c r="AA12" s="1425"/>
      <c r="AB12" s="1989"/>
      <c r="AC12" s="1989"/>
      <c r="AD12" s="2003"/>
      <c r="AE12" s="2003"/>
      <c r="AF12" s="2003"/>
      <c r="AG12" s="2003"/>
      <c r="AH12" s="2003"/>
      <c r="AI12" s="2003"/>
      <c r="AJ12" s="2004" t="s">
        <v>8</v>
      </c>
      <c r="AK12" s="1402"/>
      <c r="AL12" s="1397" t="s">
        <v>9</v>
      </c>
      <c r="AM12" s="1429"/>
    </row>
    <row r="13" spans="1:39" ht="15.75" customHeight="1">
      <c r="A13" s="223"/>
      <c r="B13" s="223"/>
      <c r="C13" s="223"/>
      <c r="D13" s="223"/>
      <c r="E13" s="1427" t="s">
        <v>127</v>
      </c>
      <c r="F13" s="303"/>
      <c r="G13" s="1427" t="s">
        <v>128</v>
      </c>
      <c r="H13" s="303"/>
      <c r="I13" s="1427" t="s">
        <v>129</v>
      </c>
      <c r="J13" s="303"/>
      <c r="K13" s="1427" t="s">
        <v>130</v>
      </c>
      <c r="L13" s="221"/>
      <c r="M13" s="1378" t="s">
        <v>131</v>
      </c>
      <c r="N13" s="221"/>
      <c r="O13" s="1378" t="s">
        <v>132</v>
      </c>
      <c r="P13" s="221"/>
      <c r="Q13" s="1378" t="s">
        <v>133</v>
      </c>
      <c r="R13" s="221"/>
      <c r="S13" s="1378" t="s">
        <v>134</v>
      </c>
      <c r="T13" s="221"/>
      <c r="U13" s="1378" t="s">
        <v>135</v>
      </c>
      <c r="V13" s="221"/>
      <c r="W13" s="1378" t="s">
        <v>152</v>
      </c>
      <c r="X13" s="221"/>
      <c r="Y13" s="1378" t="s">
        <v>137</v>
      </c>
      <c r="Z13" s="221"/>
      <c r="AA13" s="1378" t="s">
        <v>138</v>
      </c>
      <c r="AB13" s="303"/>
      <c r="AC13" s="303"/>
      <c r="AD13" s="1427">
        <v>2018</v>
      </c>
      <c r="AE13" s="303"/>
      <c r="AF13" s="303"/>
      <c r="AG13" s="1427">
        <v>2017</v>
      </c>
      <c r="AH13" s="1428"/>
      <c r="AI13" s="1428"/>
      <c r="AJ13" s="2005" t="s">
        <v>12</v>
      </c>
      <c r="AK13" s="1400"/>
      <c r="AL13" s="1409" t="s">
        <v>13</v>
      </c>
      <c r="AM13" s="1429"/>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36"/>
      <c r="AD14" s="339"/>
      <c r="AE14" s="339"/>
      <c r="AF14" s="2067"/>
      <c r="AG14" s="339"/>
      <c r="AH14" s="339"/>
      <c r="AI14" s="1840"/>
      <c r="AJ14" s="2006"/>
      <c r="AK14" s="1284"/>
      <c r="AL14" s="1284"/>
    </row>
    <row r="15" spans="1:39" ht="15.6">
      <c r="A15" s="223"/>
      <c r="B15" s="3067" t="s">
        <v>1344</v>
      </c>
      <c r="C15" s="221"/>
      <c r="D15" s="223"/>
      <c r="E15" s="334">
        <v>-490.9</v>
      </c>
      <c r="F15" s="334"/>
      <c r="G15" s="334">
        <f>E103</f>
        <v>-501.4</v>
      </c>
      <c r="H15" s="334"/>
      <c r="I15" s="334">
        <f>G103</f>
        <v>-556.6</v>
      </c>
      <c r="J15" s="334"/>
      <c r="K15" s="334">
        <f>I103</f>
        <v>-469.7</v>
      </c>
      <c r="L15" s="292"/>
      <c r="M15" s="292">
        <f>K103</f>
        <v>-405.9</v>
      </c>
      <c r="N15" s="292"/>
      <c r="O15" s="292">
        <f>+M103</f>
        <v>-471.3</v>
      </c>
      <c r="P15" s="292"/>
      <c r="Q15" s="292">
        <f>O103</f>
        <v>-815.4</v>
      </c>
      <c r="R15" s="292"/>
      <c r="S15" s="292">
        <f>Q103</f>
        <v>-788.2</v>
      </c>
      <c r="T15" s="292"/>
      <c r="U15" s="292">
        <f>S103</f>
        <v>-921.1</v>
      </c>
      <c r="V15" s="292"/>
      <c r="W15" s="292">
        <f>U103</f>
        <v>-526.1</v>
      </c>
      <c r="X15" s="292"/>
      <c r="Y15" s="292"/>
      <c r="Z15" s="292"/>
      <c r="AA15" s="292"/>
      <c r="AB15" s="334"/>
      <c r="AC15" s="3056"/>
      <c r="AD15" s="334">
        <f>E15</f>
        <v>-490.9</v>
      </c>
      <c r="AE15" s="334"/>
      <c r="AF15" s="3062"/>
      <c r="AG15" s="334">
        <v>-331.5</v>
      </c>
      <c r="AH15" s="334"/>
      <c r="AI15" s="1840"/>
      <c r="AJ15" s="334">
        <f>ROUND(AD15-AG15,1)</f>
        <v>-159.4</v>
      </c>
      <c r="AK15" s="3065"/>
      <c r="AL15" s="2573">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36"/>
      <c r="AD16" s="339"/>
      <c r="AE16" s="339"/>
      <c r="AF16" s="2067"/>
      <c r="AG16" s="339"/>
      <c r="AH16" s="339"/>
      <c r="AI16" s="1840"/>
      <c r="AJ16" s="2006"/>
      <c r="AK16" s="1284"/>
      <c r="AL16" s="1284"/>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36"/>
      <c r="AD17" s="339"/>
      <c r="AE17" s="2007"/>
      <c r="AF17" s="315"/>
      <c r="AG17" s="339"/>
      <c r="AH17" s="339"/>
      <c r="AI17" s="1840"/>
      <c r="AJ17" s="2008"/>
      <c r="AK17" s="640"/>
      <c r="AL17" s="640"/>
    </row>
    <row r="18" spans="1:39" ht="15.6">
      <c r="A18" s="223"/>
      <c r="B18" s="486" t="s">
        <v>1177</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36"/>
      <c r="AD18" s="339"/>
      <c r="AE18" s="2009"/>
      <c r="AF18" s="315"/>
      <c r="AG18" s="339"/>
      <c r="AH18" s="339"/>
      <c r="AI18" s="1840"/>
      <c r="AJ18" s="2008"/>
      <c r="AK18" s="640"/>
      <c r="AL18" s="640"/>
    </row>
    <row r="19" spans="1:39" ht="15.6">
      <c r="A19" s="223"/>
      <c r="B19" s="1907" t="s">
        <v>1193</v>
      </c>
      <c r="C19" s="223"/>
      <c r="D19" s="223"/>
      <c r="E19" s="1990"/>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0"/>
      <c r="AD19" s="2169" t="s">
        <v>15</v>
      </c>
      <c r="AE19" s="1968"/>
      <c r="AF19" s="261"/>
      <c r="AG19" s="316" t="s">
        <v>15</v>
      </c>
      <c r="AH19" s="316"/>
      <c r="AI19" s="2011"/>
      <c r="AJ19" s="682"/>
      <c r="AK19" s="640"/>
      <c r="AL19" s="640"/>
    </row>
    <row r="20" spans="1:39">
      <c r="A20" s="223"/>
      <c r="B20" s="1206" t="s">
        <v>1196</v>
      </c>
      <c r="C20" s="223"/>
      <c r="D20" s="362" t="s">
        <v>15</v>
      </c>
      <c r="E20" s="1672">
        <v>8</v>
      </c>
      <c r="F20" s="1672"/>
      <c r="G20" s="1672">
        <v>5.5</v>
      </c>
      <c r="H20" s="1672"/>
      <c r="I20" s="1672">
        <v>7.7</v>
      </c>
      <c r="J20" s="1672"/>
      <c r="K20" s="1672">
        <v>8.4</v>
      </c>
      <c r="L20" s="2800"/>
      <c r="M20" s="1672">
        <v>8.1</v>
      </c>
      <c r="N20" s="2800"/>
      <c r="O20" s="1276">
        <v>8</v>
      </c>
      <c r="P20" s="2800"/>
      <c r="Q20" s="1191">
        <v>5.8</v>
      </c>
      <c r="R20" s="2800"/>
      <c r="S20" s="1276">
        <v>6.1</v>
      </c>
      <c r="T20" s="2800"/>
      <c r="U20" s="1276">
        <v>5</v>
      </c>
      <c r="V20" s="2800"/>
      <c r="W20" s="1276">
        <v>-0.1</v>
      </c>
      <c r="X20" s="2800"/>
      <c r="Y20" s="1276"/>
      <c r="Z20" s="2800"/>
      <c r="AA20" s="1276"/>
      <c r="AB20" s="1672"/>
      <c r="AC20" s="2550"/>
      <c r="AD20" s="1672">
        <f>ROUND(SUM(E20:AA20),1)</f>
        <v>62.5</v>
      </c>
      <c r="AE20" s="2551"/>
      <c r="AF20" s="2552"/>
      <c r="AG20" s="1672">
        <v>70.3</v>
      </c>
      <c r="AH20" s="2553"/>
      <c r="AI20" s="2554"/>
      <c r="AJ20" s="1672">
        <f>ROUND(AD20-AG20,1)</f>
        <v>-7.8</v>
      </c>
      <c r="AK20" s="1262"/>
      <c r="AL20" s="2555">
        <f>ROUND(IF(AG20=0,0,AJ20/ABS(AG20)),3)</f>
        <v>-0.111</v>
      </c>
    </row>
    <row r="21" spans="1:39" ht="15.6">
      <c r="A21" s="223"/>
      <c r="B21" s="1206" t="s">
        <v>1198</v>
      </c>
      <c r="C21" s="223"/>
      <c r="D21" s="223"/>
      <c r="E21" s="1673">
        <v>32.799999999999997</v>
      </c>
      <c r="F21" s="1672"/>
      <c r="G21" s="1673">
        <v>30.9</v>
      </c>
      <c r="H21" s="1672"/>
      <c r="I21" s="1673">
        <v>34.9</v>
      </c>
      <c r="J21" s="1672"/>
      <c r="K21" s="1673">
        <v>34.6</v>
      </c>
      <c r="L21" s="1111"/>
      <c r="M21" s="1111">
        <v>35.4</v>
      </c>
      <c r="N21" s="1111"/>
      <c r="O21" s="1276">
        <v>36.4</v>
      </c>
      <c r="P21" s="260"/>
      <c r="Q21" s="513">
        <v>33.5</v>
      </c>
      <c r="R21" s="260"/>
      <c r="S21" s="513">
        <v>33.6</v>
      </c>
      <c r="T21" s="260"/>
      <c r="U21" s="513">
        <v>36</v>
      </c>
      <c r="V21" s="260"/>
      <c r="W21" s="513">
        <v>34.799999999999997</v>
      </c>
      <c r="X21" s="260"/>
      <c r="Y21" s="513"/>
      <c r="Z21" s="260"/>
      <c r="AA21" s="513"/>
      <c r="AB21" s="316"/>
      <c r="AC21" s="1220"/>
      <c r="AD21" s="317">
        <f>ROUND(SUM(E21:AA21),1)</f>
        <v>342.9</v>
      </c>
      <c r="AE21" s="1968"/>
      <c r="AF21" s="261"/>
      <c r="AG21" s="316">
        <v>345.9</v>
      </c>
      <c r="AH21" s="316"/>
      <c r="AI21" s="2011"/>
      <c r="AJ21" s="317">
        <f>ROUND(AD21-AG21,1)</f>
        <v>-3</v>
      </c>
      <c r="AK21" s="650"/>
      <c r="AL21" s="45">
        <f>ROUND(IF(AG21=0,0,AJ21/ABS(AG21)),3)</f>
        <v>-8.9999999999999993E-3</v>
      </c>
      <c r="AM21" s="640"/>
    </row>
    <row r="22" spans="1:39" ht="15.6">
      <c r="A22" s="223"/>
      <c r="B22" s="1206" t="s">
        <v>1200</v>
      </c>
      <c r="C22" s="223"/>
      <c r="D22" s="223"/>
      <c r="E22" s="2817">
        <v>11.5</v>
      </c>
      <c r="F22" s="1672"/>
      <c r="G22" s="1673">
        <v>-32.700000000000003</v>
      </c>
      <c r="H22" s="1672"/>
      <c r="I22" s="1673">
        <v>10.7</v>
      </c>
      <c r="J22" s="1672"/>
      <c r="K22" s="1673">
        <v>12</v>
      </c>
      <c r="L22" s="1111"/>
      <c r="M22" s="1111">
        <v>11.9</v>
      </c>
      <c r="N22" s="1111"/>
      <c r="O22" s="1276">
        <v>9.8000000000000007</v>
      </c>
      <c r="P22" s="260"/>
      <c r="Q22" s="513">
        <v>14.2</v>
      </c>
      <c r="R22" s="260"/>
      <c r="S22" s="513">
        <v>11.4</v>
      </c>
      <c r="T22" s="260"/>
      <c r="U22" s="513">
        <v>10.7</v>
      </c>
      <c r="V22" s="260"/>
      <c r="W22" s="513">
        <v>14.5</v>
      </c>
      <c r="X22" s="260"/>
      <c r="Y22" s="513"/>
      <c r="Z22" s="260"/>
      <c r="AA22" s="513"/>
      <c r="AB22" s="316"/>
      <c r="AC22" s="1220"/>
      <c r="AD22" s="317">
        <f>ROUND(SUM(E22:AA22),1)</f>
        <v>74</v>
      </c>
      <c r="AE22" s="1968"/>
      <c r="AF22" s="261"/>
      <c r="AG22" s="316">
        <v>117</v>
      </c>
      <c r="AH22" s="316"/>
      <c r="AI22" s="2011"/>
      <c r="AJ22" s="317">
        <f>ROUND(AD22-AG22,1)</f>
        <v>-43</v>
      </c>
      <c r="AK22" s="650"/>
      <c r="AL22" s="45">
        <f>ROUND(IF(AG22=0,0,AJ22/ABS(AG22)),3)</f>
        <v>-0.36799999999999999</v>
      </c>
    </row>
    <row r="23" spans="1:39" ht="15.6">
      <c r="A23" s="223"/>
      <c r="B23" s="583" t="s">
        <v>1294</v>
      </c>
      <c r="C23" s="223"/>
      <c r="D23" s="223"/>
      <c r="E23" s="1219">
        <f>ROUND(SUM(E20:E22),1)</f>
        <v>52.3</v>
      </c>
      <c r="F23" s="1672"/>
      <c r="G23" s="1219">
        <f>ROUND(SUM(G20:G22),1)</f>
        <v>3.7</v>
      </c>
      <c r="H23" s="1672"/>
      <c r="I23" s="1219">
        <f>ROUND(SUM(I20:I22),1)</f>
        <v>53.3</v>
      </c>
      <c r="J23" s="1672"/>
      <c r="K23" s="1219">
        <f>ROUND(SUM(K20:K22),1)</f>
        <v>55</v>
      </c>
      <c r="L23" s="1111"/>
      <c r="M23" s="1219">
        <f>ROUND(SUM(M20:M22),1)</f>
        <v>55.4</v>
      </c>
      <c r="N23" s="1111"/>
      <c r="O23" s="1219">
        <f>ROUND(SUM(O20:O22),1)</f>
        <v>54.2</v>
      </c>
      <c r="P23" s="260"/>
      <c r="Q23" s="1219">
        <f>ROUND(SUM(Q20:Q22),1)</f>
        <v>53.5</v>
      </c>
      <c r="R23" s="260"/>
      <c r="S23" s="1219">
        <f>ROUND(SUM(S20:S22),1)</f>
        <v>51.1</v>
      </c>
      <c r="T23" s="260"/>
      <c r="U23" s="2816">
        <f>ROUND(SUM(U20:U22),1)</f>
        <v>51.7</v>
      </c>
      <c r="V23" s="260"/>
      <c r="W23" s="1219">
        <f>ROUND(SUM(W20:W22),1)</f>
        <v>49.2</v>
      </c>
      <c r="X23" s="260"/>
      <c r="Y23" s="1219">
        <f>ROUND(SUM(Y20:Y22),1)</f>
        <v>0</v>
      </c>
      <c r="Z23" s="260"/>
      <c r="AA23" s="1219">
        <f>ROUND(SUM(AA20:AA22),1)</f>
        <v>0</v>
      </c>
      <c r="AB23" s="316"/>
      <c r="AC23" s="1220"/>
      <c r="AD23" s="1219">
        <f>ROUND(SUM(AD20:AD22),1)</f>
        <v>479.4</v>
      </c>
      <c r="AE23" s="1972"/>
      <c r="AF23" s="261"/>
      <c r="AG23" s="2816">
        <f>ROUND(SUM(AG20:AG22),1)</f>
        <v>533.20000000000005</v>
      </c>
      <c r="AH23" s="316"/>
      <c r="AI23" s="2011"/>
      <c r="AJ23" s="1219">
        <f>ROUND(SUM(AJ20:AJ22),1)</f>
        <v>-53.8</v>
      </c>
      <c r="AK23" s="650"/>
      <c r="AL23" s="72">
        <f>ROUND(IF(AG23=0,0,AJ23/ABS(AG23)),3)</f>
        <v>-0.10100000000000001</v>
      </c>
    </row>
    <row r="24" spans="1:39" ht="15.6">
      <c r="A24" s="223"/>
      <c r="B24" s="1907" t="s">
        <v>1181</v>
      </c>
      <c r="C24" s="223"/>
      <c r="D24" s="223"/>
      <c r="E24" s="1672"/>
      <c r="F24" s="1672"/>
      <c r="G24" s="1672"/>
      <c r="H24" s="1672"/>
      <c r="I24" s="1672"/>
      <c r="J24" s="1672"/>
      <c r="K24" s="1672"/>
      <c r="L24" s="1111"/>
      <c r="M24" s="1111"/>
      <c r="N24" s="1111"/>
      <c r="O24" s="1276"/>
      <c r="P24" s="260"/>
      <c r="Q24" s="513"/>
      <c r="R24" s="260"/>
      <c r="S24" s="513"/>
      <c r="T24" s="260"/>
      <c r="U24" s="513"/>
      <c r="V24" s="260"/>
      <c r="W24" s="652"/>
      <c r="X24" s="260"/>
      <c r="Y24" s="513"/>
      <c r="Z24" s="260"/>
      <c r="AA24" s="652"/>
      <c r="AB24" s="316"/>
      <c r="AC24" s="1220"/>
      <c r="AD24" s="317"/>
      <c r="AE24" s="1968"/>
      <c r="AF24" s="261"/>
      <c r="AG24" s="317"/>
      <c r="AH24" s="316"/>
      <c r="AI24" s="2011"/>
      <c r="AJ24" s="317"/>
      <c r="AK24" s="640"/>
      <c r="AL24" s="648"/>
    </row>
    <row r="25" spans="1:39" ht="15.6">
      <c r="A25" s="223"/>
      <c r="B25" s="1206" t="s">
        <v>1203</v>
      </c>
      <c r="C25" s="223"/>
      <c r="D25" s="223"/>
      <c r="E25" s="1672">
        <v>0</v>
      </c>
      <c r="F25" s="1672"/>
      <c r="G25" s="1672">
        <v>0</v>
      </c>
      <c r="H25" s="1672"/>
      <c r="I25" s="1672">
        <v>0</v>
      </c>
      <c r="J25" s="1672"/>
      <c r="K25" s="1672">
        <v>0</v>
      </c>
      <c r="L25" s="1111"/>
      <c r="M25" s="1111">
        <v>0</v>
      </c>
      <c r="N25" s="1111"/>
      <c r="O25" s="1276">
        <v>0</v>
      </c>
      <c r="P25" s="260"/>
      <c r="Q25" s="513">
        <v>0</v>
      </c>
      <c r="R25" s="260"/>
      <c r="S25" s="513">
        <v>0</v>
      </c>
      <c r="T25" s="260"/>
      <c r="U25" s="513">
        <v>0</v>
      </c>
      <c r="V25" s="260"/>
      <c r="W25" s="1111">
        <v>0</v>
      </c>
      <c r="X25" s="260"/>
      <c r="Y25" s="513"/>
      <c r="Z25" s="260"/>
      <c r="AA25" s="652"/>
      <c r="AB25" s="316"/>
      <c r="AC25" s="1220"/>
      <c r="AD25" s="317">
        <f>ROUND(SUM(E25:AA25),1)</f>
        <v>0</v>
      </c>
      <c r="AE25" s="1972"/>
      <c r="AF25" s="261"/>
      <c r="AG25" s="317">
        <v>0</v>
      </c>
      <c r="AH25" s="316"/>
      <c r="AI25" s="2011"/>
      <c r="AJ25" s="317">
        <f>ROUND(AD25-AG25,1)</f>
        <v>0</v>
      </c>
      <c r="AK25" s="640"/>
      <c r="AL25" s="45">
        <f>ROUND(IF(AG25=0,0,AJ25/ABS(AG25)),3)</f>
        <v>0</v>
      </c>
    </row>
    <row r="26" spans="1:39" ht="15.6">
      <c r="A26" s="223"/>
      <c r="B26" s="1206" t="s">
        <v>1204</v>
      </c>
      <c r="C26" s="223"/>
      <c r="D26" s="223"/>
      <c r="E26" s="1672">
        <v>0.9</v>
      </c>
      <c r="F26" s="1672"/>
      <c r="G26" s="1672">
        <v>0.6</v>
      </c>
      <c r="H26" s="1672"/>
      <c r="I26" s="1672">
        <v>2</v>
      </c>
      <c r="J26" s="1672"/>
      <c r="K26" s="1672">
        <v>0</v>
      </c>
      <c r="L26" s="1111"/>
      <c r="M26" s="1111">
        <v>0.1</v>
      </c>
      <c r="N26" s="1111"/>
      <c r="O26" s="1276">
        <v>2.2000000000000002</v>
      </c>
      <c r="P26" s="260"/>
      <c r="Q26" s="513">
        <v>0.2</v>
      </c>
      <c r="R26" s="260"/>
      <c r="S26" s="513">
        <v>0</v>
      </c>
      <c r="T26" s="260"/>
      <c r="U26" s="513">
        <v>2</v>
      </c>
      <c r="V26" s="260"/>
      <c r="W26" s="1111">
        <v>0.6</v>
      </c>
      <c r="X26" s="260"/>
      <c r="Y26" s="513"/>
      <c r="Z26" s="260"/>
      <c r="AA26" s="513"/>
      <c r="AB26" s="316"/>
      <c r="AC26" s="1220"/>
      <c r="AD26" s="317">
        <f>ROUND(SUM(E26:AA26),1)</f>
        <v>8.6</v>
      </c>
      <c r="AE26" s="1972"/>
      <c r="AF26" s="261"/>
      <c r="AG26" s="317">
        <v>12.1</v>
      </c>
      <c r="AH26" s="316"/>
      <c r="AI26" s="2011"/>
      <c r="AJ26" s="317">
        <f>ROUND(AD26-AG26,1)</f>
        <v>-3.5</v>
      </c>
      <c r="AK26" s="640"/>
      <c r="AL26" s="2582">
        <f>ROUND(IF(AG26=0,1,AJ26/ABS(AG26)),3)</f>
        <v>-0.28899999999999998</v>
      </c>
    </row>
    <row r="27" spans="1:39" ht="15.6">
      <c r="A27" s="223"/>
      <c r="B27" s="1206" t="s">
        <v>1207</v>
      </c>
      <c r="C27" s="221"/>
      <c r="D27" s="223"/>
      <c r="E27" s="1673">
        <v>45.9</v>
      </c>
      <c r="F27" s="1672"/>
      <c r="G27" s="1673">
        <v>45.7</v>
      </c>
      <c r="H27" s="1672"/>
      <c r="I27" s="1673">
        <v>53.2</v>
      </c>
      <c r="J27" s="1672"/>
      <c r="K27" s="1673">
        <v>55.2</v>
      </c>
      <c r="L27" s="1111"/>
      <c r="M27" s="1111">
        <v>50.2</v>
      </c>
      <c r="N27" s="1111"/>
      <c r="O27" s="1276">
        <v>55.2</v>
      </c>
      <c r="P27" s="260"/>
      <c r="Q27" s="513">
        <v>50.8</v>
      </c>
      <c r="R27" s="260"/>
      <c r="S27" s="513">
        <v>51.5</v>
      </c>
      <c r="T27" s="260"/>
      <c r="U27" s="513">
        <v>50.7</v>
      </c>
      <c r="V27" s="260"/>
      <c r="W27" s="513">
        <v>51.4</v>
      </c>
      <c r="X27" s="260"/>
      <c r="Y27" s="513"/>
      <c r="Z27" s="260"/>
      <c r="AA27" s="513"/>
      <c r="AB27" s="316"/>
      <c r="AC27" s="1220"/>
      <c r="AD27" s="317">
        <f>ROUND(SUM(E27:AA27),1)</f>
        <v>509.8</v>
      </c>
      <c r="AE27" s="1968"/>
      <c r="AF27" s="261"/>
      <c r="AG27" s="2480">
        <v>528.9</v>
      </c>
      <c r="AH27" s="316"/>
      <c r="AI27" s="2011"/>
      <c r="AJ27" s="317">
        <f>ROUND(AD27-AG27,1)</f>
        <v>-19.100000000000001</v>
      </c>
      <c r="AK27" s="650"/>
      <c r="AL27" s="1685">
        <f>ROUND(IF(AG27=0,0,AJ27/ABS(AG27)),3)</f>
        <v>-3.5999999999999997E-2</v>
      </c>
    </row>
    <row r="28" spans="1:39" ht="15.6">
      <c r="A28" s="223"/>
      <c r="B28" s="583" t="s">
        <v>1295</v>
      </c>
      <c r="C28" s="221"/>
      <c r="D28" s="223"/>
      <c r="E28" s="1219">
        <f>ROUND(SUM(E25:E27),1)</f>
        <v>46.8</v>
      </c>
      <c r="F28" s="1672"/>
      <c r="G28" s="1219">
        <f>ROUND(SUM(G25:G27),1)</f>
        <v>46.3</v>
      </c>
      <c r="H28" s="1672"/>
      <c r="I28" s="1219">
        <f>ROUND(SUM(I25:I27),1)</f>
        <v>55.2</v>
      </c>
      <c r="J28" s="1672"/>
      <c r="K28" s="1219">
        <f>ROUND(SUM(K25:K27),1)</f>
        <v>55.2</v>
      </c>
      <c r="L28" s="1111"/>
      <c r="M28" s="1219">
        <f>ROUND(SUM(M25:M27),1)</f>
        <v>50.3</v>
      </c>
      <c r="N28" s="1111"/>
      <c r="O28" s="1219">
        <f>ROUND(SUM(O25:O27),1)</f>
        <v>57.4</v>
      </c>
      <c r="P28" s="260"/>
      <c r="Q28" s="1219">
        <f>ROUND(SUM(Q25:Q27),1)</f>
        <v>51</v>
      </c>
      <c r="R28" s="260"/>
      <c r="S28" s="1219">
        <f>ROUND(SUM(S25:S27),1)</f>
        <v>51.5</v>
      </c>
      <c r="T28" s="260"/>
      <c r="U28" s="2816">
        <f>ROUND(SUM(U25:U27),1)</f>
        <v>52.7</v>
      </c>
      <c r="V28" s="260"/>
      <c r="W28" s="1219">
        <f>ROUND(SUM(W25:W27),1)</f>
        <v>52</v>
      </c>
      <c r="X28" s="260"/>
      <c r="Y28" s="1219">
        <f>ROUND(SUM(Y25:Y27),1)</f>
        <v>0</v>
      </c>
      <c r="Z28" s="260"/>
      <c r="AA28" s="1219">
        <f>ROUND(SUM(AA25:AA27),1)</f>
        <v>0</v>
      </c>
      <c r="AB28" s="316"/>
      <c r="AC28" s="1220"/>
      <c r="AD28" s="1219">
        <f>ROUND(SUM(AD25:AD27),1)</f>
        <v>518.4</v>
      </c>
      <c r="AE28" s="1972"/>
      <c r="AF28" s="261"/>
      <c r="AG28" s="2816">
        <f>ROUND(SUM(AG25:AG27),1)</f>
        <v>541</v>
      </c>
      <c r="AH28" s="316"/>
      <c r="AI28" s="2011"/>
      <c r="AJ28" s="1219">
        <f>ROUND(SUM(AJ25:AJ27),1)</f>
        <v>-22.6</v>
      </c>
      <c r="AK28" s="650"/>
      <c r="AL28" s="1793">
        <f>ROUND(IF(AG28=0,0,AJ28/ABS(AG28)),3)</f>
        <v>-4.2000000000000003E-2</v>
      </c>
    </row>
    <row r="29" spans="1:39" ht="15.6">
      <c r="A29" s="223"/>
      <c r="B29" s="1907" t="s">
        <v>1182</v>
      </c>
      <c r="C29" s="223"/>
      <c r="D29" s="223"/>
      <c r="E29" s="2069"/>
      <c r="F29" s="1672"/>
      <c r="G29" s="2069"/>
      <c r="H29" s="1672"/>
      <c r="I29" s="1673"/>
      <c r="J29" s="1672"/>
      <c r="K29" s="1673"/>
      <c r="L29" s="1111"/>
      <c r="M29" s="1111"/>
      <c r="N29" s="1111"/>
      <c r="O29" s="1276"/>
      <c r="P29" s="260"/>
      <c r="Q29" s="513"/>
      <c r="R29" s="260"/>
      <c r="S29" s="513"/>
      <c r="T29" s="260"/>
      <c r="U29" s="513"/>
      <c r="V29" s="260"/>
      <c r="W29" s="513"/>
      <c r="X29" s="260"/>
      <c r="Y29" s="513"/>
      <c r="Z29" s="260"/>
      <c r="AA29" s="513"/>
      <c r="AB29" s="316"/>
      <c r="AC29" s="1220"/>
      <c r="AD29" s="317"/>
      <c r="AE29" s="2012"/>
      <c r="AF29" s="262"/>
      <c r="AG29" s="316"/>
      <c r="AH29" s="317"/>
      <c r="AI29" s="1969"/>
      <c r="AJ29" s="317"/>
      <c r="AK29" s="647"/>
      <c r="AL29" s="45"/>
      <c r="AM29" s="640"/>
    </row>
    <row r="30" spans="1:39" ht="15.6">
      <c r="A30" s="223"/>
      <c r="B30" s="1206" t="s">
        <v>1213</v>
      </c>
      <c r="C30" s="223"/>
      <c r="D30" s="223"/>
      <c r="E30" s="2069">
        <v>0</v>
      </c>
      <c r="F30" s="1672"/>
      <c r="G30" s="2069">
        <v>0</v>
      </c>
      <c r="H30" s="1672"/>
      <c r="I30" s="1673">
        <v>11.9</v>
      </c>
      <c r="J30" s="1672"/>
      <c r="K30" s="1673">
        <v>11.9</v>
      </c>
      <c r="L30" s="1111"/>
      <c r="M30" s="1111">
        <v>11.9</v>
      </c>
      <c r="N30" s="1111"/>
      <c r="O30" s="1276">
        <v>11.9</v>
      </c>
      <c r="P30" s="260"/>
      <c r="Q30" s="513">
        <v>11.9</v>
      </c>
      <c r="R30" s="260"/>
      <c r="S30" s="513">
        <v>12</v>
      </c>
      <c r="T30" s="260"/>
      <c r="U30" s="513">
        <v>11.9</v>
      </c>
      <c r="V30" s="260"/>
      <c r="W30" s="513">
        <v>11.9</v>
      </c>
      <c r="X30" s="260"/>
      <c r="Y30" s="513"/>
      <c r="Z30" s="260"/>
      <c r="AA30" s="513"/>
      <c r="AB30" s="316"/>
      <c r="AC30" s="1220"/>
      <c r="AD30" s="317">
        <f>ROUND(SUM(E30:AA30),1)</f>
        <v>95.3</v>
      </c>
      <c r="AE30" s="2016"/>
      <c r="AF30" s="262"/>
      <c r="AG30" s="316">
        <v>95.3</v>
      </c>
      <c r="AH30" s="317"/>
      <c r="AI30" s="1969"/>
      <c r="AJ30" s="317">
        <f>ROUND(AD30-AG30,1)</f>
        <v>0</v>
      </c>
      <c r="AK30" s="647"/>
      <c r="AL30" s="1685">
        <f>ROUND(IF(AG30=0,0,AJ30/ABS(AG30)),3)</f>
        <v>0</v>
      </c>
      <c r="AM30" s="640"/>
    </row>
    <row r="31" spans="1:39" ht="15.6">
      <c r="B31" s="583" t="s">
        <v>1296</v>
      </c>
      <c r="C31" s="223"/>
      <c r="D31" s="223"/>
      <c r="E31" s="1219">
        <f>ROUND(SUM(E30:E30),1)</f>
        <v>0</v>
      </c>
      <c r="F31" s="1672"/>
      <c r="G31" s="1219">
        <f>ROUND(SUM(G30:G30),1)</f>
        <v>0</v>
      </c>
      <c r="H31" s="1672"/>
      <c r="I31" s="1219">
        <f>ROUND(SUM(I30:I30),1)</f>
        <v>11.9</v>
      </c>
      <c r="J31" s="1672"/>
      <c r="K31" s="1219">
        <f>ROUND(SUM(K30:K30),1)</f>
        <v>11.9</v>
      </c>
      <c r="L31" s="1111"/>
      <c r="M31" s="1219">
        <f>ROUND(SUM(M30:M30),1)</f>
        <v>11.9</v>
      </c>
      <c r="N31" s="1111"/>
      <c r="O31" s="1219">
        <f>ROUND(SUM(O30:O30),1)</f>
        <v>11.9</v>
      </c>
      <c r="P31" s="260"/>
      <c r="Q31" s="1219">
        <f>ROUND(SUM(Q30:Q30),1)</f>
        <v>11.9</v>
      </c>
      <c r="R31" s="260"/>
      <c r="S31" s="1219">
        <f>ROUND(SUM(S30:S30),1)</f>
        <v>12</v>
      </c>
      <c r="T31" s="260"/>
      <c r="U31" s="2816">
        <f>ROUND(SUM(U30:U30),1)</f>
        <v>11.9</v>
      </c>
      <c r="V31" s="260"/>
      <c r="W31" s="1219">
        <f>ROUND(SUM(W30:W30),1)</f>
        <v>11.9</v>
      </c>
      <c r="X31" s="260"/>
      <c r="Y31" s="1219">
        <f>ROUND(SUM(Y30:Y30),1)</f>
        <v>0</v>
      </c>
      <c r="Z31" s="260"/>
      <c r="AA31" s="1219">
        <f>ROUND(SUM(AA30:AA30),1)</f>
        <v>0</v>
      </c>
      <c r="AB31" s="316"/>
      <c r="AC31" s="1220"/>
      <c r="AD31" s="1219">
        <f>ROUND(SUM(AD30:AD30),1)</f>
        <v>95.3</v>
      </c>
      <c r="AE31" s="2016"/>
      <c r="AF31" s="262"/>
      <c r="AG31" s="2816">
        <f>ROUND(SUM(AG30:AG30),1)</f>
        <v>95.3</v>
      </c>
      <c r="AH31" s="317"/>
      <c r="AI31" s="1969"/>
      <c r="AJ31" s="1219">
        <f>ROUND(SUM(AJ30:AJ30),1)</f>
        <v>0</v>
      </c>
      <c r="AK31" s="647"/>
      <c r="AL31" s="72">
        <f>ROUND(IF(AG31=0,0,AJ31/ABS(AG31)),3)</f>
        <v>0</v>
      </c>
      <c r="AM31" s="640"/>
    </row>
    <row r="32" spans="1:39" ht="15.6">
      <c r="A32" s="223"/>
      <c r="B32" s="221"/>
      <c r="C32" s="223"/>
      <c r="D32" s="223"/>
      <c r="E32" s="2069"/>
      <c r="F32" s="1672"/>
      <c r="G32" s="2069"/>
      <c r="H32" s="1672"/>
      <c r="I32" s="1673"/>
      <c r="J32" s="1672"/>
      <c r="K32" s="1673"/>
      <c r="L32" s="1111"/>
      <c r="M32" s="1111"/>
      <c r="N32" s="1111"/>
      <c r="O32" s="1276"/>
      <c r="P32" s="260"/>
      <c r="Q32" s="513"/>
      <c r="R32" s="260"/>
      <c r="S32" s="513"/>
      <c r="T32" s="260"/>
      <c r="U32" s="513"/>
      <c r="V32" s="260"/>
      <c r="W32" s="513"/>
      <c r="X32" s="260"/>
      <c r="Y32" s="513"/>
      <c r="Z32" s="260"/>
      <c r="AA32" s="513"/>
      <c r="AB32" s="316"/>
      <c r="AC32" s="1220"/>
      <c r="AD32" s="317"/>
      <c r="AE32" s="2016"/>
      <c r="AF32" s="262"/>
      <c r="AG32" s="316"/>
      <c r="AH32" s="317"/>
      <c r="AI32" s="1969"/>
      <c r="AJ32" s="317"/>
      <c r="AK32" s="647"/>
      <c r="AL32" s="2063"/>
      <c r="AM32" s="640"/>
    </row>
    <row r="33" spans="1:39" s="645" customFormat="1" ht="15.6">
      <c r="A33" s="221"/>
      <c r="B33" s="583" t="s">
        <v>1209</v>
      </c>
      <c r="C33" s="221"/>
      <c r="D33" s="221"/>
      <c r="E33" s="1911">
        <f>ROUND(SUM(+E28+E23+E31),1)</f>
        <v>99.1</v>
      </c>
      <c r="F33" s="310"/>
      <c r="G33" s="1911">
        <f>ROUND(SUM(+G28+G23+G31),1)</f>
        <v>50</v>
      </c>
      <c r="H33" s="310"/>
      <c r="I33" s="1911">
        <f>ROUND(SUM(+I28+I23+I31),1)</f>
        <v>120.4</v>
      </c>
      <c r="J33" s="310"/>
      <c r="K33" s="1911">
        <f>ROUND(SUM(+K28+K23+K31),1)</f>
        <v>122.1</v>
      </c>
      <c r="L33" s="1719"/>
      <c r="M33" s="1911">
        <f>ROUND(SUM(+M28+M23+M31),1)</f>
        <v>117.6</v>
      </c>
      <c r="N33" s="1719"/>
      <c r="O33" s="1911">
        <f>ROUND(SUM(+O28+O23+O31),1)</f>
        <v>123.5</v>
      </c>
      <c r="P33" s="1719"/>
      <c r="Q33" s="1911">
        <f>ROUND(SUM(+Q28+Q23+Q31),1)</f>
        <v>116.4</v>
      </c>
      <c r="R33" s="1719"/>
      <c r="S33" s="1911">
        <f>ROUND(SUM(+S28+S23+S31),1)</f>
        <v>114.6</v>
      </c>
      <c r="T33" s="1719"/>
      <c r="U33" s="1911">
        <f>ROUND(SUM(+U28+U23+U31),1)</f>
        <v>116.3</v>
      </c>
      <c r="V33" s="1719"/>
      <c r="W33" s="1911">
        <f>ROUND(SUM(+W28+W23+W31),1)</f>
        <v>113.1</v>
      </c>
      <c r="X33" s="1719"/>
      <c r="Y33" s="1911">
        <f>ROUND(SUM(+Y28+Y23+Y31),1)</f>
        <v>0</v>
      </c>
      <c r="Z33" s="1719"/>
      <c r="AA33" s="1911">
        <f>ROUND(SUM(+AA28+AA23+AA31),1)</f>
        <v>0</v>
      </c>
      <c r="AB33" s="310"/>
      <c r="AC33" s="1221"/>
      <c r="AD33" s="1911">
        <f>ROUND(SUM(+AD28+AD23+AD31),1)</f>
        <v>1093.0999999999999</v>
      </c>
      <c r="AE33" s="2013"/>
      <c r="AF33" s="2014"/>
      <c r="AG33" s="1911">
        <f>ROUND(SUM(+AG28+AG23+AG31),1)</f>
        <v>1169.5</v>
      </c>
      <c r="AH33" s="2015"/>
      <c r="AI33" s="1969"/>
      <c r="AJ33" s="1911">
        <f>ROUND(SUM(+AJ28+AJ23+AJ31),1)</f>
        <v>-76.400000000000006</v>
      </c>
      <c r="AK33" s="1399"/>
      <c r="AL33" s="1793">
        <f>ROUND(IF(AG33=0,1,AJ33/ABS(AG33)),3)</f>
        <v>-6.5000000000000002E-2</v>
      </c>
      <c r="AM33" s="658"/>
    </row>
    <row r="34" spans="1:39" ht="15.6">
      <c r="A34" s="223"/>
      <c r="B34" s="1279"/>
      <c r="C34" s="223"/>
      <c r="D34" s="223"/>
      <c r="E34" s="2069"/>
      <c r="F34" s="1672"/>
      <c r="G34" s="2069"/>
      <c r="H34" s="1672"/>
      <c r="I34" s="1673"/>
      <c r="J34" s="1672"/>
      <c r="K34" s="1673"/>
      <c r="L34" s="1111"/>
      <c r="M34" s="1111"/>
      <c r="N34" s="1111"/>
      <c r="O34" s="1276"/>
      <c r="P34" s="260"/>
      <c r="Q34" s="513"/>
      <c r="R34" s="260"/>
      <c r="S34" s="513"/>
      <c r="T34" s="260"/>
      <c r="U34" s="513"/>
      <c r="V34" s="260"/>
      <c r="W34" s="513"/>
      <c r="X34" s="260"/>
      <c r="Y34" s="513"/>
      <c r="Z34" s="260"/>
      <c r="AA34" s="513"/>
      <c r="AB34" s="316"/>
      <c r="AC34" s="1220"/>
      <c r="AD34" s="317"/>
      <c r="AE34" s="2016"/>
      <c r="AF34" s="262"/>
      <c r="AG34" s="316"/>
      <c r="AH34" s="317"/>
      <c r="AI34" s="1969"/>
      <c r="AJ34" s="317"/>
      <c r="AK34" s="647"/>
      <c r="AL34" s="45"/>
      <c r="AM34" s="640"/>
    </row>
    <row r="35" spans="1:39" ht="15.6">
      <c r="A35" s="223"/>
      <c r="B35" s="486" t="s">
        <v>1128</v>
      </c>
      <c r="C35" s="223"/>
      <c r="D35" s="223"/>
      <c r="E35" s="1673"/>
      <c r="F35" s="1672"/>
      <c r="G35" s="1673"/>
      <c r="H35" s="1672"/>
      <c r="I35" s="1673"/>
      <c r="J35" s="1672"/>
      <c r="K35" s="1673"/>
      <c r="L35" s="1111"/>
      <c r="M35" s="1111"/>
      <c r="N35" s="1111"/>
      <c r="O35" s="1276"/>
      <c r="P35" s="260"/>
      <c r="Q35" s="513"/>
      <c r="R35" s="260"/>
      <c r="S35" s="513"/>
      <c r="T35" s="260"/>
      <c r="U35" s="513"/>
      <c r="V35" s="260"/>
      <c r="W35" s="513"/>
      <c r="X35" s="260"/>
      <c r="Y35" s="513"/>
      <c r="Z35" s="260"/>
      <c r="AA35" s="513"/>
      <c r="AB35" s="316"/>
      <c r="AC35" s="1220"/>
      <c r="AD35" s="317"/>
      <c r="AE35" s="1968"/>
      <c r="AF35" s="261"/>
      <c r="AG35" s="316"/>
      <c r="AH35" s="317"/>
      <c r="AI35" s="1969"/>
      <c r="AJ35" s="317"/>
      <c r="AK35" s="1970"/>
      <c r="AL35" s="1971"/>
    </row>
    <row r="36" spans="1:39" ht="15.6">
      <c r="A36" s="223"/>
      <c r="B36" s="1669" t="s">
        <v>1237</v>
      </c>
      <c r="C36" s="1279"/>
      <c r="D36" s="223"/>
      <c r="E36" s="1673"/>
      <c r="F36" s="1672"/>
      <c r="G36" s="1673"/>
      <c r="H36" s="1672"/>
      <c r="I36" s="1673"/>
      <c r="J36" s="1672"/>
      <c r="K36" s="1673"/>
      <c r="L36" s="1111"/>
      <c r="M36" s="1111"/>
      <c r="N36" s="1111"/>
      <c r="O36" s="1276"/>
      <c r="P36" s="260"/>
      <c r="Q36" s="513"/>
      <c r="R36" s="260"/>
      <c r="S36" s="513"/>
      <c r="T36" s="260"/>
      <c r="U36" s="513"/>
      <c r="V36" s="260"/>
      <c r="W36" s="513"/>
      <c r="X36" s="260"/>
      <c r="Y36" s="513"/>
      <c r="Z36" s="260"/>
      <c r="AA36" s="513"/>
      <c r="AB36" s="316"/>
      <c r="AC36" s="1220"/>
      <c r="AD36" s="317"/>
      <c r="AE36" s="1972"/>
      <c r="AF36" s="261"/>
      <c r="AG36" s="316"/>
      <c r="AH36" s="317"/>
      <c r="AI36" s="1969"/>
      <c r="AJ36" s="317"/>
      <c r="AK36" s="650"/>
      <c r="AL36" s="648"/>
    </row>
    <row r="37" spans="1:39" ht="15.6">
      <c r="A37" s="223"/>
      <c r="B37" s="1669" t="s">
        <v>1146</v>
      </c>
      <c r="C37" s="1279"/>
      <c r="D37" s="223"/>
      <c r="E37" s="1673">
        <v>0</v>
      </c>
      <c r="F37" s="1672"/>
      <c r="G37" s="1673">
        <v>0</v>
      </c>
      <c r="H37" s="1672"/>
      <c r="I37" s="1673">
        <v>23</v>
      </c>
      <c r="J37" s="1672"/>
      <c r="K37" s="1673">
        <v>0</v>
      </c>
      <c r="L37" s="1111"/>
      <c r="M37" s="1111">
        <v>0</v>
      </c>
      <c r="N37" s="1111"/>
      <c r="O37" s="1276">
        <v>0</v>
      </c>
      <c r="P37" s="260"/>
      <c r="Q37" s="513">
        <v>0</v>
      </c>
      <c r="R37" s="260"/>
      <c r="S37" s="513">
        <v>0</v>
      </c>
      <c r="T37" s="260"/>
      <c r="U37" s="513">
        <v>0</v>
      </c>
      <c r="V37" s="260"/>
      <c r="W37" s="513">
        <v>0</v>
      </c>
      <c r="X37" s="260"/>
      <c r="Y37" s="513"/>
      <c r="Z37" s="260"/>
      <c r="AA37" s="513"/>
      <c r="AB37" s="316"/>
      <c r="AC37" s="1220"/>
      <c r="AD37" s="317">
        <f>ROUND(SUM(E37:AA37),1)</f>
        <v>23</v>
      </c>
      <c r="AE37" s="1972"/>
      <c r="AF37" s="261"/>
      <c r="AG37" s="1966">
        <v>23</v>
      </c>
      <c r="AH37" s="317"/>
      <c r="AI37" s="1969"/>
      <c r="AJ37" s="317">
        <f t="shared" ref="AJ37:AJ60" si="0">ROUND(AD37-AG37,1)</f>
        <v>0</v>
      </c>
      <c r="AK37" s="650"/>
      <c r="AL37" s="2568">
        <f>ROUND(IF(AG37=0,0,AJ37/ABS(AG37)),3)</f>
        <v>0</v>
      </c>
    </row>
    <row r="38" spans="1:39" ht="15.6">
      <c r="A38" s="223"/>
      <c r="B38" s="1669" t="s">
        <v>1238</v>
      </c>
      <c r="C38" s="1279"/>
      <c r="D38" s="223"/>
      <c r="E38" s="1673"/>
      <c r="F38" s="1672"/>
      <c r="G38" s="1673"/>
      <c r="H38" s="1672"/>
      <c r="I38" s="1673"/>
      <c r="J38" s="1672"/>
      <c r="K38" s="1673"/>
      <c r="L38" s="1111"/>
      <c r="M38" s="1111"/>
      <c r="N38" s="1111"/>
      <c r="O38" s="1276"/>
      <c r="P38" s="260"/>
      <c r="Q38" s="513"/>
      <c r="R38" s="260"/>
      <c r="S38" s="513"/>
      <c r="T38" s="260"/>
      <c r="U38" s="513"/>
      <c r="V38" s="260"/>
      <c r="W38" s="513"/>
      <c r="X38" s="260"/>
      <c r="Y38" s="513"/>
      <c r="Z38" s="260"/>
      <c r="AA38" s="513"/>
      <c r="AB38" s="316"/>
      <c r="AC38" s="1220"/>
      <c r="AD38" s="1967"/>
      <c r="AE38" s="1972"/>
      <c r="AF38" s="261"/>
      <c r="AG38" s="1966"/>
      <c r="AH38" s="317"/>
      <c r="AI38" s="1969"/>
      <c r="AJ38" s="317"/>
      <c r="AK38" s="650"/>
      <c r="AL38" s="2617"/>
    </row>
    <row r="39" spans="1:39" ht="15.6">
      <c r="A39" s="223"/>
      <c r="B39" s="1669" t="s">
        <v>1147</v>
      </c>
      <c r="C39" s="1279"/>
      <c r="D39" s="223"/>
      <c r="E39" s="1673">
        <v>15.5</v>
      </c>
      <c r="F39" s="1672"/>
      <c r="G39" s="1673">
        <v>8.4</v>
      </c>
      <c r="H39" s="1672"/>
      <c r="I39" s="1673">
        <v>9.6</v>
      </c>
      <c r="J39" s="1672"/>
      <c r="K39" s="1673">
        <v>13</v>
      </c>
      <c r="L39" s="1111"/>
      <c r="M39" s="1111">
        <v>8.1999999999999993</v>
      </c>
      <c r="N39" s="1111"/>
      <c r="O39" s="1276">
        <v>10.3</v>
      </c>
      <c r="P39" s="260"/>
      <c r="Q39" s="513">
        <v>11.4</v>
      </c>
      <c r="R39" s="260"/>
      <c r="S39" s="513">
        <v>8.1999999999999993</v>
      </c>
      <c r="T39" s="260"/>
      <c r="U39" s="513">
        <v>8.4</v>
      </c>
      <c r="V39" s="260"/>
      <c r="W39" s="513">
        <v>12.3</v>
      </c>
      <c r="X39" s="260"/>
      <c r="Y39" s="513"/>
      <c r="Z39" s="260"/>
      <c r="AA39" s="513"/>
      <c r="AB39" s="316"/>
      <c r="AC39" s="1220"/>
      <c r="AD39" s="317">
        <f>ROUND(SUM(E39:AA39),1)</f>
        <v>105.3</v>
      </c>
      <c r="AE39" s="1972"/>
      <c r="AF39" s="261"/>
      <c r="AG39" s="1966">
        <v>91.9</v>
      </c>
      <c r="AH39" s="317"/>
      <c r="AI39" s="1969"/>
      <c r="AJ39" s="317">
        <f t="shared" si="0"/>
        <v>13.4</v>
      </c>
      <c r="AK39" s="650"/>
      <c r="AL39" s="2568">
        <f>ROUND(IF(AG39=0,0,AJ39/ABS(AG39)),3)</f>
        <v>0.14599999999999999</v>
      </c>
    </row>
    <row r="40" spans="1:39" ht="15.6">
      <c r="A40" s="223"/>
      <c r="B40" s="1669" t="s">
        <v>1242</v>
      </c>
      <c r="C40" s="1279"/>
      <c r="D40" s="223"/>
      <c r="E40" s="1966"/>
      <c r="F40" s="316"/>
      <c r="G40" s="1966"/>
      <c r="H40" s="316"/>
      <c r="I40" s="1966"/>
      <c r="J40" s="316"/>
      <c r="K40" s="1966"/>
      <c r="L40" s="260"/>
      <c r="M40" s="260"/>
      <c r="N40" s="260"/>
      <c r="O40" s="513"/>
      <c r="P40" s="260"/>
      <c r="Q40" s="513"/>
      <c r="R40" s="260"/>
      <c r="S40" s="513"/>
      <c r="T40" s="260"/>
      <c r="U40" s="513"/>
      <c r="V40" s="260"/>
      <c r="W40" s="513"/>
      <c r="X40" s="260"/>
      <c r="Y40" s="513"/>
      <c r="Z40" s="260"/>
      <c r="AA40" s="513"/>
      <c r="AB40" s="316"/>
      <c r="AC40" s="1220"/>
      <c r="AD40" s="317"/>
      <c r="AE40" s="1972"/>
      <c r="AF40" s="261"/>
      <c r="AG40" s="1966"/>
      <c r="AH40" s="317"/>
      <c r="AI40" s="1969"/>
      <c r="AJ40" s="317"/>
      <c r="AK40" s="650"/>
      <c r="AL40" s="2617"/>
    </row>
    <row r="41" spans="1:39" ht="15.6">
      <c r="A41" s="223"/>
      <c r="B41" s="1669" t="s">
        <v>1151</v>
      </c>
      <c r="C41" s="1279"/>
      <c r="D41" s="223"/>
      <c r="E41" s="1966">
        <v>1.6</v>
      </c>
      <c r="F41" s="316"/>
      <c r="G41" s="1966">
        <v>7.9</v>
      </c>
      <c r="H41" s="316"/>
      <c r="I41" s="1966">
        <v>2.7</v>
      </c>
      <c r="J41" s="316"/>
      <c r="K41" s="1966">
        <v>3.5</v>
      </c>
      <c r="L41" s="260"/>
      <c r="M41" s="260">
        <v>1.7</v>
      </c>
      <c r="N41" s="260"/>
      <c r="O41" s="513">
        <v>5</v>
      </c>
      <c r="P41" s="260"/>
      <c r="Q41" s="513">
        <v>1.8</v>
      </c>
      <c r="R41" s="260"/>
      <c r="S41" s="513">
        <v>1.1000000000000001</v>
      </c>
      <c r="T41" s="260"/>
      <c r="U41" s="513">
        <v>0.6</v>
      </c>
      <c r="V41" s="260"/>
      <c r="W41" s="513">
        <v>0.3</v>
      </c>
      <c r="X41" s="260"/>
      <c r="Y41" s="513"/>
      <c r="Z41" s="260"/>
      <c r="AA41" s="513"/>
      <c r="AB41" s="316"/>
      <c r="AC41" s="1220"/>
      <c r="AD41" s="317">
        <f>ROUND(SUM(E41:AA41),1)</f>
        <v>26.2</v>
      </c>
      <c r="AE41" s="1972"/>
      <c r="AF41" s="261"/>
      <c r="AG41" s="1966">
        <v>33.299999999999997</v>
      </c>
      <c r="AH41" s="317"/>
      <c r="AI41" s="1969"/>
      <c r="AJ41" s="317">
        <f t="shared" si="0"/>
        <v>-7.1</v>
      </c>
      <c r="AK41" s="650"/>
      <c r="AL41" s="2568">
        <f>ROUND(IF(AG41=0,0,AJ41/ABS(AG41)),3)</f>
        <v>-0.21299999999999999</v>
      </c>
    </row>
    <row r="42" spans="1:39" ht="15.6">
      <c r="A42" s="223"/>
      <c r="B42" s="1669" t="s">
        <v>1310</v>
      </c>
      <c r="C42" s="1279"/>
      <c r="D42" s="223"/>
      <c r="E42" s="1966">
        <v>0</v>
      </c>
      <c r="F42" s="316"/>
      <c r="G42" s="1966">
        <v>0</v>
      </c>
      <c r="H42" s="316"/>
      <c r="I42" s="1966">
        <v>0</v>
      </c>
      <c r="J42" s="316"/>
      <c r="K42" s="1966">
        <v>0</v>
      </c>
      <c r="L42" s="260"/>
      <c r="M42" s="260">
        <v>0</v>
      </c>
      <c r="N42" s="260"/>
      <c r="O42" s="513">
        <v>0</v>
      </c>
      <c r="P42" s="260"/>
      <c r="Q42" s="513">
        <v>0</v>
      </c>
      <c r="R42" s="260"/>
      <c r="S42" s="513">
        <v>0</v>
      </c>
      <c r="T42" s="260"/>
      <c r="U42" s="513">
        <v>0</v>
      </c>
      <c r="V42" s="260"/>
      <c r="W42" s="513">
        <v>0</v>
      </c>
      <c r="X42" s="260"/>
      <c r="Y42" s="513"/>
      <c r="Z42" s="260"/>
      <c r="AA42" s="513"/>
      <c r="AB42" s="316"/>
      <c r="AC42" s="1220"/>
      <c r="AD42" s="317">
        <f t="shared" ref="AD42" si="1">ROUND(SUM(E42:AA42),1)</f>
        <v>0</v>
      </c>
      <c r="AE42" s="2638"/>
      <c r="AF42" s="261"/>
      <c r="AG42" s="1966">
        <v>0</v>
      </c>
      <c r="AH42" s="317"/>
      <c r="AI42" s="1969"/>
      <c r="AJ42" s="317">
        <f>ROUND(AD42-AG42,1)</f>
        <v>0</v>
      </c>
      <c r="AK42" s="650"/>
      <c r="AL42" s="2582">
        <f>ROUND(IF(AG42=0,0,AJ42/ABS(AG42)),3)</f>
        <v>0</v>
      </c>
    </row>
    <row r="43" spans="1:39" ht="15.6">
      <c r="A43" s="223"/>
      <c r="B43" s="1669" t="s">
        <v>1154</v>
      </c>
      <c r="C43" s="1279"/>
      <c r="D43" s="223"/>
      <c r="E43" s="1966">
        <v>69.3</v>
      </c>
      <c r="F43" s="316"/>
      <c r="G43" s="1966">
        <v>65.7</v>
      </c>
      <c r="H43" s="316"/>
      <c r="I43" s="1966">
        <v>63.4</v>
      </c>
      <c r="J43" s="316"/>
      <c r="K43" s="1966">
        <v>70.599999999999994</v>
      </c>
      <c r="L43" s="260"/>
      <c r="M43" s="260">
        <v>58.7</v>
      </c>
      <c r="N43" s="260"/>
      <c r="O43" s="513">
        <v>61.8</v>
      </c>
      <c r="P43" s="260"/>
      <c r="Q43" s="513">
        <v>56.4</v>
      </c>
      <c r="R43" s="260"/>
      <c r="S43" s="513">
        <v>59.5</v>
      </c>
      <c r="T43" s="260"/>
      <c r="U43" s="513">
        <v>59.9</v>
      </c>
      <c r="V43" s="260"/>
      <c r="W43" s="513">
        <v>54.2</v>
      </c>
      <c r="X43" s="260"/>
      <c r="Y43" s="513"/>
      <c r="Z43" s="260"/>
      <c r="AA43" s="513"/>
      <c r="AB43" s="316"/>
      <c r="AC43" s="1220"/>
      <c r="AD43" s="317">
        <f>ROUND(SUM(E43:AA43),1)</f>
        <v>619.5</v>
      </c>
      <c r="AE43" s="1972"/>
      <c r="AF43" s="261"/>
      <c r="AG43" s="1966">
        <v>594.1</v>
      </c>
      <c r="AH43" s="317"/>
      <c r="AI43" s="1969"/>
      <c r="AJ43" s="317">
        <f t="shared" si="0"/>
        <v>25.4</v>
      </c>
      <c r="AK43" s="650"/>
      <c r="AL43" s="2568">
        <f>ROUND(IF(AG43=0,0,AJ43/ABS(AG43)),3)</f>
        <v>4.2999999999999997E-2</v>
      </c>
    </row>
    <row r="44" spans="1:39" ht="15.6">
      <c r="A44" s="223"/>
      <c r="B44" s="1669" t="s">
        <v>1155</v>
      </c>
      <c r="C44" s="1279"/>
      <c r="D44" s="223"/>
      <c r="E44" s="1966">
        <v>0.1</v>
      </c>
      <c r="F44" s="316"/>
      <c r="G44" s="1966">
        <v>0.2</v>
      </c>
      <c r="H44" s="316"/>
      <c r="I44" s="1966">
        <v>0.2</v>
      </c>
      <c r="J44" s="316"/>
      <c r="K44" s="1966">
        <v>0.1</v>
      </c>
      <c r="L44" s="260"/>
      <c r="M44" s="260">
        <v>0.3</v>
      </c>
      <c r="N44" s="260"/>
      <c r="O44" s="513">
        <v>23</v>
      </c>
      <c r="P44" s="260"/>
      <c r="Q44" s="513">
        <v>0.2</v>
      </c>
      <c r="R44" s="260"/>
      <c r="S44" s="513">
        <v>0</v>
      </c>
      <c r="T44" s="260"/>
      <c r="U44" s="513">
        <v>0</v>
      </c>
      <c r="V44" s="260"/>
      <c r="W44" s="513">
        <v>0</v>
      </c>
      <c r="X44" s="260"/>
      <c r="Y44" s="513"/>
      <c r="Z44" s="260"/>
      <c r="AA44" s="513"/>
      <c r="AB44" s="316"/>
      <c r="AC44" s="1220"/>
      <c r="AD44" s="317">
        <f>ROUND(SUM(E44:AA44),1)</f>
        <v>24.1</v>
      </c>
      <c r="AE44" s="1972"/>
      <c r="AF44" s="261"/>
      <c r="AG44" s="1966">
        <v>26.9</v>
      </c>
      <c r="AH44" s="317"/>
      <c r="AI44" s="1969"/>
      <c r="AJ44" s="317">
        <f t="shared" si="0"/>
        <v>-2.8</v>
      </c>
      <c r="AK44" s="650"/>
      <c r="AL44" s="2582">
        <f>ROUND(IF(AG44=0,1,AJ44/ABS(AG44)),3)</f>
        <v>-0.104</v>
      </c>
    </row>
    <row r="45" spans="1:39" ht="15.6">
      <c r="A45" s="223"/>
      <c r="B45" s="1669" t="s">
        <v>1129</v>
      </c>
      <c r="C45" s="1279"/>
      <c r="D45" s="223"/>
      <c r="E45" s="1966">
        <v>1.9</v>
      </c>
      <c r="F45" s="316"/>
      <c r="G45" s="1966">
        <v>4.7</v>
      </c>
      <c r="H45" s="316"/>
      <c r="I45" s="1966">
        <v>2.2000000000000002</v>
      </c>
      <c r="J45" s="316"/>
      <c r="K45" s="1966">
        <v>2.4</v>
      </c>
      <c r="L45" s="260"/>
      <c r="M45" s="260">
        <v>2.5</v>
      </c>
      <c r="N45" s="260"/>
      <c r="O45" s="513">
        <v>2</v>
      </c>
      <c r="P45" s="260"/>
      <c r="Q45" s="513">
        <v>2.2000000000000002</v>
      </c>
      <c r="R45" s="260"/>
      <c r="S45" s="513">
        <v>1.9</v>
      </c>
      <c r="T45" s="260"/>
      <c r="U45" s="513">
        <v>1.9</v>
      </c>
      <c r="V45" s="260"/>
      <c r="W45" s="513">
        <v>2.2000000000000002</v>
      </c>
      <c r="X45" s="260"/>
      <c r="Y45" s="513"/>
      <c r="Z45" s="260"/>
      <c r="AA45" s="513"/>
      <c r="AB45" s="316"/>
      <c r="AC45" s="1220"/>
      <c r="AD45" s="317">
        <f>ROUND(SUM(E45:AA45),1)</f>
        <v>23.9</v>
      </c>
      <c r="AE45" s="1972"/>
      <c r="AF45" s="261"/>
      <c r="AG45" s="1966">
        <v>27.7</v>
      </c>
      <c r="AH45" s="317"/>
      <c r="AI45" s="1969"/>
      <c r="AJ45" s="317">
        <f t="shared" si="0"/>
        <v>-3.8</v>
      </c>
      <c r="AK45" s="650"/>
      <c r="AL45" s="2636">
        <f>ROUND(IF(AG45=0,1,AJ45/ABS(AG45)),3)</f>
        <v>-0.13700000000000001</v>
      </c>
    </row>
    <row r="46" spans="1:39" ht="15.6">
      <c r="A46" s="223"/>
      <c r="B46" s="1669" t="s">
        <v>1130</v>
      </c>
      <c r="C46" s="1279"/>
      <c r="D46" s="223"/>
      <c r="E46" s="1966">
        <v>0.4</v>
      </c>
      <c r="F46" s="316"/>
      <c r="G46" s="1966">
        <v>0.4</v>
      </c>
      <c r="H46" s="316"/>
      <c r="I46" s="1966">
        <v>0.5</v>
      </c>
      <c r="J46" s="316"/>
      <c r="K46" s="1966">
        <v>0.5</v>
      </c>
      <c r="L46" s="260"/>
      <c r="M46" s="260">
        <v>0.5</v>
      </c>
      <c r="N46" s="260"/>
      <c r="O46" s="513">
        <v>0.7</v>
      </c>
      <c r="P46" s="260"/>
      <c r="Q46" s="513">
        <v>0.5</v>
      </c>
      <c r="R46" s="260"/>
      <c r="S46" s="513">
        <v>0.6</v>
      </c>
      <c r="T46" s="260"/>
      <c r="U46" s="513">
        <v>0.5</v>
      </c>
      <c r="V46" s="260"/>
      <c r="W46" s="513">
        <v>0.6</v>
      </c>
      <c r="X46" s="260"/>
      <c r="Y46" s="513"/>
      <c r="Z46" s="260"/>
      <c r="AA46" s="513"/>
      <c r="AB46" s="316"/>
      <c r="AC46" s="1220"/>
      <c r="AD46" s="317">
        <f>ROUND(SUM(E46:AA46),1)</f>
        <v>5.2</v>
      </c>
      <c r="AE46" s="1972"/>
      <c r="AF46" s="261"/>
      <c r="AG46" s="1966">
        <v>2</v>
      </c>
      <c r="AH46" s="317"/>
      <c r="AI46" s="1969"/>
      <c r="AJ46" s="317">
        <f t="shared" si="0"/>
        <v>3.2</v>
      </c>
      <c r="AK46" s="650"/>
      <c r="AL46" s="2582">
        <f>ROUND(IF(AG46=0,1,AJ46/ABS(AG46)),3)</f>
        <v>1.6</v>
      </c>
    </row>
    <row r="47" spans="1:39" ht="15.6">
      <c r="A47" s="223"/>
      <c r="B47" s="1669" t="s">
        <v>1240</v>
      </c>
      <c r="C47" s="1279"/>
      <c r="D47" s="223"/>
      <c r="E47" s="1966"/>
      <c r="F47" s="316"/>
      <c r="G47" s="1966"/>
      <c r="H47" s="316"/>
      <c r="I47" s="1966"/>
      <c r="J47" s="316"/>
      <c r="K47" s="1966"/>
      <c r="L47" s="260"/>
      <c r="M47" s="260"/>
      <c r="N47" s="260"/>
      <c r="O47" s="513"/>
      <c r="P47" s="260"/>
      <c r="Q47" s="513"/>
      <c r="R47" s="260"/>
      <c r="S47" s="513"/>
      <c r="T47" s="260"/>
      <c r="U47" s="513"/>
      <c r="V47" s="260"/>
      <c r="W47" s="513"/>
      <c r="X47" s="260"/>
      <c r="Y47" s="513"/>
      <c r="Z47" s="260"/>
      <c r="AA47" s="513"/>
      <c r="AB47" s="316"/>
      <c r="AC47" s="1220"/>
      <c r="AD47" s="317"/>
      <c r="AE47" s="1972"/>
      <c r="AF47" s="261"/>
      <c r="AG47" s="1966"/>
      <c r="AH47" s="317"/>
      <c r="AI47" s="1969"/>
      <c r="AJ47" s="317"/>
      <c r="AK47" s="650"/>
      <c r="AL47" s="2617"/>
    </row>
    <row r="48" spans="1:39" ht="15.6">
      <c r="A48" s="223"/>
      <c r="B48" s="1669" t="s">
        <v>1159</v>
      </c>
      <c r="C48" s="1279"/>
      <c r="D48" s="223"/>
      <c r="E48" s="1966">
        <v>0</v>
      </c>
      <c r="F48" s="316"/>
      <c r="G48" s="1966">
        <v>2.6</v>
      </c>
      <c r="H48" s="316"/>
      <c r="I48" s="1966">
        <v>76.099999999999994</v>
      </c>
      <c r="J48" s="316"/>
      <c r="K48" s="1966">
        <v>1120.5</v>
      </c>
      <c r="L48" s="260"/>
      <c r="M48" s="260">
        <v>40.1</v>
      </c>
      <c r="N48" s="260"/>
      <c r="O48" s="513">
        <v>38.5</v>
      </c>
      <c r="P48" s="260"/>
      <c r="Q48" s="513">
        <v>876.3</v>
      </c>
      <c r="R48" s="260"/>
      <c r="S48" s="513">
        <v>28.3</v>
      </c>
      <c r="T48" s="260"/>
      <c r="U48" s="513">
        <v>1751.2</v>
      </c>
      <c r="V48" s="260"/>
      <c r="W48" s="513">
        <v>143</v>
      </c>
      <c r="X48" s="260"/>
      <c r="Y48" s="513"/>
      <c r="Z48" s="260"/>
      <c r="AA48" s="513"/>
      <c r="AB48" s="316"/>
      <c r="AC48" s="1220"/>
      <c r="AD48" s="317">
        <f>ROUND(SUM(E48:AA48),1)</f>
        <v>4076.6</v>
      </c>
      <c r="AE48" s="1972"/>
      <c r="AF48" s="261"/>
      <c r="AG48" s="1966">
        <v>1666.5</v>
      </c>
      <c r="AH48" s="317"/>
      <c r="AI48" s="1969"/>
      <c r="AJ48" s="317">
        <f t="shared" si="0"/>
        <v>2410.1</v>
      </c>
      <c r="AK48" s="650"/>
      <c r="AL48" s="2568">
        <f>ROUND(IF(AG48=0,0,AJ48/ABS(AG48)),3)</f>
        <v>1.446</v>
      </c>
    </row>
    <row r="49" spans="1:38" s="1693" customFormat="1" ht="15.6">
      <c r="A49" s="2641"/>
      <c r="B49" s="1669" t="s">
        <v>1161</v>
      </c>
      <c r="C49" s="1279"/>
      <c r="D49" s="1279"/>
      <c r="E49" s="1673">
        <v>0</v>
      </c>
      <c r="F49" s="1673">
        <v>0</v>
      </c>
      <c r="G49" s="1673">
        <v>0</v>
      </c>
      <c r="H49" s="1673"/>
      <c r="I49" s="1673">
        <v>0</v>
      </c>
      <c r="J49" s="1673"/>
      <c r="K49" s="1673">
        <v>0</v>
      </c>
      <c r="L49" s="1673"/>
      <c r="M49" s="1673">
        <v>0</v>
      </c>
      <c r="N49" s="1673"/>
      <c r="O49" s="1673">
        <v>0</v>
      </c>
      <c r="P49" s="1673"/>
      <c r="Q49" s="1673">
        <v>0</v>
      </c>
      <c r="R49" s="1111"/>
      <c r="S49" s="1673">
        <v>0</v>
      </c>
      <c r="T49" s="1111"/>
      <c r="U49" s="2817">
        <v>0</v>
      </c>
      <c r="V49" s="1111"/>
      <c r="W49" s="1276">
        <v>0</v>
      </c>
      <c r="X49" s="1111"/>
      <c r="Y49" s="1276"/>
      <c r="Z49" s="1111"/>
      <c r="AA49" s="1276"/>
      <c r="AB49" s="1672"/>
      <c r="AC49" s="2550"/>
      <c r="AD49" s="1272">
        <f>ROUND(SUM(E49:AA49),1)</f>
        <v>0</v>
      </c>
      <c r="AE49" s="2644"/>
      <c r="AF49" s="1876"/>
      <c r="AG49" s="2817">
        <v>0</v>
      </c>
      <c r="AH49" s="1272"/>
      <c r="AI49" s="1969"/>
      <c r="AJ49" s="1272">
        <f t="shared" si="0"/>
        <v>0</v>
      </c>
      <c r="AK49" s="1730"/>
      <c r="AL49" s="2582">
        <f>ROUND(IF(AG49=0,0,AJ49/ABS(AG49)),3)</f>
        <v>0</v>
      </c>
    </row>
    <row r="50" spans="1:38" ht="15.6">
      <c r="A50" s="223"/>
      <c r="B50" s="1669" t="s">
        <v>1162</v>
      </c>
      <c r="C50" s="1279"/>
      <c r="D50" s="223"/>
      <c r="E50" s="1966">
        <v>0.9</v>
      </c>
      <c r="F50" s="316"/>
      <c r="G50" s="1966">
        <v>0.6</v>
      </c>
      <c r="H50" s="316"/>
      <c r="I50" s="1966">
        <v>0</v>
      </c>
      <c r="J50" s="316"/>
      <c r="K50" s="1966">
        <v>0</v>
      </c>
      <c r="L50" s="260"/>
      <c r="M50" s="260">
        <v>22.8</v>
      </c>
      <c r="N50" s="260"/>
      <c r="O50" s="513">
        <v>0.6</v>
      </c>
      <c r="P50" s="260"/>
      <c r="Q50" s="1966">
        <v>18</v>
      </c>
      <c r="R50" s="260"/>
      <c r="S50" s="513">
        <v>0</v>
      </c>
      <c r="T50" s="260"/>
      <c r="U50" s="513">
        <v>0.1</v>
      </c>
      <c r="V50" s="260"/>
      <c r="W50" s="513">
        <v>3.6</v>
      </c>
      <c r="X50" s="260"/>
      <c r="Y50" s="513"/>
      <c r="Z50" s="260"/>
      <c r="AA50" s="513"/>
      <c r="AB50" s="316"/>
      <c r="AC50" s="1220"/>
      <c r="AD50" s="317">
        <f>ROUND(SUM(E50:AA50),1)</f>
        <v>46.6</v>
      </c>
      <c r="AE50" s="1972"/>
      <c r="AF50" s="261"/>
      <c r="AG50" s="1966">
        <v>6.9</v>
      </c>
      <c r="AH50" s="317"/>
      <c r="AI50" s="1969"/>
      <c r="AJ50" s="317">
        <f t="shared" si="0"/>
        <v>39.700000000000003</v>
      </c>
      <c r="AK50" s="650"/>
      <c r="AL50" s="2616">
        <f>ROUND(IF(AG50=0,1,AJ50/ABS(AG50)),3)</f>
        <v>5.7539999999999996</v>
      </c>
    </row>
    <row r="51" spans="1:38" ht="15.6">
      <c r="A51" s="223"/>
      <c r="B51" s="1669" t="s">
        <v>1141</v>
      </c>
      <c r="C51" s="1279"/>
      <c r="D51" s="223"/>
      <c r="E51" s="1966">
        <v>0.2</v>
      </c>
      <c r="F51" s="316"/>
      <c r="G51" s="1966">
        <v>0</v>
      </c>
      <c r="H51" s="316"/>
      <c r="I51" s="1966">
        <v>0</v>
      </c>
      <c r="J51" s="316"/>
      <c r="K51" s="1966">
        <v>0.3</v>
      </c>
      <c r="L51" s="260"/>
      <c r="M51" s="316">
        <v>0.2</v>
      </c>
      <c r="N51" s="260"/>
      <c r="O51" s="513">
        <v>0</v>
      </c>
      <c r="P51" s="260"/>
      <c r="Q51" s="513">
        <v>0.4</v>
      </c>
      <c r="R51" s="260"/>
      <c r="S51" s="513">
        <v>0.1</v>
      </c>
      <c r="T51" s="260"/>
      <c r="U51" s="513">
        <v>0.1</v>
      </c>
      <c r="V51" s="260"/>
      <c r="W51" s="513">
        <v>0</v>
      </c>
      <c r="X51" s="260"/>
      <c r="Y51" s="513"/>
      <c r="Z51" s="260"/>
      <c r="AA51" s="513"/>
      <c r="AB51" s="316"/>
      <c r="AC51" s="1220"/>
      <c r="AD51" s="317">
        <f>ROUND(SUM(E51:AA51),1)</f>
        <v>1.3</v>
      </c>
      <c r="AE51" s="1972"/>
      <c r="AF51" s="261"/>
      <c r="AG51" s="1966">
        <v>1.8</v>
      </c>
      <c r="AH51" s="317"/>
      <c r="AI51" s="1969"/>
      <c r="AJ51" s="317">
        <f t="shared" si="0"/>
        <v>-0.5</v>
      </c>
      <c r="AK51" s="650"/>
      <c r="AL51" s="2568">
        <f>ROUND(IF(AG51=0,1,AJ51/ABS(AG51)),3)</f>
        <v>-0.27800000000000002</v>
      </c>
    </row>
    <row r="52" spans="1:38" ht="15.6">
      <c r="A52" s="223"/>
      <c r="B52" s="1669" t="s">
        <v>1142</v>
      </c>
      <c r="C52" s="1279"/>
      <c r="D52" s="223"/>
      <c r="E52" s="1966">
        <v>0.8</v>
      </c>
      <c r="F52" s="316"/>
      <c r="G52" s="1966">
        <v>0.6</v>
      </c>
      <c r="H52" s="316"/>
      <c r="I52" s="1966">
        <v>0.5</v>
      </c>
      <c r="J52" s="316"/>
      <c r="K52" s="1966">
        <v>0.6</v>
      </c>
      <c r="L52" s="260"/>
      <c r="M52" s="260">
        <v>1.2</v>
      </c>
      <c r="N52" s="260"/>
      <c r="O52" s="513">
        <v>1.8</v>
      </c>
      <c r="P52" s="260"/>
      <c r="Q52" s="513">
        <v>0.5</v>
      </c>
      <c r="R52" s="260"/>
      <c r="S52" s="513">
        <v>1</v>
      </c>
      <c r="T52" s="260"/>
      <c r="U52" s="513">
        <v>0.5</v>
      </c>
      <c r="V52" s="260"/>
      <c r="W52" s="513">
        <v>2.2999999999999998</v>
      </c>
      <c r="X52" s="260"/>
      <c r="Y52" s="513"/>
      <c r="Z52" s="260"/>
      <c r="AA52" s="513"/>
      <c r="AB52" s="316"/>
      <c r="AC52" s="1220"/>
      <c r="AD52" s="317">
        <f>ROUND(SUM(E52:AA52),1)</f>
        <v>9.8000000000000007</v>
      </c>
      <c r="AE52" s="1972"/>
      <c r="AF52" s="261"/>
      <c r="AG52" s="1966">
        <v>5.9</v>
      </c>
      <c r="AH52" s="317"/>
      <c r="AI52" s="1969"/>
      <c r="AJ52" s="317">
        <f t="shared" si="0"/>
        <v>3.9</v>
      </c>
      <c r="AK52" s="650"/>
      <c r="AL52" s="2568">
        <f>ROUND(IF(AG52=0,0,AJ52/ABS(AG52)),3)</f>
        <v>0.66100000000000003</v>
      </c>
    </row>
    <row r="53" spans="1:38" ht="15.6">
      <c r="A53" s="223"/>
      <c r="B53" s="1669" t="s">
        <v>1241</v>
      </c>
      <c r="C53" s="1279"/>
      <c r="D53" s="223"/>
      <c r="E53" s="1966"/>
      <c r="F53" s="316"/>
      <c r="G53" s="1966"/>
      <c r="H53" s="316"/>
      <c r="I53" s="1966"/>
      <c r="J53" s="316"/>
      <c r="K53" s="1966"/>
      <c r="L53" s="260"/>
      <c r="M53" s="260"/>
      <c r="N53" s="260"/>
      <c r="O53" s="513"/>
      <c r="P53" s="260"/>
      <c r="Q53" s="513"/>
      <c r="R53" s="260"/>
      <c r="S53" s="513"/>
      <c r="T53" s="260"/>
      <c r="U53" s="513"/>
      <c r="V53" s="260"/>
      <c r="W53" s="513"/>
      <c r="X53" s="260"/>
      <c r="Y53" s="513"/>
      <c r="Z53" s="260"/>
      <c r="AA53" s="513"/>
      <c r="AB53" s="316"/>
      <c r="AC53" s="1220"/>
      <c r="AD53" s="317"/>
      <c r="AE53" s="1972"/>
      <c r="AF53" s="261"/>
      <c r="AG53" s="1966"/>
      <c r="AH53" s="317"/>
      <c r="AI53" s="1969"/>
      <c r="AJ53" s="317"/>
      <c r="AK53" s="650"/>
      <c r="AL53" s="2617"/>
    </row>
    <row r="54" spans="1:38" ht="15.6">
      <c r="A54" s="223"/>
      <c r="B54" s="1669" t="s">
        <v>1163</v>
      </c>
      <c r="C54" s="1279"/>
      <c r="D54" s="223"/>
      <c r="E54" s="1966">
        <v>0</v>
      </c>
      <c r="F54" s="1966">
        <v>0</v>
      </c>
      <c r="G54" s="1966">
        <v>0</v>
      </c>
      <c r="H54" s="316"/>
      <c r="I54" s="1966">
        <v>0</v>
      </c>
      <c r="J54" s="316"/>
      <c r="K54" s="1966">
        <v>0</v>
      </c>
      <c r="L54" s="260"/>
      <c r="M54" s="260">
        <v>0</v>
      </c>
      <c r="N54" s="260"/>
      <c r="O54" s="513">
        <v>0</v>
      </c>
      <c r="P54" s="260"/>
      <c r="Q54" s="513">
        <v>0</v>
      </c>
      <c r="R54" s="260"/>
      <c r="S54" s="513">
        <v>0</v>
      </c>
      <c r="T54" s="260"/>
      <c r="U54" s="513">
        <v>0</v>
      </c>
      <c r="V54" s="260"/>
      <c r="W54" s="513">
        <v>0</v>
      </c>
      <c r="X54" s="260"/>
      <c r="Y54" s="513"/>
      <c r="Z54" s="260"/>
      <c r="AA54" s="513"/>
      <c r="AB54" s="316"/>
      <c r="AC54" s="1220"/>
      <c r="AD54" s="317">
        <f>ROUND(SUM(E54:AA54),1)</f>
        <v>0</v>
      </c>
      <c r="AE54" s="1972"/>
      <c r="AF54" s="261"/>
      <c r="AG54" s="2817">
        <v>0</v>
      </c>
      <c r="AH54" s="317"/>
      <c r="AI54" s="1969"/>
      <c r="AJ54" s="317">
        <f t="shared" si="0"/>
        <v>0</v>
      </c>
      <c r="AK54" s="650"/>
      <c r="AL54" s="2568">
        <f>ROUND(IF(AG54=0,0,AJ54/ABS(AG54)),3)</f>
        <v>0</v>
      </c>
    </row>
    <row r="55" spans="1:38" ht="15.6">
      <c r="A55" s="223"/>
      <c r="B55" s="1669" t="s">
        <v>1165</v>
      </c>
      <c r="C55" s="1279"/>
      <c r="D55" s="223"/>
      <c r="E55" s="1966">
        <v>0.5</v>
      </c>
      <c r="F55" s="1966">
        <v>0</v>
      </c>
      <c r="G55" s="1966">
        <v>0</v>
      </c>
      <c r="H55" s="316"/>
      <c r="I55" s="1966">
        <v>10</v>
      </c>
      <c r="J55" s="316"/>
      <c r="K55" s="1966">
        <v>0.2</v>
      </c>
      <c r="L55" s="260"/>
      <c r="M55" s="260">
        <v>2.5</v>
      </c>
      <c r="N55" s="260"/>
      <c r="O55" s="513">
        <v>0.1</v>
      </c>
      <c r="P55" s="260"/>
      <c r="Q55" s="513">
        <v>0.5</v>
      </c>
      <c r="R55" s="260"/>
      <c r="S55" s="513">
        <v>0.2</v>
      </c>
      <c r="T55" s="260"/>
      <c r="U55" s="513">
        <v>1</v>
      </c>
      <c r="V55" s="260"/>
      <c r="W55" s="513">
        <v>0.7</v>
      </c>
      <c r="X55" s="260"/>
      <c r="Y55" s="513"/>
      <c r="Z55" s="260"/>
      <c r="AA55" s="513"/>
      <c r="AB55" s="316"/>
      <c r="AC55" s="1220"/>
      <c r="AD55" s="317">
        <f t="shared" ref="AD55" si="2">ROUND(SUM(E55:AA55),1)</f>
        <v>15.7</v>
      </c>
      <c r="AE55" s="1972"/>
      <c r="AF55" s="261"/>
      <c r="AG55" s="1966">
        <v>18.399999999999999</v>
      </c>
      <c r="AH55" s="317"/>
      <c r="AI55" s="1969"/>
      <c r="AJ55" s="317">
        <f t="shared" si="0"/>
        <v>-2.7</v>
      </c>
      <c r="AK55" s="650"/>
      <c r="AL55" s="2568">
        <f>ROUND(IF(AG55=0,1,AJ55/ABS(AG55)),3)</f>
        <v>-0.14699999999999999</v>
      </c>
    </row>
    <row r="56" spans="1:38" ht="15.6">
      <c r="A56" s="223"/>
      <c r="B56" s="1669" t="s">
        <v>1166</v>
      </c>
      <c r="C56" s="1279"/>
      <c r="D56" s="223"/>
      <c r="E56" s="1966">
        <v>0</v>
      </c>
      <c r="F56" s="1966"/>
      <c r="G56" s="1966">
        <v>0</v>
      </c>
      <c r="H56" s="316"/>
      <c r="I56" s="1966">
        <v>0</v>
      </c>
      <c r="J56" s="316"/>
      <c r="K56" s="1966">
        <v>0</v>
      </c>
      <c r="L56" s="260"/>
      <c r="M56" s="260">
        <v>0</v>
      </c>
      <c r="N56" s="260"/>
      <c r="O56" s="513">
        <v>0</v>
      </c>
      <c r="P56" s="260"/>
      <c r="Q56" s="513">
        <v>0</v>
      </c>
      <c r="R56" s="260"/>
      <c r="S56" s="513">
        <v>0</v>
      </c>
      <c r="T56" s="260"/>
      <c r="U56" s="513">
        <v>0</v>
      </c>
      <c r="V56" s="260"/>
      <c r="W56" s="513">
        <v>0.2</v>
      </c>
      <c r="X56" s="260"/>
      <c r="Y56" s="513"/>
      <c r="Z56" s="260"/>
      <c r="AA56" s="513"/>
      <c r="AB56" s="316"/>
      <c r="AC56" s="1220"/>
      <c r="AD56" s="317">
        <f>ROUND(SUM(E56:AA56),1)</f>
        <v>0.2</v>
      </c>
      <c r="AE56" s="2953"/>
      <c r="AF56" s="261"/>
      <c r="AG56" s="1966">
        <v>0</v>
      </c>
      <c r="AH56" s="317"/>
      <c r="AI56" s="1969"/>
      <c r="AJ56" s="317">
        <f t="shared" si="0"/>
        <v>0.2</v>
      </c>
      <c r="AK56" s="650"/>
      <c r="AL56" s="2568">
        <f>ROUND(IF(AG56=0,1,AJ56/ABS(AG56)),3)</f>
        <v>1</v>
      </c>
    </row>
    <row r="57" spans="1:38" ht="15.6">
      <c r="A57" s="223"/>
      <c r="B57" s="1669" t="s">
        <v>1168</v>
      </c>
      <c r="C57" s="1279"/>
      <c r="D57" s="223"/>
      <c r="E57" s="1966">
        <v>0</v>
      </c>
      <c r="F57" s="1966"/>
      <c r="G57" s="1966">
        <v>0.2</v>
      </c>
      <c r="H57" s="316"/>
      <c r="I57" s="1966">
        <v>0</v>
      </c>
      <c r="J57" s="316"/>
      <c r="K57" s="1966">
        <v>0</v>
      </c>
      <c r="L57" s="260"/>
      <c r="M57" s="260">
        <v>0</v>
      </c>
      <c r="N57" s="260"/>
      <c r="O57" s="513">
        <v>0</v>
      </c>
      <c r="P57" s="260"/>
      <c r="Q57" s="513">
        <v>0</v>
      </c>
      <c r="R57" s="260"/>
      <c r="S57" s="513">
        <v>0</v>
      </c>
      <c r="T57" s="260"/>
      <c r="U57" s="513">
        <v>0.1</v>
      </c>
      <c r="V57" s="260"/>
      <c r="W57" s="513">
        <v>0</v>
      </c>
      <c r="X57" s="260"/>
      <c r="Y57" s="513"/>
      <c r="Z57" s="260"/>
      <c r="AA57" s="513"/>
      <c r="AB57" s="316"/>
      <c r="AC57" s="1220"/>
      <c r="AD57" s="317">
        <f>ROUND(SUM(E57:AA57),1)</f>
        <v>0.3</v>
      </c>
      <c r="AE57" s="2899"/>
      <c r="AF57" s="261"/>
      <c r="AG57" s="1966">
        <v>0.4</v>
      </c>
      <c r="AH57" s="317"/>
      <c r="AI57" s="1969"/>
      <c r="AJ57" s="317">
        <f>ROUND(AD57-AG57,1)</f>
        <v>-0.1</v>
      </c>
      <c r="AK57" s="650"/>
      <c r="AL57" s="2568">
        <f>ROUND(IF(AG57=0,1,AJ57/ABS(AG57)),3)</f>
        <v>-0.25</v>
      </c>
    </row>
    <row r="58" spans="1:38" ht="15.6">
      <c r="A58" s="223"/>
      <c r="B58" s="1669" t="s">
        <v>1169</v>
      </c>
      <c r="C58" s="1279"/>
      <c r="D58" s="223"/>
      <c r="E58" s="1966">
        <v>0.1</v>
      </c>
      <c r="F58" s="1966">
        <v>0</v>
      </c>
      <c r="G58" s="1966">
        <v>0.1</v>
      </c>
      <c r="H58" s="316"/>
      <c r="I58" s="1966">
        <v>0.1</v>
      </c>
      <c r="J58" s="316"/>
      <c r="K58" s="1966">
        <v>0.2</v>
      </c>
      <c r="L58" s="260"/>
      <c r="M58" s="260">
        <v>0.2</v>
      </c>
      <c r="N58" s="260"/>
      <c r="O58" s="513">
        <v>0.1</v>
      </c>
      <c r="P58" s="260"/>
      <c r="Q58" s="513">
        <v>1.3</v>
      </c>
      <c r="R58" s="260"/>
      <c r="S58" s="513">
        <v>1.7</v>
      </c>
      <c r="T58" s="260"/>
      <c r="U58" s="513">
        <v>1.4</v>
      </c>
      <c r="V58" s="260"/>
      <c r="W58" s="513">
        <v>0.2</v>
      </c>
      <c r="X58" s="260"/>
      <c r="Y58" s="513"/>
      <c r="Z58" s="260"/>
      <c r="AA58" s="513"/>
      <c r="AB58" s="316"/>
      <c r="AC58" s="1220"/>
      <c r="AD58" s="317">
        <f>ROUND(SUM(E58:AA58),1)</f>
        <v>5.4</v>
      </c>
      <c r="AE58" s="1972"/>
      <c r="AF58" s="261"/>
      <c r="AG58" s="1966">
        <v>8.5</v>
      </c>
      <c r="AH58" s="317"/>
      <c r="AI58" s="1969"/>
      <c r="AJ58" s="317">
        <f t="shared" si="0"/>
        <v>-3.1</v>
      </c>
      <c r="AK58" s="650"/>
      <c r="AL58" s="2582">
        <f>ROUND(IF(AG58=0,1,AJ58/ABS(AG58)),3)</f>
        <v>-0.36499999999999999</v>
      </c>
    </row>
    <row r="59" spans="1:38" ht="15.6">
      <c r="A59" s="223"/>
      <c r="B59" s="1669" t="s">
        <v>1171</v>
      </c>
      <c r="C59" s="1279"/>
      <c r="D59" s="223"/>
      <c r="E59" s="1966">
        <v>0.5</v>
      </c>
      <c r="F59" s="1966">
        <v>0</v>
      </c>
      <c r="G59" s="1966">
        <v>2.4</v>
      </c>
      <c r="H59" s="316"/>
      <c r="I59" s="1966">
        <v>2.4</v>
      </c>
      <c r="J59" s="316"/>
      <c r="K59" s="1966">
        <v>0.3</v>
      </c>
      <c r="L59" s="260"/>
      <c r="M59" s="260">
        <v>7.8</v>
      </c>
      <c r="N59" s="260"/>
      <c r="O59" s="513">
        <v>1</v>
      </c>
      <c r="P59" s="260"/>
      <c r="Q59" s="513">
        <v>0.8</v>
      </c>
      <c r="R59" s="260"/>
      <c r="S59" s="513">
        <v>0.9</v>
      </c>
      <c r="T59" s="260"/>
      <c r="U59" s="513">
        <v>0.9</v>
      </c>
      <c r="V59" s="260"/>
      <c r="W59" s="513">
        <v>3.4</v>
      </c>
      <c r="X59" s="260"/>
      <c r="Y59" s="513"/>
      <c r="Z59" s="260"/>
      <c r="AA59" s="513"/>
      <c r="AB59" s="316"/>
      <c r="AC59" s="1220"/>
      <c r="AD59" s="317">
        <f>ROUND(SUM(E59:AA59),1)</f>
        <v>20.399999999999999</v>
      </c>
      <c r="AE59" s="1972"/>
      <c r="AF59" s="261"/>
      <c r="AG59" s="1966">
        <v>14.9</v>
      </c>
      <c r="AH59" s="317"/>
      <c r="AI59" s="1969"/>
      <c r="AJ59" s="317">
        <f t="shared" si="0"/>
        <v>5.5</v>
      </c>
      <c r="AK59" s="650"/>
      <c r="AL59" s="2616">
        <f>ROUND(IF(AG59=0,0,AJ59/ABS(AG59)),3)</f>
        <v>0.36899999999999999</v>
      </c>
    </row>
    <row r="60" spans="1:38" ht="15.6">
      <c r="A60" s="223"/>
      <c r="B60" s="1669" t="s">
        <v>1143</v>
      </c>
      <c r="C60" s="1279"/>
      <c r="D60" s="223"/>
      <c r="E60" s="1966">
        <v>0.1</v>
      </c>
      <c r="F60" s="1966">
        <v>0</v>
      </c>
      <c r="G60" s="1966">
        <v>0.1</v>
      </c>
      <c r="H60" s="316"/>
      <c r="I60" s="1966">
        <v>0.2</v>
      </c>
      <c r="J60" s="316"/>
      <c r="K60" s="1966">
        <v>0</v>
      </c>
      <c r="L60" s="260"/>
      <c r="M60" s="260">
        <v>8.9</v>
      </c>
      <c r="N60" s="260"/>
      <c r="O60" s="513">
        <v>2.4</v>
      </c>
      <c r="P60" s="260"/>
      <c r="Q60" s="513">
        <v>0.4</v>
      </c>
      <c r="R60" s="260"/>
      <c r="S60" s="513">
        <v>0</v>
      </c>
      <c r="T60" s="260"/>
      <c r="U60" s="513">
        <v>0.2</v>
      </c>
      <c r="V60" s="260"/>
      <c r="W60" s="513">
        <v>0</v>
      </c>
      <c r="X60" s="260"/>
      <c r="Y60" s="513"/>
      <c r="Z60" s="260"/>
      <c r="AA60" s="513"/>
      <c r="AB60" s="316"/>
      <c r="AC60" s="1220"/>
      <c r="AD60" s="317">
        <f>ROUND(SUM(E60:AA60),1)</f>
        <v>12.3</v>
      </c>
      <c r="AE60" s="1972"/>
      <c r="AF60" s="261"/>
      <c r="AG60" s="1966">
        <v>1</v>
      </c>
      <c r="AH60" s="317"/>
      <c r="AI60" s="1969"/>
      <c r="AJ60" s="317">
        <f t="shared" si="0"/>
        <v>11.3</v>
      </c>
      <c r="AK60" s="650"/>
      <c r="AL60" s="2616">
        <f>ROUND(IF(AG60=0,0,AJ60/ABS(AG60)),3)</f>
        <v>11.3</v>
      </c>
    </row>
    <row r="61" spans="1:38" s="645" customFormat="1" ht="15.6" collapsed="1">
      <c r="A61" s="221"/>
      <c r="B61" s="583" t="s">
        <v>1290</v>
      </c>
      <c r="C61" s="221"/>
      <c r="D61" s="221"/>
      <c r="E61" s="1219">
        <f>ROUND(SUM(E35:E60),1)</f>
        <v>91.9</v>
      </c>
      <c r="F61" s="310"/>
      <c r="G61" s="1219">
        <f>ROUND(SUM(G35:G60),1)</f>
        <v>93.9</v>
      </c>
      <c r="H61" s="1991"/>
      <c r="I61" s="1219">
        <f>ROUND(SUM(I35:I60),1)</f>
        <v>190.9</v>
      </c>
      <c r="J61" s="310"/>
      <c r="K61" s="1219">
        <f>ROUND(SUM(K35:K60),1)</f>
        <v>1212.2</v>
      </c>
      <c r="L61" s="1719"/>
      <c r="M61" s="480">
        <f>ROUND(SUM(M35:M60),1)</f>
        <v>155.6</v>
      </c>
      <c r="N61" s="1719"/>
      <c r="O61" s="480">
        <f>ROUND(SUM(O35:O60),1)</f>
        <v>147.30000000000001</v>
      </c>
      <c r="P61" s="1719"/>
      <c r="Q61" s="480">
        <f>ROUND(SUM(Q35:Q60),1)</f>
        <v>970.7</v>
      </c>
      <c r="R61" s="1719"/>
      <c r="S61" s="480">
        <f>ROUND(SUM(S35:S60),1)</f>
        <v>103.5</v>
      </c>
      <c r="T61" s="1719"/>
      <c r="U61" s="480">
        <f>ROUND(SUM(U35:U60),1)</f>
        <v>1826.8</v>
      </c>
      <c r="V61" s="1719"/>
      <c r="W61" s="480">
        <f>ROUND(SUM(W35:W60),1)</f>
        <v>223</v>
      </c>
      <c r="X61" s="1719"/>
      <c r="Y61" s="480">
        <f>ROUND(SUM(Y35:Y60),1)</f>
        <v>0</v>
      </c>
      <c r="Z61" s="1719"/>
      <c r="AA61" s="480">
        <f>ROUND(SUM(AA35:AA60),1)</f>
        <v>0</v>
      </c>
      <c r="AB61" s="310"/>
      <c r="AC61" s="1221"/>
      <c r="AD61" s="1219">
        <f>ROUND(SUM(AD35:AD60),1)</f>
        <v>5015.8</v>
      </c>
      <c r="AE61" s="1973"/>
      <c r="AF61" s="313"/>
      <c r="AG61" s="2816">
        <f>ROUND(SUM(AG35:AG60),1)</f>
        <v>2523.1999999999998</v>
      </c>
      <c r="AH61" s="2015"/>
      <c r="AI61" s="1969"/>
      <c r="AJ61" s="1219">
        <f>ROUND(SUM(AJ35:AJ60),1)</f>
        <v>2492.6</v>
      </c>
      <c r="AK61" s="1929"/>
      <c r="AL61" s="2586">
        <f>ROUND(IF(AG61=0,0,AJ61/ABS(AG61)),3)</f>
        <v>0.98799999999999999</v>
      </c>
    </row>
    <row r="62" spans="1:38" s="645" customFormat="1" ht="15.6">
      <c r="A62" s="221"/>
      <c r="B62" s="583"/>
      <c r="C62" s="221"/>
      <c r="D62" s="221"/>
      <c r="E62" s="313"/>
      <c r="F62" s="310"/>
      <c r="G62" s="313"/>
      <c r="H62" s="1991"/>
      <c r="I62" s="313"/>
      <c r="J62" s="310"/>
      <c r="K62" s="313"/>
      <c r="L62" s="1719"/>
      <c r="M62" s="272"/>
      <c r="N62" s="1719"/>
      <c r="O62" s="272"/>
      <c r="P62" s="1719"/>
      <c r="Q62" s="272"/>
      <c r="R62" s="1719"/>
      <c r="S62" s="272"/>
      <c r="T62" s="1719"/>
      <c r="U62" s="2801"/>
      <c r="V62" s="1719"/>
      <c r="W62" s="272"/>
      <c r="X62" s="1719"/>
      <c r="Y62" s="272"/>
      <c r="Z62" s="1719"/>
      <c r="AA62" s="272"/>
      <c r="AB62" s="310"/>
      <c r="AC62" s="1221"/>
      <c r="AD62" s="313"/>
      <c r="AE62" s="2017"/>
      <c r="AF62" s="313"/>
      <c r="AG62" s="313"/>
      <c r="AH62" s="2015"/>
      <c r="AI62" s="1969"/>
      <c r="AJ62" s="313"/>
      <c r="AK62" s="1929"/>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v>0</v>
      </c>
      <c r="R63" s="260"/>
      <c r="S63" s="370">
        <v>0</v>
      </c>
      <c r="T63" s="260"/>
      <c r="U63" s="370">
        <v>0</v>
      </c>
      <c r="V63" s="260"/>
      <c r="W63" s="370">
        <v>0</v>
      </c>
      <c r="X63" s="260"/>
      <c r="Y63" s="513"/>
      <c r="Z63" s="260"/>
      <c r="AA63" s="513"/>
      <c r="AB63" s="316"/>
      <c r="AC63" s="1220"/>
      <c r="AD63" s="317">
        <f>ROUND(SUM(E63:AA63),1)</f>
        <v>2.5</v>
      </c>
      <c r="AE63" s="1968"/>
      <c r="AF63" s="261"/>
      <c r="AG63" s="317">
        <v>2.5</v>
      </c>
      <c r="AH63" s="317"/>
      <c r="AI63" s="2011"/>
      <c r="AJ63" s="317">
        <f>ROUND(AD63-AG63,1)</f>
        <v>0</v>
      </c>
      <c r="AK63" s="650"/>
      <c r="AL63" s="45">
        <f>ROUND(IF(AG63=0,0,AJ63/ABS(AG63)),3)</f>
        <v>0</v>
      </c>
    </row>
    <row r="64" spans="1:38" ht="15.6">
      <c r="A64" s="223"/>
      <c r="B64" s="223"/>
      <c r="C64" s="223"/>
      <c r="D64" s="223"/>
      <c r="E64" s="325"/>
      <c r="F64" s="316"/>
      <c r="G64" s="325"/>
      <c r="H64" s="316"/>
      <c r="I64" s="325"/>
      <c r="J64" s="316"/>
      <c r="K64" s="1992"/>
      <c r="L64" s="260"/>
      <c r="M64" s="286"/>
      <c r="N64" s="260"/>
      <c r="O64" s="286"/>
      <c r="P64" s="260"/>
      <c r="Q64" s="286"/>
      <c r="R64" s="260"/>
      <c r="S64" s="286"/>
      <c r="T64" s="260"/>
      <c r="U64" s="286"/>
      <c r="V64" s="260"/>
      <c r="W64" s="286"/>
      <c r="X64" s="260"/>
      <c r="Y64" s="286"/>
      <c r="Z64" s="260"/>
      <c r="AA64" s="286"/>
      <c r="AB64" s="316"/>
      <c r="AC64" s="1220"/>
      <c r="AD64" s="325"/>
      <c r="AE64" s="1968"/>
      <c r="AF64" s="261"/>
      <c r="AG64" s="325"/>
      <c r="AH64" s="261"/>
      <c r="AI64" s="2011"/>
      <c r="AJ64" s="325"/>
      <c r="AK64" s="640"/>
      <c r="AL64" s="368"/>
    </row>
    <row r="65" spans="1:41" ht="15.6">
      <c r="A65" s="223"/>
      <c r="B65" s="221" t="s">
        <v>201</v>
      </c>
      <c r="C65" s="223"/>
      <c r="D65" s="223"/>
      <c r="E65" s="2646">
        <f>ROUND(SUM(E33+E61+E63),1)</f>
        <v>191</v>
      </c>
      <c r="F65" s="310"/>
      <c r="G65" s="2646">
        <f>ROUND(SUM(G33+G61+G63),1)</f>
        <v>143.9</v>
      </c>
      <c r="H65" s="310"/>
      <c r="I65" s="2646">
        <f>ROUND(SUM(I33+I61+I63),1)</f>
        <v>311.3</v>
      </c>
      <c r="J65" s="310"/>
      <c r="K65" s="2646">
        <f>ROUND(SUM(K33+K61+K63),1)</f>
        <v>1334.3</v>
      </c>
      <c r="L65" s="256"/>
      <c r="M65" s="2647">
        <f>ROUND(SUM(M33+M61+M63),1)</f>
        <v>273.2</v>
      </c>
      <c r="N65" s="256"/>
      <c r="O65" s="2647">
        <f>ROUND(SUM(O33+O61+O63),1)</f>
        <v>273.3</v>
      </c>
      <c r="P65" s="256"/>
      <c r="Q65" s="2647">
        <f>ROUND(SUM(Q33+Q61+Q63),1)</f>
        <v>1087.0999999999999</v>
      </c>
      <c r="R65" s="256"/>
      <c r="S65" s="2647">
        <f>ROUND(SUM(S33+S61+S63),1)</f>
        <v>218.1</v>
      </c>
      <c r="T65" s="256"/>
      <c r="U65" s="2647">
        <f>ROUND(SUM(U33+U61+U63),1)</f>
        <v>1943.1</v>
      </c>
      <c r="V65" s="256"/>
      <c r="W65" s="2647">
        <f>ROUND(SUM(W33+W61+W63),1)</f>
        <v>336.1</v>
      </c>
      <c r="X65" s="256"/>
      <c r="Y65" s="2647">
        <f>ROUND(SUM(Y33+Y61+Y63),1)</f>
        <v>0</v>
      </c>
      <c r="Z65" s="256"/>
      <c r="AA65" s="2647">
        <f>ROUND(SUM(AA33+AA61+AA63),1)</f>
        <v>0</v>
      </c>
      <c r="AB65" s="310"/>
      <c r="AC65" s="1221"/>
      <c r="AD65" s="2646">
        <f>ROUND(SUM(AD33+AD61+AD63),1)</f>
        <v>6111.4</v>
      </c>
      <c r="AE65" s="1973"/>
      <c r="AF65" s="313"/>
      <c r="AG65" s="2646">
        <f>ROUND(SUM(AG33+AG61+AG63),1)</f>
        <v>3695.2</v>
      </c>
      <c r="AH65" s="2015"/>
      <c r="AI65" s="2011"/>
      <c r="AJ65" s="2018">
        <f>ROUND(SUM(AJ33+AJ61+AJ63),1)</f>
        <v>2416.1999999999998</v>
      </c>
      <c r="AK65" s="366"/>
      <c r="AL65" s="1793">
        <f>ROUND(IF(AG65=0,0,AJ65/ABS(AG65)),3)</f>
        <v>0.65400000000000003</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0"/>
      <c r="AD67" s="316"/>
      <c r="AE67" s="1968"/>
      <c r="AF67" s="261"/>
      <c r="AG67" s="316"/>
      <c r="AH67" s="316"/>
      <c r="AI67" s="2011"/>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0"/>
      <c r="AD68" s="317"/>
      <c r="AE68" s="1968"/>
      <c r="AF68" s="261"/>
      <c r="AG68" s="316"/>
      <c r="AH68" s="316"/>
      <c r="AI68" s="2011"/>
      <c r="AJ68" s="682"/>
      <c r="AK68" s="640"/>
      <c r="AL68" s="648"/>
    </row>
    <row r="69" spans="1:41" ht="15.6">
      <c r="A69" s="223"/>
      <c r="B69" s="223" t="s">
        <v>25</v>
      </c>
      <c r="C69" s="223"/>
      <c r="D69" s="223"/>
      <c r="E69" s="1966">
        <v>0</v>
      </c>
      <c r="F69" s="316"/>
      <c r="G69" s="1966">
        <v>0.2</v>
      </c>
      <c r="H69" s="316"/>
      <c r="I69" s="1966">
        <v>21.9</v>
      </c>
      <c r="J69" s="316"/>
      <c r="K69" s="1966">
        <v>23.2</v>
      </c>
      <c r="L69" s="260"/>
      <c r="M69" s="513">
        <v>4.4000000000000004</v>
      </c>
      <c r="N69" s="260"/>
      <c r="O69" s="513">
        <v>5.7</v>
      </c>
      <c r="P69" s="260"/>
      <c r="Q69" s="513">
        <v>20.3</v>
      </c>
      <c r="R69" s="260"/>
      <c r="S69" s="513">
        <v>7.5</v>
      </c>
      <c r="T69" s="260"/>
      <c r="U69" s="513">
        <v>9.8000000000000007</v>
      </c>
      <c r="V69" s="260"/>
      <c r="W69" s="513">
        <v>4.2</v>
      </c>
      <c r="X69" s="260"/>
      <c r="Y69" s="513"/>
      <c r="Z69" s="260"/>
      <c r="AA69" s="513"/>
      <c r="AB69" s="316"/>
      <c r="AC69" s="1220"/>
      <c r="AD69" s="317">
        <f>ROUND(SUM(E69:AA69),1)</f>
        <v>97.2</v>
      </c>
      <c r="AE69" s="1968"/>
      <c r="AF69" s="261"/>
      <c r="AG69" s="316">
        <v>29.9</v>
      </c>
      <c r="AH69" s="317"/>
      <c r="AI69" s="1969"/>
      <c r="AJ69" s="317">
        <f t="shared" ref="AJ69:AJ78" si="3">ROUND(AD69-AG69,1)</f>
        <v>67.3</v>
      </c>
      <c r="AK69" s="650"/>
      <c r="AL69" s="3039">
        <f>ROUND(IF(AG69=0,0,AJ69/ABS(AG69)),3)</f>
        <v>2.2509999999999999</v>
      </c>
    </row>
    <row r="70" spans="1:41" ht="15.6">
      <c r="A70" s="223"/>
      <c r="B70" s="223" t="s">
        <v>26</v>
      </c>
      <c r="C70" s="223"/>
      <c r="D70" s="223"/>
      <c r="E70" s="1213">
        <v>2.4</v>
      </c>
      <c r="F70" s="316"/>
      <c r="G70" s="1966">
        <v>31.6</v>
      </c>
      <c r="H70" s="316"/>
      <c r="I70" s="1966">
        <v>3</v>
      </c>
      <c r="J70" s="316"/>
      <c r="K70" s="1966">
        <v>6.4</v>
      </c>
      <c r="L70" s="260"/>
      <c r="M70" s="513">
        <v>8.4</v>
      </c>
      <c r="N70" s="260"/>
      <c r="O70" s="513">
        <v>8.6</v>
      </c>
      <c r="P70" s="260"/>
      <c r="Q70" s="513">
        <v>8.6</v>
      </c>
      <c r="R70" s="260"/>
      <c r="S70" s="513">
        <v>32.5</v>
      </c>
      <c r="T70" s="260"/>
      <c r="U70" s="513">
        <v>33.1</v>
      </c>
      <c r="V70" s="260"/>
      <c r="W70" s="513">
        <v>7</v>
      </c>
      <c r="X70" s="260"/>
      <c r="Y70" s="513"/>
      <c r="Z70" s="260"/>
      <c r="AA70" s="370"/>
      <c r="AB70" s="316"/>
      <c r="AC70" s="1220"/>
      <c r="AD70" s="317">
        <f>ROUND(SUM(E70:AA70),1)</f>
        <v>141.6</v>
      </c>
      <c r="AE70" s="1968"/>
      <c r="AF70" s="261"/>
      <c r="AG70" s="316">
        <v>127</v>
      </c>
      <c r="AH70" s="317"/>
      <c r="AI70" s="1969"/>
      <c r="AJ70" s="317">
        <f t="shared" si="3"/>
        <v>14.6</v>
      </c>
      <c r="AK70" s="650"/>
      <c r="AL70" s="45">
        <f>ROUND(IF(AG70=0,0,AJ70/ABS(AG70)),3)</f>
        <v>0.115</v>
      </c>
    </row>
    <row r="71" spans="1:41" ht="15.6">
      <c r="A71" s="223"/>
      <c r="B71" s="223" t="s">
        <v>27</v>
      </c>
      <c r="C71" s="223"/>
      <c r="D71" s="223"/>
      <c r="E71" s="1966">
        <v>6.4</v>
      </c>
      <c r="F71" s="316"/>
      <c r="G71" s="1966">
        <v>10.1</v>
      </c>
      <c r="H71" s="316"/>
      <c r="I71" s="1966">
        <v>81.2</v>
      </c>
      <c r="J71" s="316"/>
      <c r="K71" s="1966">
        <v>34</v>
      </c>
      <c r="L71" s="260"/>
      <c r="M71" s="513">
        <v>34.299999999999997</v>
      </c>
      <c r="N71" s="260"/>
      <c r="O71" s="513">
        <v>128.5</v>
      </c>
      <c r="P71" s="260"/>
      <c r="Q71" s="513">
        <v>55.8</v>
      </c>
      <c r="R71" s="260"/>
      <c r="S71" s="513">
        <v>33.9</v>
      </c>
      <c r="T71" s="260"/>
      <c r="U71" s="513">
        <v>81.7</v>
      </c>
      <c r="V71" s="260"/>
      <c r="W71" s="513">
        <v>47.7</v>
      </c>
      <c r="X71" s="260"/>
      <c r="Y71" s="513"/>
      <c r="Z71" s="260"/>
      <c r="AA71" s="513"/>
      <c r="AB71" s="316"/>
      <c r="AC71" s="1220"/>
      <c r="AD71" s="317">
        <f>ROUND(SUM(E71:AA71),1)</f>
        <v>513.6</v>
      </c>
      <c r="AE71" s="1968"/>
      <c r="AF71" s="261"/>
      <c r="AG71" s="316">
        <v>376.8</v>
      </c>
      <c r="AH71" s="317"/>
      <c r="AI71" s="1969"/>
      <c r="AJ71" s="317">
        <f t="shared" si="3"/>
        <v>136.80000000000001</v>
      </c>
      <c r="AK71" s="650"/>
      <c r="AL71" s="45">
        <f>ROUND(IF(AG71=0,0,AJ71/ABS(AG71)),3)</f>
        <v>0.36299999999999999</v>
      </c>
      <c r="AM71" s="640"/>
    </row>
    <row r="72" spans="1:41" ht="15.6">
      <c r="A72" s="223"/>
      <c r="B72" s="223" t="s">
        <v>28</v>
      </c>
      <c r="C72" s="223"/>
      <c r="D72" s="223"/>
      <c r="E72" s="326"/>
      <c r="F72" s="316"/>
      <c r="G72" s="1966"/>
      <c r="H72" s="316"/>
      <c r="I72" s="316"/>
      <c r="J72" s="316"/>
      <c r="K72" s="1966"/>
      <c r="L72" s="260"/>
      <c r="M72" s="513"/>
      <c r="N72" s="260"/>
      <c r="O72" s="513"/>
      <c r="P72" s="260"/>
      <c r="Q72" s="513"/>
      <c r="R72" s="260"/>
      <c r="S72" s="513"/>
      <c r="T72" s="260"/>
      <c r="U72" s="513"/>
      <c r="V72" s="260"/>
      <c r="W72" s="513"/>
      <c r="X72" s="260"/>
      <c r="Y72" s="513"/>
      <c r="Z72" s="260"/>
      <c r="AA72" s="513"/>
      <c r="AB72" s="316"/>
      <c r="AC72" s="1220"/>
      <c r="AD72" s="317"/>
      <c r="AE72" s="1968"/>
      <c r="AF72" s="261"/>
      <c r="AG72" s="316"/>
      <c r="AH72" s="316"/>
      <c r="AI72" s="2011"/>
      <c r="AJ72" s="1272"/>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v>0</v>
      </c>
      <c r="T73" s="260"/>
      <c r="U73" s="265">
        <v>0</v>
      </c>
      <c r="V73" s="260"/>
      <c r="W73" s="265">
        <v>0</v>
      </c>
      <c r="X73" s="260"/>
      <c r="Y73" s="513"/>
      <c r="Z73" s="260"/>
      <c r="AA73" s="513"/>
      <c r="AB73" s="316"/>
      <c r="AC73" s="1220"/>
      <c r="AD73" s="317">
        <f t="shared" ref="AD73:AD78" si="4">ROUND(SUM(E73:AA73),1)</f>
        <v>0</v>
      </c>
      <c r="AE73" s="1968"/>
      <c r="AF73" s="261"/>
      <c r="AG73" s="326">
        <v>0</v>
      </c>
      <c r="AH73" s="316"/>
      <c r="AI73" s="2011"/>
      <c r="AJ73" s="317">
        <f t="shared" si="3"/>
        <v>0</v>
      </c>
      <c r="AK73" s="640"/>
      <c r="AL73" s="45">
        <f>ROUND(IF(AG73=0,0,AJ73/ABS(AG73)),3)</f>
        <v>0</v>
      </c>
      <c r="AM73" s="640"/>
    </row>
    <row r="74" spans="1:41" ht="15.6">
      <c r="A74" s="223"/>
      <c r="B74" s="223" t="s">
        <v>30</v>
      </c>
      <c r="C74" s="223"/>
      <c r="D74" s="223"/>
      <c r="E74" s="1213">
        <v>5.6</v>
      </c>
      <c r="F74" s="316"/>
      <c r="G74" s="1966">
        <v>23</v>
      </c>
      <c r="H74" s="316"/>
      <c r="I74" s="1966">
        <v>13.9</v>
      </c>
      <c r="J74" s="316"/>
      <c r="K74" s="1966">
        <v>16.7</v>
      </c>
      <c r="L74" s="260"/>
      <c r="M74" s="513">
        <v>14.3</v>
      </c>
      <c r="N74" s="260"/>
      <c r="O74" s="513">
        <v>15.9</v>
      </c>
      <c r="P74" s="260"/>
      <c r="Q74" s="513">
        <v>26.5</v>
      </c>
      <c r="R74" s="260"/>
      <c r="S74" s="513">
        <v>3</v>
      </c>
      <c r="T74" s="260"/>
      <c r="U74" s="513">
        <v>8.6999999999999993</v>
      </c>
      <c r="V74" s="260"/>
      <c r="W74" s="513">
        <v>38</v>
      </c>
      <c r="X74" s="260"/>
      <c r="Y74" s="513"/>
      <c r="Z74" s="260"/>
      <c r="AA74" s="370"/>
      <c r="AB74" s="316"/>
      <c r="AC74" s="1220"/>
      <c r="AD74" s="317">
        <f t="shared" si="4"/>
        <v>165.6</v>
      </c>
      <c r="AE74" s="1968"/>
      <c r="AF74" s="261"/>
      <c r="AG74" s="316">
        <v>80.5</v>
      </c>
      <c r="AH74" s="317"/>
      <c r="AI74" s="1969"/>
      <c r="AJ74" s="317">
        <f t="shared" si="3"/>
        <v>85.1</v>
      </c>
      <c r="AK74" s="650"/>
      <c r="AL74" s="45">
        <f>ROUND(IF(AG74=0,0,AJ74/ABS(AG74)),3)</f>
        <v>1.0569999999999999</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v>0</v>
      </c>
      <c r="R75" s="260"/>
      <c r="S75" s="265">
        <v>0</v>
      </c>
      <c r="T75" s="260"/>
      <c r="U75" s="265">
        <v>-0.2</v>
      </c>
      <c r="V75" s="260"/>
      <c r="W75" s="265">
        <v>0.5</v>
      </c>
      <c r="X75" s="260"/>
      <c r="Y75" s="513"/>
      <c r="Z75" s="260"/>
      <c r="AA75" s="513"/>
      <c r="AB75" s="316"/>
      <c r="AC75" s="1220"/>
      <c r="AD75" s="317">
        <f t="shared" si="4"/>
        <v>15</v>
      </c>
      <c r="AE75" s="1968"/>
      <c r="AF75" s="261"/>
      <c r="AG75" s="326">
        <v>35.799999999999997</v>
      </c>
      <c r="AH75" s="317"/>
      <c r="AI75" s="1969"/>
      <c r="AJ75" s="317">
        <f t="shared" si="3"/>
        <v>-20.8</v>
      </c>
      <c r="AK75" s="650"/>
      <c r="AL75" s="2582">
        <f>ROUND(IF(AG75=0,1,AJ75/ABS(AG75)),3)</f>
        <v>-0.58099999999999996</v>
      </c>
      <c r="AM75" s="640"/>
    </row>
    <row r="76" spans="1:41" ht="15.6">
      <c r="A76" s="223"/>
      <c r="B76" s="223" t="s">
        <v>32</v>
      </c>
      <c r="C76" s="223"/>
      <c r="D76" s="223"/>
      <c r="E76" s="326">
        <v>48.1</v>
      </c>
      <c r="F76" s="316"/>
      <c r="G76" s="1966">
        <v>6.4</v>
      </c>
      <c r="H76" s="316"/>
      <c r="I76" s="326">
        <v>14.6</v>
      </c>
      <c r="J76" s="316"/>
      <c r="K76" s="1966">
        <v>6.2</v>
      </c>
      <c r="L76" s="260"/>
      <c r="M76" s="513">
        <v>15.8</v>
      </c>
      <c r="N76" s="260"/>
      <c r="O76" s="513">
        <v>28.8</v>
      </c>
      <c r="P76" s="260"/>
      <c r="Q76" s="265">
        <v>24.9</v>
      </c>
      <c r="R76" s="260"/>
      <c r="S76" s="265">
        <v>65.400000000000006</v>
      </c>
      <c r="T76" s="260"/>
      <c r="U76" s="265">
        <v>34.200000000000003</v>
      </c>
      <c r="V76" s="260"/>
      <c r="W76" s="513">
        <v>16.8</v>
      </c>
      <c r="X76" s="260"/>
      <c r="Y76" s="513"/>
      <c r="Z76" s="260"/>
      <c r="AA76" s="513"/>
      <c r="AB76" s="316"/>
      <c r="AC76" s="1220"/>
      <c r="AD76" s="317">
        <f t="shared" si="4"/>
        <v>261.2</v>
      </c>
      <c r="AE76" s="1968"/>
      <c r="AF76" s="261"/>
      <c r="AG76" s="316">
        <v>124.6</v>
      </c>
      <c r="AH76" s="316"/>
      <c r="AI76" s="2011"/>
      <c r="AJ76" s="317">
        <f t="shared" si="3"/>
        <v>136.6</v>
      </c>
      <c r="AK76" s="650"/>
      <c r="AL76" s="2582">
        <f>ROUND(IF(AG76=0,1,AJ76/ABS(AG76)),3)</f>
        <v>1.0960000000000001</v>
      </c>
      <c r="AM76" s="640"/>
    </row>
    <row r="77" spans="1:41" ht="15.6">
      <c r="A77" s="223"/>
      <c r="B77" s="223" t="s">
        <v>33</v>
      </c>
      <c r="C77" s="221"/>
      <c r="D77" s="223"/>
      <c r="E77" s="316">
        <v>155.69999999999999</v>
      </c>
      <c r="F77" s="316"/>
      <c r="G77" s="1966">
        <v>70.599999999999994</v>
      </c>
      <c r="H77" s="316"/>
      <c r="I77" s="1966">
        <v>76.2</v>
      </c>
      <c r="J77" s="316"/>
      <c r="K77" s="1966">
        <v>109.8</v>
      </c>
      <c r="L77" s="260"/>
      <c r="M77" s="513">
        <v>209.8</v>
      </c>
      <c r="N77" s="260"/>
      <c r="O77" s="513">
        <v>76.3</v>
      </c>
      <c r="P77" s="260"/>
      <c r="Q77" s="513">
        <v>43.2</v>
      </c>
      <c r="R77" s="260"/>
      <c r="S77" s="513">
        <v>14.9</v>
      </c>
      <c r="T77" s="260"/>
      <c r="U77" s="513">
        <v>-10.5</v>
      </c>
      <c r="V77" s="260"/>
      <c r="W77" s="513">
        <v>32.799999999999997</v>
      </c>
      <c r="X77" s="260"/>
      <c r="Y77" s="513"/>
      <c r="Z77" s="260"/>
      <c r="AA77" s="513"/>
      <c r="AB77" s="316"/>
      <c r="AC77" s="1220"/>
      <c r="AD77" s="317">
        <f t="shared" si="4"/>
        <v>778.8</v>
      </c>
      <c r="AE77" s="1968"/>
      <c r="AF77" s="261"/>
      <c r="AG77" s="316">
        <v>551.4</v>
      </c>
      <c r="AH77" s="316"/>
      <c r="AI77" s="2011"/>
      <c r="AJ77" s="317">
        <f t="shared" si="3"/>
        <v>227.4</v>
      </c>
      <c r="AK77" s="640"/>
      <c r="AL77" s="2894">
        <f>ROUND(IF(AG77=0,0,AJ77/ABS(AG77)),3)</f>
        <v>0.41199999999999998</v>
      </c>
      <c r="AM77" s="640"/>
    </row>
    <row r="78" spans="1:41" ht="15.6">
      <c r="A78" s="223"/>
      <c r="B78" s="223" t="s">
        <v>34</v>
      </c>
      <c r="C78" s="223"/>
      <c r="D78" s="223"/>
      <c r="E78" s="1966">
        <v>3.3</v>
      </c>
      <c r="F78" s="316"/>
      <c r="G78" s="1993">
        <v>9.6999999999999993</v>
      </c>
      <c r="H78" s="316"/>
      <c r="I78" s="522">
        <v>50.7</v>
      </c>
      <c r="J78" s="316"/>
      <c r="K78" s="1966">
        <v>3.2</v>
      </c>
      <c r="L78" s="260"/>
      <c r="M78" s="513">
        <v>73.099999999999994</v>
      </c>
      <c r="N78" s="260"/>
      <c r="O78" s="513">
        <v>70.5</v>
      </c>
      <c r="P78" s="260"/>
      <c r="Q78" s="513">
        <v>11.6</v>
      </c>
      <c r="R78" s="260"/>
      <c r="S78" s="513">
        <v>5.0999999999999996</v>
      </c>
      <c r="T78" s="260"/>
      <c r="U78" s="513">
        <v>229.8</v>
      </c>
      <c r="V78" s="260"/>
      <c r="W78" s="278">
        <v>10.4</v>
      </c>
      <c r="X78" s="260"/>
      <c r="Y78" s="513"/>
      <c r="Z78" s="260"/>
      <c r="AA78" s="278"/>
      <c r="AB78" s="316"/>
      <c r="AC78" s="1220"/>
      <c r="AD78" s="317">
        <f t="shared" si="4"/>
        <v>467.4</v>
      </c>
      <c r="AE78" s="1968"/>
      <c r="AF78" s="261"/>
      <c r="AG78" s="1672">
        <v>445.9</v>
      </c>
      <c r="AH78" s="261"/>
      <c r="AI78" s="2011"/>
      <c r="AJ78" s="317">
        <f t="shared" si="3"/>
        <v>21.5</v>
      </c>
      <c r="AK78" s="650"/>
      <c r="AL78" s="45">
        <f>ROUND(IF(AG78=0,0,AJ78/ABS(AG78)),3)</f>
        <v>4.8000000000000001E-2</v>
      </c>
      <c r="AM78" s="640"/>
    </row>
    <row r="79" spans="1:41" ht="15.6">
      <c r="A79" s="223"/>
      <c r="B79" s="221" t="s">
        <v>202</v>
      </c>
      <c r="C79" s="223"/>
      <c r="D79" s="223"/>
      <c r="E79" s="1994">
        <f>ROUND(SUM(E69:E78),1)</f>
        <v>221.5</v>
      </c>
      <c r="F79" s="310"/>
      <c r="G79" s="1994">
        <f>ROUND(SUM(G69:G78),1)</f>
        <v>164.7</v>
      </c>
      <c r="H79" s="310"/>
      <c r="I79" s="1994">
        <f>ROUND(SUM(I69:I78),1)</f>
        <v>261.5</v>
      </c>
      <c r="J79" s="313"/>
      <c r="K79" s="1994">
        <f>ROUND(SUM(K69:K78),1)</f>
        <v>199.5</v>
      </c>
      <c r="L79" s="256"/>
      <c r="M79" s="540">
        <f>ROUND(SUM(M69:M78),1)</f>
        <v>360.6</v>
      </c>
      <c r="N79" s="272"/>
      <c r="O79" s="540">
        <f>ROUND(SUM(O69:O78),1)</f>
        <v>335.4</v>
      </c>
      <c r="P79" s="256"/>
      <c r="Q79" s="540">
        <f>ROUND(SUM(Q69:Q78),1)</f>
        <v>190.9</v>
      </c>
      <c r="R79" s="256"/>
      <c r="S79" s="540">
        <f>ROUND(SUM(S69:S78),1)</f>
        <v>162.30000000000001</v>
      </c>
      <c r="T79" s="256"/>
      <c r="U79" s="540">
        <f>ROUND(SUM(U69:U78),1)</f>
        <v>386.6</v>
      </c>
      <c r="V79" s="256"/>
      <c r="W79" s="540">
        <f>ROUND(SUM(W69:W78),1)</f>
        <v>157.4</v>
      </c>
      <c r="X79" s="256"/>
      <c r="Y79" s="540">
        <f>ROUND(SUM(Y69:Y78),1)</f>
        <v>0</v>
      </c>
      <c r="Z79" s="256"/>
      <c r="AA79" s="540">
        <f>ROUND(SUM(AA69:AA78),1)</f>
        <v>0</v>
      </c>
      <c r="AB79" s="310"/>
      <c r="AC79" s="1221"/>
      <c r="AD79" s="1994">
        <f>ROUND(SUM(AD69:AD78),1)</f>
        <v>2440.4</v>
      </c>
      <c r="AE79" s="1973"/>
      <c r="AF79" s="313"/>
      <c r="AG79" s="1994">
        <f>ROUND(SUM(AG69:AG78),1)</f>
        <v>1771.9</v>
      </c>
      <c r="AH79" s="313"/>
      <c r="AI79" s="2011"/>
      <c r="AJ79" s="1994">
        <f>ROUND(SUM(AJ69:AJ78),1)</f>
        <v>668.5</v>
      </c>
      <c r="AK79" s="658"/>
      <c r="AL79" s="72">
        <f>ROUND(IF(AG79=0,0,AJ79/ABS(AG79)),3)</f>
        <v>0.377</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0"/>
      <c r="AD80" s="316"/>
      <c r="AE80" s="1968"/>
      <c r="AF80" s="261"/>
      <c r="AG80" s="316"/>
      <c r="AH80" s="316"/>
      <c r="AI80" s="2011"/>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v>0</v>
      </c>
      <c r="R81" s="260"/>
      <c r="S81" s="370">
        <v>0</v>
      </c>
      <c r="T81" s="260"/>
      <c r="U81" s="370">
        <v>0</v>
      </c>
      <c r="V81" s="260"/>
      <c r="W81" s="370">
        <v>0</v>
      </c>
      <c r="X81" s="260"/>
      <c r="Y81" s="370"/>
      <c r="Z81" s="260"/>
      <c r="AA81" s="370"/>
      <c r="AB81" s="316"/>
      <c r="AC81" s="1220"/>
      <c r="AD81" s="317">
        <f>ROUND(SUM(E81:AA81),1)</f>
        <v>0</v>
      </c>
      <c r="AE81" s="1968"/>
      <c r="AF81" s="261"/>
      <c r="AG81" s="681">
        <v>0</v>
      </c>
      <c r="AH81" s="326"/>
      <c r="AI81" s="2019"/>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v>0</v>
      </c>
      <c r="R82" s="260"/>
      <c r="S82" s="370">
        <v>0</v>
      </c>
      <c r="T82" s="260"/>
      <c r="U82" s="370">
        <v>0</v>
      </c>
      <c r="V82" s="260"/>
      <c r="W82" s="370">
        <v>0</v>
      </c>
      <c r="X82" s="260"/>
      <c r="Y82" s="370"/>
      <c r="Z82" s="260"/>
      <c r="AA82" s="370"/>
      <c r="AB82" s="316"/>
      <c r="AC82" s="1220"/>
      <c r="AD82" s="317">
        <f>ROUND(SUM(E82:AA82),1)</f>
        <v>0</v>
      </c>
      <c r="AE82" s="1968"/>
      <c r="AF82" s="261"/>
      <c r="AG82" s="681">
        <v>0</v>
      </c>
      <c r="AH82" s="326"/>
      <c r="AI82" s="2019"/>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v>0</v>
      </c>
      <c r="R83" s="260"/>
      <c r="S83" s="370">
        <v>0</v>
      </c>
      <c r="T83" s="260"/>
      <c r="U83" s="370">
        <v>0</v>
      </c>
      <c r="V83" s="260"/>
      <c r="W83" s="370">
        <v>0</v>
      </c>
      <c r="X83" s="260"/>
      <c r="Y83" s="370"/>
      <c r="Z83" s="661"/>
      <c r="AA83" s="370"/>
      <c r="AB83" s="2020"/>
      <c r="AC83" s="2021"/>
      <c r="AD83" s="317">
        <f>ROUND(SUM(E83:AA83),1)</f>
        <v>0</v>
      </c>
      <c r="AE83" s="1968"/>
      <c r="AF83" s="261"/>
      <c r="AG83" s="681">
        <v>0</v>
      </c>
      <c r="AH83" s="326"/>
      <c r="AI83" s="2019"/>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1993">
        <v>454.3</v>
      </c>
      <c r="L84" s="260"/>
      <c r="M84" s="278">
        <v>457.5</v>
      </c>
      <c r="N84" s="260"/>
      <c r="O84" s="278">
        <v>461.5</v>
      </c>
      <c r="P84" s="260"/>
      <c r="Q84" s="278">
        <v>577.9</v>
      </c>
      <c r="R84" s="260"/>
      <c r="S84" s="278">
        <v>532.20000000000005</v>
      </c>
      <c r="T84" s="260"/>
      <c r="U84" s="278">
        <v>439.9</v>
      </c>
      <c r="V84" s="260"/>
      <c r="W84" s="278">
        <v>539.20000000000005</v>
      </c>
      <c r="X84" s="260"/>
      <c r="Y84" s="370"/>
      <c r="Z84" s="260"/>
      <c r="AA84" s="278"/>
      <c r="AB84" s="316"/>
      <c r="AC84" s="1220"/>
      <c r="AD84" s="317">
        <f>ROUND(SUM(E84:AA84),1)</f>
        <v>4521.1000000000004</v>
      </c>
      <c r="AE84" s="1968"/>
      <c r="AF84" s="261"/>
      <c r="AG84" s="1698">
        <v>4056.5</v>
      </c>
      <c r="AH84" s="266"/>
      <c r="AI84" s="1969"/>
      <c r="AJ84" s="2022">
        <f>ROUND(AD84-AG84,1)</f>
        <v>464.6</v>
      </c>
      <c r="AK84" s="640"/>
      <c r="AL84" s="1685">
        <f>ROUND(IF(AG84=0,0,AJ84/ABS(AG84)),3)</f>
        <v>0.115</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0"/>
      <c r="AD85" s="325"/>
      <c r="AE85" s="1968"/>
      <c r="AF85" s="261"/>
      <c r="AG85" s="682"/>
      <c r="AH85" s="682"/>
      <c r="AI85" s="2023"/>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768.8</v>
      </c>
      <c r="R86" s="256"/>
      <c r="S86" s="256">
        <f>ROUND(SUM(S79:S84),1)</f>
        <v>694.5</v>
      </c>
      <c r="T86" s="256"/>
      <c r="U86" s="1719">
        <f>ROUND(SUM(U79:U84),1)</f>
        <v>826.5</v>
      </c>
      <c r="V86" s="256"/>
      <c r="W86" s="256">
        <f>ROUND(SUM(W79:W84),1)</f>
        <v>696.6</v>
      </c>
      <c r="X86" s="256"/>
      <c r="Y86" s="256">
        <f>ROUND(SUM(Y79:Y84),1)</f>
        <v>0</v>
      </c>
      <c r="Z86" s="256"/>
      <c r="AA86" s="256">
        <f>ROUND(SUM(AA79:AA84),1)</f>
        <v>0</v>
      </c>
      <c r="AB86" s="310"/>
      <c r="AC86" s="1221"/>
      <c r="AD86" s="310">
        <f>ROUND(SUM(AD79:AD84),1)</f>
        <v>6961.5</v>
      </c>
      <c r="AE86" s="1973"/>
      <c r="AF86" s="313"/>
      <c r="AG86" s="310">
        <f>ROUND(SUM(AG79:AG84),1)</f>
        <v>5828.4</v>
      </c>
      <c r="AH86" s="313"/>
      <c r="AI86" s="2011"/>
      <c r="AJ86" s="311">
        <f>ROUND(AD86-AG86,1)</f>
        <v>1133.0999999999999</v>
      </c>
      <c r="AK86" s="658"/>
      <c r="AL86" s="1793">
        <f>ROUND(IF(AG86=0,0,AJ86/ABS(AG86)),3)</f>
        <v>0.19400000000000001</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0"/>
      <c r="AD87" s="325"/>
      <c r="AE87" s="1968"/>
      <c r="AF87" s="261"/>
      <c r="AG87" s="325"/>
      <c r="AH87" s="261"/>
      <c r="AI87" s="2011"/>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0"/>
      <c r="AD88" s="682"/>
      <c r="AE88" s="1968"/>
      <c r="AF88" s="261"/>
      <c r="AG88" s="682"/>
      <c r="AH88" s="682"/>
      <c r="AI88" s="2023"/>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318.3</v>
      </c>
      <c r="R89" s="256"/>
      <c r="S89" s="256">
        <f>ROUND(SUM(S65-S86),1)</f>
        <v>-476.4</v>
      </c>
      <c r="T89" s="256"/>
      <c r="U89" s="1719">
        <f>ROUND(SUM(U65-U86),1)</f>
        <v>1116.5999999999999</v>
      </c>
      <c r="V89" s="256"/>
      <c r="W89" s="256">
        <f>ROUND(SUM(W65-W86),1)</f>
        <v>-360.5</v>
      </c>
      <c r="X89" s="256"/>
      <c r="Y89" s="256">
        <f>ROUND(SUM(Y65-Y86),1)</f>
        <v>0</v>
      </c>
      <c r="Z89" s="256"/>
      <c r="AA89" s="256">
        <f>ROUND(SUM(AA65-AA86),1)</f>
        <v>0</v>
      </c>
      <c r="AB89" s="310"/>
      <c r="AC89" s="1221"/>
      <c r="AD89" s="310">
        <f>ROUND(SUM(AD65-AD86),1)</f>
        <v>-850.1</v>
      </c>
      <c r="AE89" s="1973"/>
      <c r="AF89" s="313"/>
      <c r="AG89" s="310">
        <f>ROUND(SUM(AG65-AG86),1)</f>
        <v>-2133.1999999999998</v>
      </c>
      <c r="AH89" s="313"/>
      <c r="AI89" s="2011"/>
      <c r="AJ89" s="311">
        <f>ROUND(AD89-AG89,1)</f>
        <v>1283.0999999999999</v>
      </c>
      <c r="AK89" s="658"/>
      <c r="AL89" s="2618">
        <f>ROUND(IF(AG89=0,0,AJ89/ABS(AG89)),3)</f>
        <v>0.60099999999999998</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0"/>
      <c r="AD90" s="325"/>
      <c r="AE90" s="1968"/>
      <c r="AF90" s="261"/>
      <c r="AG90" s="325"/>
      <c r="AH90" s="261"/>
      <c r="AI90" s="2011"/>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0"/>
      <c r="AD91" s="316"/>
      <c r="AE91" s="1968"/>
      <c r="AF91" s="261"/>
      <c r="AG91" s="326"/>
      <c r="AH91" s="326"/>
      <c r="AI91" s="2019"/>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v>0</v>
      </c>
      <c r="R92" s="260"/>
      <c r="S92" s="370">
        <v>0</v>
      </c>
      <c r="T92" s="260"/>
      <c r="U92" s="370">
        <v>0</v>
      </c>
      <c r="V92" s="260"/>
      <c r="W92" s="370">
        <v>0</v>
      </c>
      <c r="X92" s="260"/>
      <c r="Y92" s="370"/>
      <c r="Z92" s="260"/>
      <c r="AA92" s="512"/>
      <c r="AB92" s="316"/>
      <c r="AC92" s="1220"/>
      <c r="AD92" s="317">
        <f>ROUND(SUM(E92:AA92),1)</f>
        <v>0</v>
      </c>
      <c r="AE92" s="1968"/>
      <c r="AF92" s="261"/>
      <c r="AG92" s="326">
        <v>0</v>
      </c>
      <c r="AH92" s="326"/>
      <c r="AI92" s="2019"/>
      <c r="AJ92" s="317">
        <f>ROUND(AD92-AG92,1)</f>
        <v>0</v>
      </c>
      <c r="AK92" s="650"/>
      <c r="AL92" s="2582">
        <f>ROUND(IF(AG92=0,0,AJ92/ABS(AG92)),3)</f>
        <v>0</v>
      </c>
    </row>
    <row r="93" spans="1:41" ht="15.6">
      <c r="A93" s="223"/>
      <c r="B93" s="246" t="s">
        <v>178</v>
      </c>
      <c r="C93" s="223"/>
      <c r="D93" s="223"/>
      <c r="E93" s="1966">
        <v>316.5</v>
      </c>
      <c r="F93" s="316"/>
      <c r="G93" s="1966">
        <v>377</v>
      </c>
      <c r="H93" s="316"/>
      <c r="I93" s="1966">
        <v>476.4</v>
      </c>
      <c r="J93" s="316"/>
      <c r="K93" s="1966">
        <v>-584.1</v>
      </c>
      <c r="L93" s="260"/>
      <c r="M93" s="513">
        <v>512</v>
      </c>
      <c r="N93" s="260"/>
      <c r="O93" s="513">
        <v>439.3</v>
      </c>
      <c r="P93" s="260"/>
      <c r="Q93" s="513">
        <v>-266</v>
      </c>
      <c r="R93" s="260"/>
      <c r="S93" s="513">
        <v>365</v>
      </c>
      <c r="T93" s="260"/>
      <c r="U93" s="513">
        <v>-700.4</v>
      </c>
      <c r="V93" s="260"/>
      <c r="W93" s="513">
        <v>251.7</v>
      </c>
      <c r="X93" s="260"/>
      <c r="Y93" s="370"/>
      <c r="Z93" s="260"/>
      <c r="AA93" s="513"/>
      <c r="AB93" s="316"/>
      <c r="AC93" s="1220"/>
      <c r="AD93" s="317">
        <f>ROUND(SUM(E93:AA93),1)</f>
        <v>1187.4000000000001</v>
      </c>
      <c r="AE93" s="1968"/>
      <c r="AF93" s="261"/>
      <c r="AG93" s="316">
        <v>2528.6</v>
      </c>
      <c r="AH93" s="317"/>
      <c r="AI93" s="1969"/>
      <c r="AJ93" s="317">
        <f>ROUND(AD93-AG93,1)</f>
        <v>-1341.2</v>
      </c>
      <c r="AK93" s="640"/>
      <c r="AL93" s="45">
        <f>ROUND(IF(AG93=0,0,AJ93/ABS(AG93)),3)</f>
        <v>-0.53</v>
      </c>
      <c r="AM93" s="640"/>
    </row>
    <row r="94" spans="1:41" ht="15.6">
      <c r="A94" s="223"/>
      <c r="B94" s="246" t="s">
        <v>212</v>
      </c>
      <c r="C94" s="223"/>
      <c r="D94" s="223"/>
      <c r="E94" s="1966">
        <v>-28.6</v>
      </c>
      <c r="F94" s="316"/>
      <c r="G94" s="316">
        <v>-30</v>
      </c>
      <c r="H94" s="316"/>
      <c r="I94" s="1966">
        <v>-30</v>
      </c>
      <c r="J94" s="316"/>
      <c r="K94" s="1966">
        <v>-32.6</v>
      </c>
      <c r="L94" s="260"/>
      <c r="M94" s="513">
        <v>-32.5</v>
      </c>
      <c r="N94" s="260"/>
      <c r="O94" s="513">
        <v>-259.8</v>
      </c>
      <c r="P94" s="260"/>
      <c r="Q94" s="513">
        <v>-25.1</v>
      </c>
      <c r="R94" s="260"/>
      <c r="S94" s="513">
        <v>-21.5</v>
      </c>
      <c r="T94" s="260"/>
      <c r="U94" s="513">
        <v>-21.2</v>
      </c>
      <c r="V94" s="260"/>
      <c r="W94" s="513">
        <v>-24.5</v>
      </c>
      <c r="X94" s="260"/>
      <c r="Y94" s="370"/>
      <c r="Z94" s="260"/>
      <c r="AA94" s="513"/>
      <c r="AB94" s="316"/>
      <c r="AC94" s="1220"/>
      <c r="AD94" s="317">
        <f>ROUND(SUM(E94:AA94),1)</f>
        <v>-505.8</v>
      </c>
      <c r="AE94" s="1968"/>
      <c r="AF94" s="261"/>
      <c r="AG94" s="2423">
        <v>-517.79999999999995</v>
      </c>
      <c r="AH94" s="261"/>
      <c r="AI94" s="2011"/>
      <c r="AJ94" s="2022">
        <f>ROUND(-AD94+AG94,1)</f>
        <v>-12</v>
      </c>
      <c r="AK94" s="640"/>
      <c r="AL94" s="1685">
        <f>ROUND(IF(AG94=0,0,AJ94/ABS(AG94)),3)</f>
        <v>-2.3E-2</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0"/>
      <c r="AD95" s="325"/>
      <c r="AE95" s="1968"/>
      <c r="AF95" s="261"/>
      <c r="AG95" s="682"/>
      <c r="AH95" s="682"/>
      <c r="AI95" s="2023"/>
      <c r="AJ95" s="682"/>
      <c r="AK95" s="640"/>
      <c r="AL95" s="648"/>
    </row>
    <row r="96" spans="1:41" ht="15.6">
      <c r="A96" s="223"/>
      <c r="B96" s="221" t="s">
        <v>1299</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-291.10000000000002</v>
      </c>
      <c r="R96" s="256"/>
      <c r="S96" s="256">
        <f>ROUND(SUM(S92:S94),1)</f>
        <v>343.5</v>
      </c>
      <c r="T96" s="256"/>
      <c r="U96" s="1719">
        <f>ROUND(SUM(U92:U94),1)</f>
        <v>-721.6</v>
      </c>
      <c r="V96" s="256"/>
      <c r="W96" s="256">
        <f>ROUND(SUM(W92:W94),1)</f>
        <v>227.2</v>
      </c>
      <c r="X96" s="256"/>
      <c r="Y96" s="256">
        <f>ROUND(SUM(Y92:Y94),1)</f>
        <v>0</v>
      </c>
      <c r="Z96" s="256"/>
      <c r="AA96" s="256">
        <f>ROUND(SUM(AA92:AA94),1)</f>
        <v>0</v>
      </c>
      <c r="AB96" s="310"/>
      <c r="AC96" s="1221"/>
      <c r="AD96" s="310">
        <f>ROUND(SUM(AD92:AD94),1)</f>
        <v>681.6</v>
      </c>
      <c r="AE96" s="1973"/>
      <c r="AF96" s="313"/>
      <c r="AG96" s="313">
        <f>ROUND(SUM(AG92:AG94),1)</f>
        <v>2010.8</v>
      </c>
      <c r="AH96" s="313"/>
      <c r="AI96" s="2011"/>
      <c r="AJ96" s="311">
        <f>ROUND(AD96-AG96,1)</f>
        <v>-1329.2</v>
      </c>
      <c r="AK96" s="658"/>
      <c r="AL96" s="2618">
        <f>ROUND(IF(AG96=0,0,AJ96/ABS(AG96)),3)</f>
        <v>-0.66100000000000003</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0"/>
      <c r="AD97" s="325"/>
      <c r="AE97" s="1968"/>
      <c r="AF97" s="261"/>
      <c r="AG97" s="325"/>
      <c r="AH97" s="261"/>
      <c r="AI97" s="2011"/>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0"/>
      <c r="AD98" s="316" t="s">
        <v>15</v>
      </c>
      <c r="AE98" s="1968"/>
      <c r="AF98" s="261"/>
      <c r="AG98" s="316"/>
      <c r="AH98" s="316"/>
      <c r="AI98" s="2011"/>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0"/>
      <c r="AD99" s="316"/>
      <c r="AE99" s="1968"/>
      <c r="AF99" s="261"/>
      <c r="AG99" s="316"/>
      <c r="AH99" s="316"/>
      <c r="AI99" s="2011"/>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0"/>
      <c r="AD100" s="2024" t="s">
        <v>15</v>
      </c>
      <c r="AE100" s="1968"/>
      <c r="AF100" s="261"/>
      <c r="AG100" s="682"/>
      <c r="AH100" s="682"/>
      <c r="AI100" s="2023"/>
      <c r="AJ100" s="682"/>
      <c r="AK100" s="640"/>
      <c r="AL100" s="648"/>
      <c r="AO100" s="676"/>
    </row>
    <row r="101" spans="1:41" ht="15.6">
      <c r="A101" s="223"/>
      <c r="B101" s="221" t="s">
        <v>1300</v>
      </c>
      <c r="C101" s="223"/>
      <c r="D101" s="223"/>
      <c r="E101" s="3064">
        <f>ROUND(SUM(E89+E96),1)</f>
        <v>-10.5</v>
      </c>
      <c r="F101" s="1995"/>
      <c r="G101" s="3064">
        <f>ROUND(SUM(G89+G96),1)</f>
        <v>-55.2</v>
      </c>
      <c r="H101" s="1995"/>
      <c r="I101" s="3064">
        <f>ROUND(SUM(I89+I96),1)</f>
        <v>86.9</v>
      </c>
      <c r="J101" s="1995"/>
      <c r="K101" s="3064">
        <f>ROUND(SUM(K89+K96),1)</f>
        <v>63.8</v>
      </c>
      <c r="L101" s="677"/>
      <c r="M101" s="3064">
        <f>ROUND(SUM(M89+M96),1)</f>
        <v>-65.400000000000006</v>
      </c>
      <c r="N101" s="677"/>
      <c r="O101" s="3064">
        <f>ROUND(SUM(O89+O96),1)</f>
        <v>-344.1</v>
      </c>
      <c r="P101" s="677"/>
      <c r="Q101" s="3064">
        <f>ROUND(SUM(Q89+Q96),1)</f>
        <v>27.2</v>
      </c>
      <c r="R101" s="677"/>
      <c r="S101" s="3064">
        <f>ROUND(SUM(S89+S96),1)</f>
        <v>-132.9</v>
      </c>
      <c r="T101" s="677"/>
      <c r="U101" s="3064">
        <f>ROUND(SUM(U89+U96),1)</f>
        <v>395</v>
      </c>
      <c r="V101" s="677"/>
      <c r="W101" s="3064">
        <f>ROUND(SUM(W89+W96),1)</f>
        <v>-133.30000000000001</v>
      </c>
      <c r="X101" s="678"/>
      <c r="Y101" s="3064">
        <f>ROUND(SUM(Y89+Y96),1)</f>
        <v>0</v>
      </c>
      <c r="Z101" s="677"/>
      <c r="AA101" s="3064">
        <f>ROUND(SUM(AA89+AA96),1)</f>
        <v>0</v>
      </c>
      <c r="AB101" s="1995"/>
      <c r="AC101" s="2025"/>
      <c r="AD101" s="3064">
        <f>ROUND(SUM(AD89+AD96),1)</f>
        <v>-168.5</v>
      </c>
      <c r="AE101" s="2026"/>
      <c r="AF101" s="338"/>
      <c r="AG101" s="3064">
        <f>ROUND(SUM(AG89+AG96),1)</f>
        <v>-122.4</v>
      </c>
      <c r="AH101" s="2027"/>
      <c r="AI101" s="2028"/>
      <c r="AJ101" s="3064">
        <f>ROUND(SUM(AJ89+AJ96),1)</f>
        <v>-46.1</v>
      </c>
      <c r="AK101" s="658"/>
      <c r="AL101" s="2618">
        <f>ROUND(IF(AG101=0,0,AJ101/ABS(AG101)),3)</f>
        <v>-0.377</v>
      </c>
      <c r="AM101" s="645"/>
    </row>
    <row r="102" spans="1:41" ht="15.6">
      <c r="A102" s="223"/>
      <c r="B102" s="221"/>
      <c r="C102" s="223"/>
      <c r="D102" s="223"/>
      <c r="E102" s="2470"/>
      <c r="F102" s="1995"/>
      <c r="G102" s="2470"/>
      <c r="H102" s="1995"/>
      <c r="I102" s="2470"/>
      <c r="J102" s="1995"/>
      <c r="K102" s="2470"/>
      <c r="L102" s="677"/>
      <c r="M102" s="2470"/>
      <c r="N102" s="677"/>
      <c r="O102" s="2470"/>
      <c r="P102" s="677"/>
      <c r="Q102" s="2470"/>
      <c r="R102" s="677"/>
      <c r="S102" s="2470"/>
      <c r="T102" s="677"/>
      <c r="U102" s="2470"/>
      <c r="V102" s="677"/>
      <c r="W102" s="2470"/>
      <c r="X102" s="678"/>
      <c r="Y102" s="2470"/>
      <c r="Z102" s="677"/>
      <c r="AA102" s="2470"/>
      <c r="AB102" s="1995"/>
      <c r="AC102" s="2025"/>
      <c r="AD102" s="2470"/>
      <c r="AE102" s="2026"/>
      <c r="AF102" s="338"/>
      <c r="AG102" s="2470"/>
      <c r="AH102" s="2027"/>
      <c r="AI102" s="2028"/>
      <c r="AJ102" s="2470"/>
      <c r="AK102" s="658"/>
      <c r="AL102" s="114"/>
      <c r="AM102" s="645"/>
    </row>
    <row r="103" spans="1:41" ht="16.2" thickBot="1">
      <c r="B103" s="221" t="s">
        <v>1298</v>
      </c>
      <c r="E103" s="3063">
        <f>ROUND(SUM(E15+E101),1)</f>
        <v>-501.4</v>
      </c>
      <c r="G103" s="3063">
        <f>ROUND(SUM(G15+G101),1)</f>
        <v>-556.6</v>
      </c>
      <c r="I103" s="3063">
        <f>ROUND(SUM(I15+I101),1)</f>
        <v>-469.7</v>
      </c>
      <c r="K103" s="3063">
        <f>ROUND(SUM(K15+K101),1)</f>
        <v>-405.9</v>
      </c>
      <c r="M103" s="3063">
        <f>ROUND(SUM(M15+M101),1)</f>
        <v>-471.3</v>
      </c>
      <c r="O103" s="3063">
        <f>ROUND(SUM(O15+O101),1)</f>
        <v>-815.4</v>
      </c>
      <c r="Q103" s="3063">
        <f>ROUND(SUM(Q15+Q101),1)</f>
        <v>-788.2</v>
      </c>
      <c r="S103" s="3063">
        <f>ROUND(SUM(S15+S101),1)</f>
        <v>-921.1</v>
      </c>
      <c r="U103" s="3063">
        <f>ROUND(SUM(U15+U101),1)</f>
        <v>-526.1</v>
      </c>
      <c r="W103" s="3063">
        <f>ROUND(SUM(W15+W101),1)</f>
        <v>-659.4</v>
      </c>
      <c r="X103" s="679"/>
      <c r="Y103" s="3063">
        <f>ROUND(SUM(Y15+Y101),1)</f>
        <v>0</v>
      </c>
      <c r="AA103" s="3063">
        <f>ROUND(SUM(AA15+AA101),1)</f>
        <v>0</v>
      </c>
      <c r="AB103" s="1995"/>
      <c r="AC103" s="2025"/>
      <c r="AD103" s="3063">
        <f>ROUND(SUM(AD15+AD101),1)</f>
        <v>-659.4</v>
      </c>
      <c r="AE103" s="2026"/>
      <c r="AF103" s="338"/>
      <c r="AG103" s="3063">
        <f>ROUND(SUM(AG15+AG101),1)</f>
        <v>-453.9</v>
      </c>
      <c r="AH103" s="2027"/>
      <c r="AI103" s="2028"/>
      <c r="AJ103" s="3051">
        <f>ROUND(AD103-AG103,1)</f>
        <v>-205.5</v>
      </c>
      <c r="AL103" s="3091">
        <f>ROUND(IF(AG103=0,0,AJ103/ABS(AG103)),3)</f>
        <v>-0.45300000000000001</v>
      </c>
    </row>
    <row r="104" spans="1:41" ht="15.6" thickTop="1">
      <c r="B104" s="669"/>
      <c r="C104" s="670"/>
      <c r="D104" s="670"/>
      <c r="E104" s="1996"/>
      <c r="F104" s="1996"/>
      <c r="G104" s="1996"/>
    </row>
    <row r="105" spans="1:41">
      <c r="B105" s="2637" t="s">
        <v>15</v>
      </c>
      <c r="C105" s="670"/>
      <c r="D105" s="670"/>
      <c r="E105" s="1996"/>
      <c r="F105" s="1996"/>
      <c r="G105" s="1996"/>
      <c r="AG105" s="2068"/>
      <c r="AJ105" s="2010"/>
    </row>
    <row r="106" spans="1:41">
      <c r="B106" s="673"/>
    </row>
    <row r="107" spans="1:41">
      <c r="B107" s="673"/>
    </row>
    <row r="108" spans="1:41">
      <c r="B108" s="669"/>
    </row>
    <row r="109" spans="1:41">
      <c r="B109" s="673"/>
    </row>
    <row r="110" spans="1:41">
      <c r="B110" s="673"/>
    </row>
    <row r="111" spans="1:41">
      <c r="B111" s="669"/>
    </row>
    <row r="135" spans="31:31">
      <c r="AE135" s="198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5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83" customWidth="1"/>
    <col min="5" max="5" width="9.81640625" style="1983" bestFit="1" customWidth="1"/>
    <col min="6" max="6" width="1.81640625" style="1983" customWidth="1"/>
    <col min="7" max="7" width="11" style="1983" bestFit="1" customWidth="1"/>
    <col min="8" max="8" width="1.81640625" style="1983" customWidth="1"/>
    <col min="9" max="9" width="11" style="1983" bestFit="1" customWidth="1"/>
    <col min="10" max="10" width="1.81640625" style="1983" customWidth="1"/>
    <col min="11" max="11" width="12.1796875" style="1983"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83" customWidth="1"/>
    <col min="28" max="29" width="1.81640625" style="1983" customWidth="1"/>
    <col min="30" max="30" width="10.54296875" style="1983" customWidth="1"/>
    <col min="31" max="32" width="1" style="1983" customWidth="1"/>
    <col min="33" max="33" width="12.90625" style="1983" customWidth="1"/>
    <col min="34" max="35" width="1" style="1983" customWidth="1"/>
    <col min="36" max="36" width="13.08984375" style="1983" bestFit="1" customWidth="1"/>
    <col min="37" max="37" width="1.36328125" style="299" customWidth="1"/>
    <col min="38" max="38" width="11.36328125" style="299" customWidth="1"/>
    <col min="39" max="16384" width="8.90625" style="299"/>
  </cols>
  <sheetData>
    <row r="1" spans="1:39">
      <c r="B1" s="1124" t="s">
        <v>1066</v>
      </c>
    </row>
    <row r="2" spans="1:39">
      <c r="B2" s="1579"/>
    </row>
    <row r="3" spans="1:39" ht="19.5" customHeight="1">
      <c r="A3" s="629"/>
      <c r="B3" s="534" t="s">
        <v>0</v>
      </c>
      <c r="C3" s="630"/>
      <c r="D3" s="1984"/>
      <c r="E3" s="1984"/>
      <c r="F3" s="1985"/>
      <c r="G3" s="1985"/>
      <c r="H3" s="1985"/>
      <c r="I3" s="1985"/>
      <c r="J3" s="1985"/>
      <c r="K3" s="1985"/>
      <c r="L3" s="631"/>
      <c r="M3" s="631"/>
      <c r="N3" s="631"/>
      <c r="O3" s="631"/>
      <c r="P3" s="631"/>
      <c r="Q3" s="631"/>
      <c r="R3" s="631"/>
      <c r="S3" s="680"/>
      <c r="T3" s="631"/>
      <c r="U3" s="631"/>
      <c r="V3" s="631"/>
      <c r="W3" s="631"/>
      <c r="X3" s="631"/>
      <c r="Y3" s="631"/>
      <c r="Z3" s="631"/>
      <c r="AA3" s="1985"/>
      <c r="AB3" s="1985"/>
      <c r="AC3" s="1985"/>
      <c r="AD3" s="1985"/>
      <c r="AE3" s="1985"/>
      <c r="AF3" s="1985"/>
      <c r="AG3" s="1985"/>
      <c r="AH3" s="1985"/>
      <c r="AI3" s="1985"/>
      <c r="AL3" s="503" t="s">
        <v>199</v>
      </c>
    </row>
    <row r="4" spans="1:39" ht="19.5" customHeight="1">
      <c r="A4" s="629"/>
      <c r="B4" s="534" t="s">
        <v>216</v>
      </c>
      <c r="C4" s="630"/>
      <c r="D4" s="1984"/>
      <c r="E4" s="1984"/>
      <c r="F4" s="1985"/>
      <c r="G4" s="1985"/>
      <c r="H4" s="1985"/>
      <c r="I4" s="1985"/>
      <c r="J4" s="1985"/>
      <c r="K4" s="1985"/>
      <c r="L4" s="631"/>
      <c r="M4" s="631"/>
      <c r="N4" s="631"/>
      <c r="O4" s="631"/>
      <c r="P4" s="631"/>
      <c r="Q4" s="631"/>
      <c r="R4" s="631"/>
      <c r="S4" s="631"/>
      <c r="T4" s="631"/>
      <c r="U4" s="631"/>
      <c r="V4" s="631"/>
      <c r="W4" s="631"/>
      <c r="X4" s="631"/>
      <c r="Y4" s="631"/>
      <c r="Z4" s="631"/>
      <c r="AA4" s="1985"/>
      <c r="AB4" s="1985"/>
      <c r="AC4" s="1985"/>
      <c r="AE4" s="1997"/>
      <c r="AF4" s="1997"/>
    </row>
    <row r="5" spans="1:39" ht="19.5" customHeight="1">
      <c r="A5" s="629"/>
      <c r="B5" s="2804" t="s">
        <v>1465</v>
      </c>
      <c r="C5" s="630"/>
      <c r="D5" s="1984"/>
      <c r="E5" s="1984"/>
      <c r="F5" s="1985"/>
      <c r="G5" s="1985"/>
      <c r="H5" s="1985"/>
      <c r="I5" s="1985"/>
      <c r="J5" s="1985"/>
      <c r="K5" s="1985"/>
      <c r="L5" s="631"/>
      <c r="M5" s="631"/>
      <c r="N5" s="631"/>
      <c r="O5" s="631"/>
      <c r="P5" s="631"/>
      <c r="Q5" s="631"/>
      <c r="R5" s="631"/>
      <c r="S5" s="631"/>
      <c r="T5" s="631"/>
      <c r="U5" s="631"/>
      <c r="V5" s="631"/>
      <c r="W5" s="631"/>
      <c r="X5" s="631"/>
      <c r="Y5" s="631"/>
      <c r="Z5" s="631"/>
      <c r="AA5" s="1985"/>
      <c r="AB5" s="1985"/>
      <c r="AC5" s="1985"/>
      <c r="AD5" s="1985"/>
      <c r="AE5" s="1985"/>
      <c r="AF5" s="1985"/>
      <c r="AG5" s="1985"/>
      <c r="AH5" s="1985"/>
      <c r="AI5" s="1985"/>
      <c r="AL5" s="503"/>
    </row>
    <row r="6" spans="1:39" ht="19.5" customHeight="1">
      <c r="A6" s="629"/>
      <c r="B6" s="2804" t="s">
        <v>1439</v>
      </c>
      <c r="C6" s="1658"/>
      <c r="D6" s="1984"/>
      <c r="E6" s="1984"/>
      <c r="F6" s="1985"/>
      <c r="G6" s="1985"/>
      <c r="H6" s="1986"/>
      <c r="I6" s="1985"/>
      <c r="J6" s="1985"/>
      <c r="K6" s="1985"/>
      <c r="L6" s="631"/>
      <c r="M6" s="631"/>
      <c r="N6" s="631"/>
      <c r="O6" s="631"/>
      <c r="P6" s="631"/>
      <c r="Q6" s="631"/>
      <c r="R6" s="631"/>
      <c r="S6" s="631"/>
      <c r="T6" s="631"/>
      <c r="U6" s="631"/>
      <c r="V6" s="631"/>
      <c r="W6" s="631"/>
      <c r="X6" s="631"/>
      <c r="Y6" s="631"/>
      <c r="Z6" s="631"/>
      <c r="AA6" s="1985"/>
      <c r="AB6" s="1985"/>
      <c r="AC6" s="1985"/>
      <c r="AD6" s="1985"/>
      <c r="AE6" s="1998"/>
      <c r="AF6" s="1998"/>
      <c r="AG6" s="1998"/>
      <c r="AH6" s="1998"/>
      <c r="AI6" s="1998"/>
    </row>
    <row r="7" spans="1:39" ht="19.5" customHeight="1">
      <c r="A7" s="629"/>
      <c r="B7" s="635" t="s">
        <v>959</v>
      </c>
      <c r="C7" s="630"/>
      <c r="D7" s="1984"/>
      <c r="E7" s="1984"/>
      <c r="F7" s="1985"/>
      <c r="G7" s="1985"/>
      <c r="H7" s="1986"/>
      <c r="I7" s="1985"/>
      <c r="J7" s="1985"/>
      <c r="K7" s="1985"/>
      <c r="L7" s="631"/>
      <c r="M7" s="631"/>
      <c r="N7" s="631"/>
      <c r="O7" s="631"/>
      <c r="P7" s="631"/>
      <c r="Q7" s="631"/>
      <c r="R7" s="631"/>
      <c r="S7" s="631"/>
      <c r="T7" s="631"/>
      <c r="U7" s="631"/>
      <c r="V7" s="631"/>
      <c r="W7" s="631"/>
      <c r="X7" s="631"/>
      <c r="Y7" s="631"/>
      <c r="Z7" s="631"/>
      <c r="AA7" s="1985"/>
      <c r="AB7" s="1985"/>
      <c r="AC7" s="1985"/>
      <c r="AD7" s="1985"/>
      <c r="AE7" s="1998"/>
      <c r="AF7" s="1998"/>
      <c r="AG7" s="1998"/>
      <c r="AH7" s="1998"/>
      <c r="AI7" s="1998"/>
    </row>
    <row r="8" spans="1:39" ht="19.5" customHeight="1">
      <c r="A8" s="629"/>
      <c r="B8" s="501"/>
      <c r="C8" s="630"/>
      <c r="D8" s="1984"/>
      <c r="E8" s="1984"/>
      <c r="F8" s="1985"/>
      <c r="G8" s="1985"/>
      <c r="H8" s="1986"/>
      <c r="I8" s="1985"/>
      <c r="J8" s="1985"/>
      <c r="K8" s="1985"/>
      <c r="L8" s="631"/>
      <c r="M8" s="631"/>
      <c r="N8" s="631"/>
      <c r="O8" s="631"/>
      <c r="P8" s="631"/>
      <c r="Q8" s="631"/>
      <c r="R8" s="631"/>
      <c r="S8" s="631"/>
      <c r="T8" s="631"/>
      <c r="U8" s="631"/>
      <c r="V8" s="631"/>
      <c r="W8" s="631"/>
      <c r="X8" s="631"/>
      <c r="Y8" s="631"/>
      <c r="Z8" s="631"/>
      <c r="AA8" s="1985"/>
      <c r="AB8" s="1985"/>
      <c r="AC8" s="1985"/>
      <c r="AD8" s="1985"/>
      <c r="AE8" s="1998"/>
      <c r="AF8" s="1998"/>
      <c r="AG8" s="1998"/>
      <c r="AH8" s="1998"/>
      <c r="AI8" s="1998"/>
    </row>
    <row r="9" spans="1:39" ht="15.75" customHeight="1">
      <c r="A9" s="629"/>
      <c r="B9" s="635"/>
      <c r="C9" s="630"/>
      <c r="D9" s="1984"/>
      <c r="E9" s="1984"/>
      <c r="F9" s="1985"/>
      <c r="G9" s="1985"/>
      <c r="H9" s="1985"/>
      <c r="I9" s="1985"/>
      <c r="J9" s="1985"/>
      <c r="K9" s="1985"/>
      <c r="L9" s="631"/>
      <c r="M9" s="631"/>
      <c r="N9" s="631"/>
      <c r="O9" s="631"/>
      <c r="P9" s="631"/>
      <c r="Q9" s="631"/>
      <c r="R9" s="631"/>
      <c r="S9" s="631"/>
      <c r="T9" s="631"/>
      <c r="U9" s="631"/>
      <c r="V9" s="631"/>
      <c r="W9" s="631"/>
      <c r="X9" s="631"/>
      <c r="Y9" s="631"/>
      <c r="Z9" s="631"/>
      <c r="AA9" s="1985"/>
      <c r="AB9" s="1985"/>
      <c r="AC9" s="1999"/>
    </row>
    <row r="10" spans="1:39" ht="15.75" customHeight="1">
      <c r="A10" s="629"/>
      <c r="B10" s="635"/>
      <c r="C10" s="630"/>
      <c r="D10" s="1984"/>
      <c r="E10" s="1984"/>
      <c r="F10" s="1985"/>
      <c r="G10" s="1985"/>
      <c r="H10" s="1985"/>
      <c r="I10" s="1985"/>
      <c r="J10" s="1985"/>
      <c r="K10" s="1985"/>
      <c r="L10" s="631"/>
      <c r="M10" s="631"/>
      <c r="N10" s="631"/>
      <c r="O10" s="631"/>
      <c r="P10" s="631"/>
      <c r="Q10" s="631"/>
      <c r="R10" s="631"/>
      <c r="S10" s="631"/>
      <c r="T10" s="631"/>
      <c r="U10" s="631"/>
      <c r="V10" s="631"/>
      <c r="W10" s="631"/>
      <c r="X10" s="631"/>
      <c r="Y10" s="631"/>
      <c r="Z10" s="631"/>
      <c r="AA10" s="1985"/>
      <c r="AB10" s="1985"/>
      <c r="AC10" s="1999"/>
      <c r="AD10" s="3549" t="s">
        <v>1556</v>
      </c>
      <c r="AE10" s="3550"/>
      <c r="AF10" s="3550"/>
      <c r="AG10" s="3550"/>
      <c r="AH10" s="3550"/>
      <c r="AI10" s="3550"/>
      <c r="AJ10" s="3550"/>
      <c r="AK10" s="3550"/>
      <c r="AL10" s="3550"/>
    </row>
    <row r="11" spans="1:39" ht="15.75" customHeight="1">
      <c r="A11" s="629"/>
      <c r="B11" s="637"/>
      <c r="C11" s="630"/>
      <c r="D11" s="1984"/>
      <c r="E11" s="1987"/>
      <c r="F11" s="1988"/>
      <c r="G11" s="1988"/>
      <c r="H11" s="1988"/>
      <c r="I11" s="1988"/>
      <c r="J11" s="1988"/>
      <c r="K11" s="1988"/>
      <c r="L11" s="1422"/>
      <c r="M11" s="1422"/>
      <c r="N11" s="1422"/>
      <c r="O11" s="1422"/>
      <c r="P11" s="1422"/>
      <c r="Q11" s="1422"/>
      <c r="R11" s="1422"/>
      <c r="S11" s="1422"/>
      <c r="T11" s="1422"/>
      <c r="U11" s="1422"/>
      <c r="V11" s="1422"/>
      <c r="W11" s="1422"/>
      <c r="X11" s="1422"/>
      <c r="Y11" s="1422"/>
      <c r="Z11" s="1422"/>
      <c r="AA11" s="1988"/>
      <c r="AB11" s="1988"/>
      <c r="AC11" s="2000"/>
      <c r="AD11" s="2032"/>
      <c r="AE11" s="2032"/>
      <c r="AF11" s="2032"/>
      <c r="AG11" s="2032"/>
      <c r="AH11" s="2032"/>
      <c r="AI11" s="2032"/>
      <c r="AJ11" s="2032"/>
      <c r="AK11" s="1429"/>
      <c r="AL11" s="1429"/>
      <c r="AM11" s="1429"/>
    </row>
    <row r="12" spans="1:39" ht="15.75" customHeight="1">
      <c r="A12" s="638"/>
      <c r="B12" s="638"/>
      <c r="C12" s="638"/>
      <c r="D12" s="2029"/>
      <c r="E12" s="1386">
        <v>2017</v>
      </c>
      <c r="F12" s="1989"/>
      <c r="G12" s="1989"/>
      <c r="H12" s="1989"/>
      <c r="I12" s="1989"/>
      <c r="J12" s="1989"/>
      <c r="K12" s="1989"/>
      <c r="L12" s="1425"/>
      <c r="M12" s="1425"/>
      <c r="N12" s="1425"/>
      <c r="O12" s="1425"/>
      <c r="P12" s="1425"/>
      <c r="Q12" s="1425"/>
      <c r="R12" s="1425"/>
      <c r="S12" s="1425"/>
      <c r="T12" s="1425"/>
      <c r="U12" s="1425"/>
      <c r="V12" s="1425"/>
      <c r="W12" s="1395">
        <v>2018</v>
      </c>
      <c r="X12" s="1425"/>
      <c r="Y12" s="1425"/>
      <c r="Z12" s="1425"/>
      <c r="AA12" s="1989"/>
      <c r="AB12" s="1989"/>
      <c r="AC12" s="1989"/>
      <c r="AD12" s="2003"/>
      <c r="AE12" s="2003"/>
      <c r="AF12" s="2003"/>
      <c r="AG12" s="2003"/>
      <c r="AH12" s="2003"/>
      <c r="AI12" s="2003"/>
      <c r="AJ12" s="2004" t="s">
        <v>8</v>
      </c>
      <c r="AK12" s="1402"/>
      <c r="AL12" s="1397" t="s">
        <v>9</v>
      </c>
      <c r="AM12" s="1429"/>
    </row>
    <row r="13" spans="1:39" ht="15.6">
      <c r="A13" s="223"/>
      <c r="B13" s="223"/>
      <c r="C13" s="223"/>
      <c r="D13" s="305"/>
      <c r="E13" s="1427" t="s">
        <v>127</v>
      </c>
      <c r="F13" s="303"/>
      <c r="G13" s="1427" t="s">
        <v>128</v>
      </c>
      <c r="H13" s="303"/>
      <c r="I13" s="1427" t="s">
        <v>129</v>
      </c>
      <c r="J13" s="303"/>
      <c r="K13" s="1427" t="s">
        <v>130</v>
      </c>
      <c r="L13" s="221"/>
      <c r="M13" s="1378" t="s">
        <v>131</v>
      </c>
      <c r="N13" s="221"/>
      <c r="O13" s="1378" t="s">
        <v>132</v>
      </c>
      <c r="P13" s="221"/>
      <c r="Q13" s="1378" t="s">
        <v>133</v>
      </c>
      <c r="R13" s="221"/>
      <c r="S13" s="1378" t="s">
        <v>134</v>
      </c>
      <c r="T13" s="221"/>
      <c r="U13" s="1378" t="s">
        <v>135</v>
      </c>
      <c r="V13" s="221"/>
      <c r="W13" s="1378" t="s">
        <v>152</v>
      </c>
      <c r="X13" s="221"/>
      <c r="Y13" s="1378" t="s">
        <v>137</v>
      </c>
      <c r="Z13" s="221"/>
      <c r="AA13" s="1427" t="s">
        <v>138</v>
      </c>
      <c r="AB13" s="303"/>
      <c r="AC13" s="303"/>
      <c r="AD13" s="1427">
        <v>2018</v>
      </c>
      <c r="AE13" s="303" t="s">
        <v>15</v>
      </c>
      <c r="AF13" s="303"/>
      <c r="AG13" s="1427">
        <v>2017</v>
      </c>
      <c r="AH13" s="1428"/>
      <c r="AI13" s="1428"/>
      <c r="AJ13" s="2005" t="s">
        <v>12</v>
      </c>
      <c r="AK13" s="1400"/>
      <c r="AL13" s="1409" t="s">
        <v>13</v>
      </c>
      <c r="AM13" s="1429"/>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36"/>
      <c r="AD14" s="339"/>
      <c r="AE14" s="315"/>
      <c r="AF14" s="2033"/>
      <c r="AG14" s="339"/>
      <c r="AH14" s="339"/>
      <c r="AI14" s="1840"/>
      <c r="AJ14" s="2008"/>
      <c r="AK14" s="640"/>
      <c r="AL14" s="640"/>
    </row>
    <row r="15" spans="1:39" ht="15.6">
      <c r="A15" s="223"/>
      <c r="B15" s="3041" t="s">
        <v>1344</v>
      </c>
      <c r="C15" s="221"/>
      <c r="D15" s="305"/>
      <c r="E15" s="334">
        <v>-569.6</v>
      </c>
      <c r="F15" s="334"/>
      <c r="G15" s="334">
        <f>E83</f>
        <v>-545.6</v>
      </c>
      <c r="H15" s="334"/>
      <c r="I15" s="334">
        <f>G83</f>
        <v>-566.6</v>
      </c>
      <c r="J15" s="334"/>
      <c r="K15" s="334">
        <f>I83</f>
        <v>-436.5</v>
      </c>
      <c r="L15" s="292"/>
      <c r="M15" s="292">
        <f>K83</f>
        <v>-423.7</v>
      </c>
      <c r="N15" s="292"/>
      <c r="O15" s="292">
        <f>+M83</f>
        <v>-442.7</v>
      </c>
      <c r="P15" s="292"/>
      <c r="Q15" s="292">
        <f>O83</f>
        <v>-466</v>
      </c>
      <c r="R15" s="292"/>
      <c r="S15" s="292">
        <f>Q83</f>
        <v>-537.4</v>
      </c>
      <c r="T15" s="292"/>
      <c r="U15" s="292">
        <f>S83</f>
        <v>-407</v>
      </c>
      <c r="V15" s="292"/>
      <c r="W15" s="292">
        <f>U83</f>
        <v>-417.9</v>
      </c>
      <c r="X15" s="292"/>
      <c r="Y15" s="292"/>
      <c r="Z15" s="292"/>
      <c r="AA15" s="334"/>
      <c r="AB15" s="334"/>
      <c r="AC15" s="3056"/>
      <c r="AD15" s="334">
        <f>E15</f>
        <v>-569.6</v>
      </c>
      <c r="AE15" s="315"/>
      <c r="AF15" s="2033"/>
      <c r="AG15" s="334">
        <v>-559.29999999999995</v>
      </c>
      <c r="AH15" s="334"/>
      <c r="AI15" s="3055"/>
      <c r="AJ15" s="3059">
        <f>ROUND(AD15-AG15,1)</f>
        <v>-10.3</v>
      </c>
      <c r="AK15" s="1929"/>
      <c r="AL15" s="2573">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36"/>
      <c r="AD16" s="339"/>
      <c r="AE16" s="315"/>
      <c r="AF16" s="2033"/>
      <c r="AG16" s="339"/>
      <c r="AH16" s="339"/>
      <c r="AI16" s="1840"/>
      <c r="AJ16" s="2008"/>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36"/>
      <c r="AD17" s="339"/>
      <c r="AE17" s="315"/>
      <c r="AF17" s="2033"/>
      <c r="AG17" s="339"/>
      <c r="AH17" s="339"/>
      <c r="AI17" s="1840"/>
      <c r="AJ17" s="2008"/>
      <c r="AK17" s="640"/>
      <c r="AL17" s="640"/>
    </row>
    <row r="18" spans="1:38" ht="15.6">
      <c r="A18" s="223"/>
      <c r="B18" s="1669" t="s">
        <v>1128</v>
      </c>
      <c r="C18" s="223"/>
      <c r="D18" s="305"/>
      <c r="E18" s="1966"/>
      <c r="F18" s="316"/>
      <c r="G18" s="1966"/>
      <c r="H18" s="316"/>
      <c r="I18" s="1966"/>
      <c r="J18" s="316"/>
      <c r="K18" s="1966"/>
      <c r="L18" s="316"/>
      <c r="M18" s="316"/>
      <c r="N18" s="316"/>
      <c r="O18" s="1966"/>
      <c r="P18" s="316"/>
      <c r="Q18" s="1966"/>
      <c r="R18" s="316"/>
      <c r="S18" s="1966"/>
      <c r="T18" s="316"/>
      <c r="U18" s="1966"/>
      <c r="V18" s="316"/>
      <c r="W18" s="1966"/>
      <c r="X18" s="316"/>
      <c r="Y18" s="1966"/>
      <c r="Z18" s="316"/>
      <c r="AA18" s="1966"/>
      <c r="AB18" s="316"/>
      <c r="AC18" s="1220"/>
      <c r="AD18" s="1967"/>
      <c r="AE18" s="1968"/>
      <c r="AF18" s="261"/>
      <c r="AG18" s="316"/>
      <c r="AH18" s="317"/>
      <c r="AI18" s="1969"/>
      <c r="AJ18" s="317"/>
      <c r="AK18" s="1970"/>
      <c r="AL18" s="1971"/>
    </row>
    <row r="19" spans="1:38" ht="15.6">
      <c r="A19" s="223"/>
      <c r="B19" s="1669" t="s">
        <v>1237</v>
      </c>
      <c r="C19" s="223"/>
      <c r="D19" s="305"/>
      <c r="E19" s="1966"/>
      <c r="F19" s="316"/>
      <c r="G19" s="1966"/>
      <c r="H19" s="316"/>
      <c r="I19" s="1966"/>
      <c r="J19" s="316"/>
      <c r="K19" s="1966"/>
      <c r="L19" s="260"/>
      <c r="M19" s="260"/>
      <c r="N19" s="260"/>
      <c r="O19" s="513"/>
      <c r="P19" s="260"/>
      <c r="Q19" s="513"/>
      <c r="R19" s="260"/>
      <c r="S19" s="513"/>
      <c r="T19" s="260"/>
      <c r="U19" s="513"/>
      <c r="V19" s="260"/>
      <c r="W19" s="513"/>
      <c r="X19" s="260"/>
      <c r="Y19" s="513"/>
      <c r="Z19" s="260"/>
      <c r="AA19" s="1966"/>
      <c r="AB19" s="316"/>
      <c r="AC19" s="1220"/>
      <c r="AD19" s="1967"/>
      <c r="AE19" s="1972"/>
      <c r="AF19" s="261"/>
      <c r="AG19" s="316"/>
      <c r="AH19" s="317"/>
      <c r="AI19" s="1969"/>
      <c r="AJ19" s="317"/>
      <c r="AK19" s="650"/>
      <c r="AL19" s="45"/>
    </row>
    <row r="20" spans="1:38">
      <c r="A20" s="223"/>
      <c r="B20" s="1669" t="s">
        <v>1146</v>
      </c>
      <c r="C20" s="223"/>
      <c r="D20" s="305"/>
      <c r="E20" s="2817">
        <v>0</v>
      </c>
      <c r="F20" s="1672"/>
      <c r="G20" s="2817">
        <v>0</v>
      </c>
      <c r="H20" s="1672"/>
      <c r="I20" s="2817">
        <v>0</v>
      </c>
      <c r="J20" s="1672"/>
      <c r="K20" s="2817">
        <v>0</v>
      </c>
      <c r="L20" s="2800"/>
      <c r="M20" s="2817">
        <v>0</v>
      </c>
      <c r="N20" s="2800"/>
      <c r="O20" s="2800">
        <v>0</v>
      </c>
      <c r="P20" s="2800"/>
      <c r="Q20" s="1276">
        <v>0</v>
      </c>
      <c r="R20" s="2800"/>
      <c r="S20" s="1276">
        <v>0</v>
      </c>
      <c r="T20" s="1276"/>
      <c r="U20" s="1276">
        <v>0</v>
      </c>
      <c r="V20" s="2800"/>
      <c r="W20" s="1276">
        <v>0</v>
      </c>
      <c r="X20" s="2800"/>
      <c r="Y20" s="1276"/>
      <c r="Z20" s="2800"/>
      <c r="AA20" s="1276"/>
      <c r="AB20" s="1672"/>
      <c r="AC20" s="2550"/>
      <c r="AD20" s="1272">
        <f>ROUND(SUM(E20:AA20),1)</f>
        <v>0</v>
      </c>
      <c r="AE20" s="3060"/>
      <c r="AF20" s="1876"/>
      <c r="AG20" s="1672">
        <v>0</v>
      </c>
      <c r="AH20" s="1272"/>
      <c r="AI20" s="3061"/>
      <c r="AJ20" s="1272">
        <f t="shared" ref="AJ20:AJ42" si="0">ROUND(AD20-AG20,1)</f>
        <v>0</v>
      </c>
      <c r="AK20" s="1730"/>
      <c r="AL20" s="2582">
        <f>ROUND(IF(AG20=0,0,AJ20/ABS(AG20)),3)</f>
        <v>0</v>
      </c>
    </row>
    <row r="21" spans="1:38" ht="15.6">
      <c r="A21" s="223"/>
      <c r="B21" s="1669" t="s">
        <v>1238</v>
      </c>
      <c r="C21" s="223"/>
      <c r="D21" s="305"/>
      <c r="E21" s="1966"/>
      <c r="F21" s="316"/>
      <c r="G21" s="1966"/>
      <c r="H21" s="316"/>
      <c r="I21" s="1966"/>
      <c r="J21" s="316"/>
      <c r="K21" s="1966"/>
      <c r="L21" s="260"/>
      <c r="M21" s="1966"/>
      <c r="N21" s="260"/>
      <c r="O21" s="513"/>
      <c r="P21" s="260"/>
      <c r="Q21" s="513"/>
      <c r="R21" s="260"/>
      <c r="S21" s="513"/>
      <c r="T21" s="260"/>
      <c r="U21" s="513"/>
      <c r="V21" s="260"/>
      <c r="W21" s="513"/>
      <c r="X21" s="260"/>
      <c r="Y21" s="513"/>
      <c r="Z21" s="260"/>
      <c r="AA21" s="513"/>
      <c r="AB21" s="316"/>
      <c r="AC21" s="1220"/>
      <c r="AD21" s="1967"/>
      <c r="AE21" s="1972"/>
      <c r="AF21" s="261"/>
      <c r="AG21" s="316"/>
      <c r="AH21" s="317"/>
      <c r="AI21" s="1969"/>
      <c r="AJ21" s="1272" t="s">
        <v>15</v>
      </c>
      <c r="AK21" s="650"/>
      <c r="AL21" s="1700" t="s">
        <v>15</v>
      </c>
    </row>
    <row r="22" spans="1:38" ht="15.6">
      <c r="A22" s="223"/>
      <c r="B22" s="1669" t="s">
        <v>1147</v>
      </c>
      <c r="C22" s="223"/>
      <c r="D22" s="305"/>
      <c r="E22" s="1966">
        <v>0</v>
      </c>
      <c r="F22" s="316"/>
      <c r="G22" s="1966">
        <v>0</v>
      </c>
      <c r="H22" s="316"/>
      <c r="I22" s="1966">
        <v>0</v>
      </c>
      <c r="J22" s="316"/>
      <c r="K22" s="1966">
        <v>0</v>
      </c>
      <c r="L22" s="260"/>
      <c r="M22" s="1966">
        <v>0</v>
      </c>
      <c r="N22" s="260"/>
      <c r="O22" s="1966">
        <v>0</v>
      </c>
      <c r="P22" s="260"/>
      <c r="Q22" s="513">
        <v>0</v>
      </c>
      <c r="R22" s="260"/>
      <c r="S22" s="513">
        <v>0</v>
      </c>
      <c r="T22" s="260"/>
      <c r="U22" s="513">
        <v>0</v>
      </c>
      <c r="V22" s="260"/>
      <c r="W22" s="513">
        <v>0</v>
      </c>
      <c r="X22" s="260"/>
      <c r="Y22" s="513"/>
      <c r="Z22" s="260"/>
      <c r="AA22" s="513"/>
      <c r="AB22" s="316"/>
      <c r="AC22" s="1220"/>
      <c r="AD22" s="317">
        <f>ROUND(SUM(E22:AA22),1)</f>
        <v>0</v>
      </c>
      <c r="AE22" s="1972"/>
      <c r="AF22" s="261"/>
      <c r="AG22" s="316">
        <v>0</v>
      </c>
      <c r="AH22" s="317"/>
      <c r="AI22" s="1969"/>
      <c r="AJ22" s="317">
        <f t="shared" si="0"/>
        <v>0</v>
      </c>
      <c r="AK22" s="650"/>
      <c r="AL22" s="45">
        <f>ROUND(IF(AG22=0,0,AJ22/ABS(AG22)),3)</f>
        <v>0</v>
      </c>
    </row>
    <row r="23" spans="1:38" ht="15.6">
      <c r="A23" s="223"/>
      <c r="B23" s="1669" t="s">
        <v>1242</v>
      </c>
      <c r="C23" s="223"/>
      <c r="D23" s="305"/>
      <c r="E23" s="1966"/>
      <c r="F23" s="316"/>
      <c r="G23" s="1966"/>
      <c r="H23" s="316"/>
      <c r="I23" s="1966"/>
      <c r="J23" s="316"/>
      <c r="K23" s="1966"/>
      <c r="L23" s="260"/>
      <c r="M23" s="1966"/>
      <c r="N23" s="260"/>
      <c r="O23" s="1966"/>
      <c r="P23" s="260"/>
      <c r="Q23" s="513"/>
      <c r="R23" s="260"/>
      <c r="S23" s="513"/>
      <c r="T23" s="260"/>
      <c r="U23" s="513"/>
      <c r="V23" s="260"/>
      <c r="W23" s="513"/>
      <c r="X23" s="260"/>
      <c r="Y23" s="513"/>
      <c r="Z23" s="260"/>
      <c r="AA23" s="513"/>
      <c r="AB23" s="316"/>
      <c r="AC23" s="1220"/>
      <c r="AD23" s="317"/>
      <c r="AE23" s="1972"/>
      <c r="AF23" s="261"/>
      <c r="AG23" s="316"/>
      <c r="AH23" s="317"/>
      <c r="AI23" s="1969"/>
      <c r="AJ23" s="1272" t="s">
        <v>15</v>
      </c>
      <c r="AK23" s="650"/>
      <c r="AL23" s="1700" t="s">
        <v>15</v>
      </c>
    </row>
    <row r="24" spans="1:38" ht="15.6">
      <c r="A24" s="223"/>
      <c r="B24" s="1669" t="s">
        <v>1151</v>
      </c>
      <c r="C24" s="223"/>
      <c r="D24" s="305"/>
      <c r="E24" s="1966">
        <v>0</v>
      </c>
      <c r="F24" s="316"/>
      <c r="G24" s="1966">
        <v>0</v>
      </c>
      <c r="H24" s="316"/>
      <c r="I24" s="1966">
        <v>0</v>
      </c>
      <c r="J24" s="316"/>
      <c r="K24" s="1966">
        <v>0</v>
      </c>
      <c r="L24" s="260"/>
      <c r="M24" s="1966">
        <v>0</v>
      </c>
      <c r="N24" s="260"/>
      <c r="O24" s="1966">
        <v>0</v>
      </c>
      <c r="P24" s="260"/>
      <c r="Q24" s="513">
        <v>0</v>
      </c>
      <c r="R24" s="260"/>
      <c r="S24" s="513">
        <v>0</v>
      </c>
      <c r="T24" s="260"/>
      <c r="U24" s="513">
        <v>0</v>
      </c>
      <c r="V24" s="260"/>
      <c r="W24" s="513">
        <v>0</v>
      </c>
      <c r="X24" s="260"/>
      <c r="Y24" s="513"/>
      <c r="Z24" s="260"/>
      <c r="AA24" s="513"/>
      <c r="AB24" s="316"/>
      <c r="AC24" s="1220"/>
      <c r="AD24" s="317">
        <f t="shared" ref="AD24:AD29" si="1">ROUND(SUM(E24:AA24),1)</f>
        <v>0</v>
      </c>
      <c r="AE24" s="1972"/>
      <c r="AF24" s="261"/>
      <c r="AG24" s="316">
        <v>0</v>
      </c>
      <c r="AH24" s="317"/>
      <c r="AI24" s="1969"/>
      <c r="AJ24" s="317">
        <f t="shared" si="0"/>
        <v>0</v>
      </c>
      <c r="AK24" s="650"/>
      <c r="AL24" s="45">
        <f t="shared" ref="AL24:AL29" si="2">ROUND(IF(AG24=0,0,AJ24/ABS(AG24)),3)</f>
        <v>0</v>
      </c>
    </row>
    <row r="25" spans="1:38" ht="15.6">
      <c r="A25" s="223"/>
      <c r="B25" s="1669" t="s">
        <v>1310</v>
      </c>
      <c r="C25" s="223"/>
      <c r="D25" s="305"/>
      <c r="E25" s="1966">
        <v>0</v>
      </c>
      <c r="F25" s="316"/>
      <c r="G25" s="1966">
        <v>0</v>
      </c>
      <c r="H25" s="316"/>
      <c r="I25" s="1966">
        <v>0</v>
      </c>
      <c r="J25" s="316"/>
      <c r="K25" s="1966">
        <v>0</v>
      </c>
      <c r="L25" s="260"/>
      <c r="M25" s="1966">
        <v>0</v>
      </c>
      <c r="N25" s="260"/>
      <c r="O25" s="1966">
        <v>0</v>
      </c>
      <c r="P25" s="260"/>
      <c r="Q25" s="513">
        <v>0</v>
      </c>
      <c r="R25" s="260"/>
      <c r="S25" s="513">
        <v>0</v>
      </c>
      <c r="T25" s="260"/>
      <c r="U25" s="513">
        <v>0</v>
      </c>
      <c r="V25" s="260"/>
      <c r="W25" s="513">
        <v>0</v>
      </c>
      <c r="X25" s="260"/>
      <c r="Y25" s="513"/>
      <c r="Z25" s="260"/>
      <c r="AA25" s="513"/>
      <c r="AB25" s="316"/>
      <c r="AC25" s="1220"/>
      <c r="AD25" s="317">
        <f t="shared" si="1"/>
        <v>0</v>
      </c>
      <c r="AE25" s="2638"/>
      <c r="AF25" s="261"/>
      <c r="AG25" s="316">
        <v>0</v>
      </c>
      <c r="AH25" s="317"/>
      <c r="AI25" s="1969"/>
      <c r="AJ25" s="317">
        <f>ROUND(AD25-AG25,1)</f>
        <v>0</v>
      </c>
      <c r="AK25" s="650"/>
      <c r="AL25" s="45">
        <f t="shared" si="2"/>
        <v>0</v>
      </c>
    </row>
    <row r="26" spans="1:38" ht="15.6">
      <c r="A26" s="223"/>
      <c r="B26" s="1669" t="s">
        <v>1154</v>
      </c>
      <c r="C26" s="223"/>
      <c r="D26" s="305"/>
      <c r="E26" s="1966">
        <v>0</v>
      </c>
      <c r="F26" s="316"/>
      <c r="G26" s="1966">
        <v>0</v>
      </c>
      <c r="H26" s="316"/>
      <c r="I26" s="1966">
        <v>0</v>
      </c>
      <c r="J26" s="316"/>
      <c r="K26" s="1966">
        <v>0</v>
      </c>
      <c r="L26" s="260"/>
      <c r="M26" s="1966">
        <v>0</v>
      </c>
      <c r="N26" s="260"/>
      <c r="O26" s="1966">
        <v>0</v>
      </c>
      <c r="P26" s="260"/>
      <c r="Q26" s="513">
        <v>0</v>
      </c>
      <c r="R26" s="260"/>
      <c r="S26" s="513">
        <v>0</v>
      </c>
      <c r="T26" s="260"/>
      <c r="U26" s="513">
        <v>0</v>
      </c>
      <c r="V26" s="260"/>
      <c r="W26" s="513">
        <v>0</v>
      </c>
      <c r="X26" s="260"/>
      <c r="Y26" s="513"/>
      <c r="Z26" s="260"/>
      <c r="AA26" s="513"/>
      <c r="AB26" s="316"/>
      <c r="AC26" s="1220"/>
      <c r="AD26" s="317">
        <f t="shared" si="1"/>
        <v>0</v>
      </c>
      <c r="AE26" s="1972"/>
      <c r="AF26" s="261"/>
      <c r="AG26" s="316">
        <v>0</v>
      </c>
      <c r="AH26" s="317"/>
      <c r="AI26" s="1969"/>
      <c r="AJ26" s="317">
        <f t="shared" si="0"/>
        <v>0</v>
      </c>
      <c r="AK26" s="650"/>
      <c r="AL26" s="45">
        <f t="shared" si="2"/>
        <v>0</v>
      </c>
    </row>
    <row r="27" spans="1:38" ht="15.6">
      <c r="A27" s="223"/>
      <c r="B27" s="1669" t="s">
        <v>1155</v>
      </c>
      <c r="C27" s="223"/>
      <c r="D27" s="305"/>
      <c r="E27" s="1966">
        <v>0</v>
      </c>
      <c r="F27" s="316"/>
      <c r="G27" s="1966">
        <v>0</v>
      </c>
      <c r="H27" s="316"/>
      <c r="I27" s="1966">
        <v>0</v>
      </c>
      <c r="J27" s="316"/>
      <c r="K27" s="1966">
        <v>0</v>
      </c>
      <c r="L27" s="260"/>
      <c r="M27" s="1966">
        <v>0</v>
      </c>
      <c r="N27" s="260"/>
      <c r="O27" s="1966">
        <v>0</v>
      </c>
      <c r="P27" s="260"/>
      <c r="Q27" s="513">
        <v>0</v>
      </c>
      <c r="R27" s="260"/>
      <c r="S27" s="513">
        <v>0</v>
      </c>
      <c r="T27" s="260"/>
      <c r="U27" s="513">
        <v>0</v>
      </c>
      <c r="V27" s="260"/>
      <c r="W27" s="513">
        <v>0</v>
      </c>
      <c r="X27" s="260"/>
      <c r="Y27" s="513"/>
      <c r="Z27" s="260"/>
      <c r="AA27" s="513"/>
      <c r="AB27" s="316"/>
      <c r="AC27" s="1220"/>
      <c r="AD27" s="317">
        <f t="shared" si="1"/>
        <v>0</v>
      </c>
      <c r="AE27" s="1972"/>
      <c r="AF27" s="261"/>
      <c r="AG27" s="316">
        <v>0</v>
      </c>
      <c r="AH27" s="317"/>
      <c r="AI27" s="1969"/>
      <c r="AJ27" s="317">
        <f t="shared" si="0"/>
        <v>0</v>
      </c>
      <c r="AK27" s="650"/>
      <c r="AL27" s="45">
        <f t="shared" si="2"/>
        <v>0</v>
      </c>
    </row>
    <row r="28" spans="1:38" ht="15.6">
      <c r="A28" s="223"/>
      <c r="B28" s="1669" t="s">
        <v>1129</v>
      </c>
      <c r="C28" s="223"/>
      <c r="D28" s="305"/>
      <c r="E28" s="1966">
        <v>0</v>
      </c>
      <c r="F28" s="316"/>
      <c r="G28" s="1966">
        <v>0</v>
      </c>
      <c r="H28" s="316"/>
      <c r="I28" s="1966">
        <v>0</v>
      </c>
      <c r="J28" s="316"/>
      <c r="K28" s="1966">
        <v>0</v>
      </c>
      <c r="L28" s="260"/>
      <c r="M28" s="1966">
        <v>0</v>
      </c>
      <c r="N28" s="260"/>
      <c r="O28" s="1966">
        <v>0</v>
      </c>
      <c r="P28" s="260"/>
      <c r="Q28" s="513">
        <v>0</v>
      </c>
      <c r="R28" s="260"/>
      <c r="S28" s="513">
        <v>0</v>
      </c>
      <c r="T28" s="260"/>
      <c r="U28" s="513">
        <v>0</v>
      </c>
      <c r="V28" s="260"/>
      <c r="W28" s="513">
        <v>0</v>
      </c>
      <c r="X28" s="260"/>
      <c r="Y28" s="513"/>
      <c r="Z28" s="260"/>
      <c r="AA28" s="513"/>
      <c r="AB28" s="316"/>
      <c r="AC28" s="1220"/>
      <c r="AD28" s="317">
        <f t="shared" si="1"/>
        <v>0</v>
      </c>
      <c r="AE28" s="1972"/>
      <c r="AF28" s="261"/>
      <c r="AG28" s="316">
        <v>0</v>
      </c>
      <c r="AH28" s="317"/>
      <c r="AI28" s="1969"/>
      <c r="AJ28" s="317">
        <f t="shared" si="0"/>
        <v>0</v>
      </c>
      <c r="AK28" s="650"/>
      <c r="AL28" s="2568">
        <f>ROUND(IF(AG28=0,0,AJ28/ABS(AG28)),3)</f>
        <v>0</v>
      </c>
    </row>
    <row r="29" spans="1:38" ht="15.6">
      <c r="A29" s="223"/>
      <c r="B29" s="1669" t="s">
        <v>1130</v>
      </c>
      <c r="C29" s="223"/>
      <c r="D29" s="305"/>
      <c r="E29" s="1966">
        <v>0</v>
      </c>
      <c r="F29" s="316"/>
      <c r="G29" s="1966">
        <v>0</v>
      </c>
      <c r="H29" s="316"/>
      <c r="I29" s="1966">
        <v>0</v>
      </c>
      <c r="J29" s="316"/>
      <c r="K29" s="1966">
        <v>0</v>
      </c>
      <c r="L29" s="260"/>
      <c r="M29" s="1966">
        <v>0</v>
      </c>
      <c r="N29" s="260"/>
      <c r="O29" s="1966">
        <v>0</v>
      </c>
      <c r="P29" s="260"/>
      <c r="Q29" s="513">
        <v>0</v>
      </c>
      <c r="R29" s="260"/>
      <c r="S29" s="513">
        <v>0</v>
      </c>
      <c r="T29" s="260"/>
      <c r="U29" s="513">
        <v>0</v>
      </c>
      <c r="V29" s="260"/>
      <c r="W29" s="513">
        <v>0</v>
      </c>
      <c r="X29" s="260"/>
      <c r="Y29" s="513"/>
      <c r="Z29" s="260"/>
      <c r="AA29" s="513"/>
      <c r="AB29" s="316"/>
      <c r="AC29" s="1220"/>
      <c r="AD29" s="317">
        <f t="shared" si="1"/>
        <v>0</v>
      </c>
      <c r="AE29" s="1972"/>
      <c r="AF29" s="261"/>
      <c r="AG29" s="316">
        <v>0</v>
      </c>
      <c r="AH29" s="317"/>
      <c r="AI29" s="1969"/>
      <c r="AJ29" s="317">
        <f t="shared" si="0"/>
        <v>0</v>
      </c>
      <c r="AK29" s="650"/>
      <c r="AL29" s="45">
        <f t="shared" si="2"/>
        <v>0</v>
      </c>
    </row>
    <row r="30" spans="1:38" ht="15.6">
      <c r="A30" s="223"/>
      <c r="B30" s="1669" t="s">
        <v>1240</v>
      </c>
      <c r="C30" s="223"/>
      <c r="D30" s="305"/>
      <c r="E30" s="1966"/>
      <c r="F30" s="316"/>
      <c r="G30" s="1966"/>
      <c r="H30" s="316"/>
      <c r="I30" s="1966"/>
      <c r="J30" s="316"/>
      <c r="K30" s="1966"/>
      <c r="L30" s="260"/>
      <c r="M30" s="1966"/>
      <c r="N30" s="260"/>
      <c r="O30" s="1966"/>
      <c r="P30" s="260"/>
      <c r="Q30" s="513"/>
      <c r="R30" s="260"/>
      <c r="S30" s="513"/>
      <c r="T30" s="260"/>
      <c r="U30" s="513"/>
      <c r="V30" s="260"/>
      <c r="W30" s="513"/>
      <c r="X30" s="260"/>
      <c r="Y30" s="513"/>
      <c r="Z30" s="260"/>
      <c r="AA30" s="513"/>
      <c r="AB30" s="316"/>
      <c r="AC30" s="1220"/>
      <c r="AD30" s="317"/>
      <c r="AE30" s="1972"/>
      <c r="AF30" s="261"/>
      <c r="AG30" s="316"/>
      <c r="AH30" s="317"/>
      <c r="AI30" s="1969"/>
      <c r="AJ30" s="1272" t="s">
        <v>15</v>
      </c>
      <c r="AK30" s="650"/>
      <c r="AL30" s="1700" t="s">
        <v>15</v>
      </c>
    </row>
    <row r="31" spans="1:38" ht="15.6">
      <c r="A31" s="223"/>
      <c r="B31" s="1669" t="s">
        <v>1159</v>
      </c>
      <c r="C31" s="223"/>
      <c r="D31" s="305"/>
      <c r="E31" s="1966">
        <v>0</v>
      </c>
      <c r="F31" s="316"/>
      <c r="G31" s="1966">
        <v>0</v>
      </c>
      <c r="H31" s="316"/>
      <c r="I31" s="1966">
        <v>0</v>
      </c>
      <c r="J31" s="316"/>
      <c r="K31" s="1966">
        <v>0</v>
      </c>
      <c r="L31" s="260"/>
      <c r="M31" s="1966">
        <v>0</v>
      </c>
      <c r="N31" s="260"/>
      <c r="O31" s="1966">
        <v>0</v>
      </c>
      <c r="P31" s="260"/>
      <c r="Q31" s="513">
        <v>0</v>
      </c>
      <c r="R31" s="260"/>
      <c r="S31" s="513">
        <v>0</v>
      </c>
      <c r="T31" s="260"/>
      <c r="U31" s="513">
        <v>0</v>
      </c>
      <c r="V31" s="260"/>
      <c r="W31" s="513">
        <v>0</v>
      </c>
      <c r="X31" s="260"/>
      <c r="Y31" s="513"/>
      <c r="Z31" s="260"/>
      <c r="AA31" s="513"/>
      <c r="AB31" s="316"/>
      <c r="AC31" s="1220"/>
      <c r="AD31" s="317">
        <f>ROUND(SUM(E31:AA31),1)</f>
        <v>0</v>
      </c>
      <c r="AE31" s="1972"/>
      <c r="AF31" s="261"/>
      <c r="AG31" s="316">
        <v>0</v>
      </c>
      <c r="AH31" s="317"/>
      <c r="AI31" s="1969"/>
      <c r="AJ31" s="317">
        <f t="shared" si="0"/>
        <v>0</v>
      </c>
      <c r="AK31" s="650"/>
      <c r="AL31" s="45">
        <f>ROUND(IF(AG31=0,0,AJ31/ABS(AG31)),3)</f>
        <v>0</v>
      </c>
    </row>
    <row r="32" spans="1:38" ht="15.6">
      <c r="A32" s="223"/>
      <c r="B32" s="1669" t="s">
        <v>1161</v>
      </c>
      <c r="C32" s="223"/>
      <c r="D32" s="305"/>
      <c r="E32" s="1966">
        <v>0</v>
      </c>
      <c r="F32" s="1966">
        <v>0</v>
      </c>
      <c r="G32" s="1966">
        <v>0</v>
      </c>
      <c r="H32" s="1966"/>
      <c r="I32" s="1966">
        <v>0</v>
      </c>
      <c r="J32" s="1966"/>
      <c r="K32" s="1966">
        <v>0</v>
      </c>
      <c r="L32" s="1966"/>
      <c r="M32" s="1966">
        <v>0</v>
      </c>
      <c r="N32" s="1966"/>
      <c r="O32" s="1966">
        <v>0</v>
      </c>
      <c r="P32" s="1966"/>
      <c r="Q32" s="1966">
        <v>0</v>
      </c>
      <c r="R32" s="1966"/>
      <c r="S32" s="1966">
        <v>0</v>
      </c>
      <c r="T32" s="260"/>
      <c r="U32" s="1966">
        <v>0</v>
      </c>
      <c r="V32" s="260"/>
      <c r="W32" s="1966">
        <v>0</v>
      </c>
      <c r="X32" s="260"/>
      <c r="Y32" s="1966"/>
      <c r="Z32" s="260"/>
      <c r="AA32" s="1966"/>
      <c r="AB32" s="316"/>
      <c r="AC32" s="1220"/>
      <c r="AD32" s="317">
        <f>ROUND(SUM(E32:AA32),1)</f>
        <v>0</v>
      </c>
      <c r="AE32" s="2638"/>
      <c r="AF32" s="261"/>
      <c r="AG32" s="316">
        <v>0</v>
      </c>
      <c r="AH32" s="317"/>
      <c r="AI32" s="1969"/>
      <c r="AJ32" s="317">
        <f t="shared" si="0"/>
        <v>0</v>
      </c>
      <c r="AK32" s="650"/>
      <c r="AL32" s="45">
        <f>ROUND(IF(AG32=0,0,AJ32/ABS(AG32)),3)</f>
        <v>0</v>
      </c>
    </row>
    <row r="33" spans="1:39" ht="15.6">
      <c r="A33" s="223"/>
      <c r="B33" s="1669" t="s">
        <v>1162</v>
      </c>
      <c r="C33" s="223"/>
      <c r="D33" s="305"/>
      <c r="E33" s="1966">
        <v>0</v>
      </c>
      <c r="F33" s="316"/>
      <c r="G33" s="1966">
        <v>0</v>
      </c>
      <c r="H33" s="316"/>
      <c r="I33" s="1966">
        <v>0</v>
      </c>
      <c r="J33" s="316"/>
      <c r="K33" s="1966">
        <v>0</v>
      </c>
      <c r="L33" s="260"/>
      <c r="M33" s="1966">
        <v>0</v>
      </c>
      <c r="N33" s="260"/>
      <c r="O33" s="1966">
        <v>0</v>
      </c>
      <c r="P33" s="260"/>
      <c r="Q33" s="513">
        <v>0</v>
      </c>
      <c r="R33" s="260"/>
      <c r="S33" s="513">
        <v>0</v>
      </c>
      <c r="T33" s="260"/>
      <c r="U33" s="513">
        <v>0</v>
      </c>
      <c r="V33" s="260"/>
      <c r="W33" s="513">
        <v>0</v>
      </c>
      <c r="X33" s="260"/>
      <c r="Y33" s="513"/>
      <c r="Z33" s="260"/>
      <c r="AA33" s="513"/>
      <c r="AB33" s="316"/>
      <c r="AC33" s="1220"/>
      <c r="AD33" s="317">
        <f>ROUND(SUM(E33:AA33),1)</f>
        <v>0</v>
      </c>
      <c r="AE33" s="1972"/>
      <c r="AF33" s="261"/>
      <c r="AG33" s="316">
        <v>0</v>
      </c>
      <c r="AH33" s="317"/>
      <c r="AI33" s="1969"/>
      <c r="AJ33" s="317">
        <f t="shared" si="0"/>
        <v>0</v>
      </c>
      <c r="AK33" s="650"/>
      <c r="AL33" s="45">
        <f>ROUND(IF(AG33=0,0,AJ33/ABS(AG33)),3)</f>
        <v>0</v>
      </c>
    </row>
    <row r="34" spans="1:39" ht="15.6">
      <c r="A34" s="223"/>
      <c r="B34" s="1669" t="s">
        <v>1141</v>
      </c>
      <c r="C34" s="223"/>
      <c r="D34" s="305"/>
      <c r="E34" s="1966">
        <v>0</v>
      </c>
      <c r="F34" s="316"/>
      <c r="G34" s="1966">
        <v>0</v>
      </c>
      <c r="H34" s="316"/>
      <c r="I34" s="1966">
        <v>0</v>
      </c>
      <c r="J34" s="316"/>
      <c r="K34" s="1966">
        <v>0</v>
      </c>
      <c r="L34" s="260"/>
      <c r="M34" s="1966">
        <v>0</v>
      </c>
      <c r="N34" s="260"/>
      <c r="O34" s="1966">
        <v>0</v>
      </c>
      <c r="P34" s="260"/>
      <c r="Q34" s="513">
        <v>0</v>
      </c>
      <c r="R34" s="260"/>
      <c r="S34" s="513">
        <v>0</v>
      </c>
      <c r="T34" s="260"/>
      <c r="U34" s="513">
        <v>0</v>
      </c>
      <c r="V34" s="260"/>
      <c r="W34" s="513">
        <v>0</v>
      </c>
      <c r="X34" s="260"/>
      <c r="Y34" s="513"/>
      <c r="Z34" s="260"/>
      <c r="AA34" s="513"/>
      <c r="AB34" s="316"/>
      <c r="AC34" s="1220"/>
      <c r="AD34" s="317">
        <f>ROUND(SUM(E34:AA34),1)</f>
        <v>0</v>
      </c>
      <c r="AE34" s="1972"/>
      <c r="AF34" s="261"/>
      <c r="AG34" s="316">
        <v>0</v>
      </c>
      <c r="AH34" s="317"/>
      <c r="AI34" s="1969"/>
      <c r="AJ34" s="317">
        <f t="shared" si="0"/>
        <v>0</v>
      </c>
      <c r="AK34" s="650"/>
      <c r="AL34" s="45">
        <f>ROUND(IF(AG34=0,0,AJ34/ABS(AG34)),3)</f>
        <v>0</v>
      </c>
    </row>
    <row r="35" spans="1:39" ht="15.6">
      <c r="A35" s="223"/>
      <c r="B35" s="1669" t="s">
        <v>1142</v>
      </c>
      <c r="C35" s="223"/>
      <c r="D35" s="305"/>
      <c r="E35" s="1966">
        <v>0</v>
      </c>
      <c r="F35" s="316"/>
      <c r="G35" s="1966">
        <v>0.1</v>
      </c>
      <c r="H35" s="316"/>
      <c r="I35" s="1966">
        <v>0.1</v>
      </c>
      <c r="J35" s="316"/>
      <c r="K35" s="1966">
        <v>0</v>
      </c>
      <c r="L35" s="260"/>
      <c r="M35" s="1966">
        <v>0.1</v>
      </c>
      <c r="N35" s="260"/>
      <c r="O35" s="513">
        <v>0.1</v>
      </c>
      <c r="P35" s="260"/>
      <c r="Q35" s="513">
        <v>0</v>
      </c>
      <c r="R35" s="260"/>
      <c r="S35" s="513">
        <v>0</v>
      </c>
      <c r="T35" s="260"/>
      <c r="U35" s="513">
        <v>0.1</v>
      </c>
      <c r="V35" s="260"/>
      <c r="W35" s="513">
        <v>0.1</v>
      </c>
      <c r="X35" s="260"/>
      <c r="Y35" s="513"/>
      <c r="Z35" s="260"/>
      <c r="AA35" s="1966"/>
      <c r="AB35" s="316"/>
      <c r="AC35" s="1220"/>
      <c r="AD35" s="317">
        <f>ROUND(SUM(E35:AA35),1)</f>
        <v>0.6</v>
      </c>
      <c r="AE35" s="1972"/>
      <c r="AF35" s="261"/>
      <c r="AG35" s="316">
        <v>0.4</v>
      </c>
      <c r="AH35" s="317"/>
      <c r="AI35" s="1969"/>
      <c r="AJ35" s="317">
        <f>ROUND(AD35-AG35,1)</f>
        <v>0.2</v>
      </c>
      <c r="AK35" s="650"/>
      <c r="AL35" s="45">
        <f>ROUND(IF(AG35=0,0,AJ35/ABS(AG35)),3)</f>
        <v>0.5</v>
      </c>
    </row>
    <row r="36" spans="1:39" ht="15.6">
      <c r="A36" s="223"/>
      <c r="B36" s="1669" t="s">
        <v>1241</v>
      </c>
      <c r="C36" s="223"/>
      <c r="D36" s="305"/>
      <c r="E36" s="1966"/>
      <c r="F36" s="316"/>
      <c r="G36" s="1966"/>
      <c r="H36" s="316"/>
      <c r="I36" s="1966"/>
      <c r="J36" s="316"/>
      <c r="K36" s="1966"/>
      <c r="L36" s="260"/>
      <c r="M36" s="1966"/>
      <c r="N36" s="260"/>
      <c r="O36" s="513"/>
      <c r="P36" s="260"/>
      <c r="Q36" s="513"/>
      <c r="R36" s="260"/>
      <c r="S36" s="513"/>
      <c r="T36" s="260"/>
      <c r="U36" s="513"/>
      <c r="V36" s="260"/>
      <c r="W36" s="513"/>
      <c r="X36" s="260"/>
      <c r="Y36" s="513"/>
      <c r="Z36" s="260"/>
      <c r="AA36" s="1966"/>
      <c r="AB36" s="316"/>
      <c r="AC36" s="1220"/>
      <c r="AD36" s="1272" t="s">
        <v>15</v>
      </c>
      <c r="AE36" s="1972"/>
      <c r="AF36" s="261"/>
      <c r="AG36" s="316"/>
      <c r="AH36" s="317"/>
      <c r="AI36" s="1969"/>
      <c r="AJ36" s="1272" t="s">
        <v>15</v>
      </c>
      <c r="AK36" s="650"/>
      <c r="AL36" s="1700" t="s">
        <v>15</v>
      </c>
    </row>
    <row r="37" spans="1:39" ht="15.6">
      <c r="A37" s="223"/>
      <c r="B37" s="1669" t="s">
        <v>1163</v>
      </c>
      <c r="C37" s="223"/>
      <c r="D37" s="305"/>
      <c r="E37" s="1966">
        <v>0</v>
      </c>
      <c r="F37" s="316"/>
      <c r="G37" s="1966">
        <v>0</v>
      </c>
      <c r="H37" s="316"/>
      <c r="I37" s="1966">
        <v>0</v>
      </c>
      <c r="J37" s="316"/>
      <c r="K37" s="1966">
        <v>0</v>
      </c>
      <c r="L37" s="260"/>
      <c r="M37" s="1966">
        <v>0</v>
      </c>
      <c r="N37" s="260"/>
      <c r="O37" s="513">
        <v>0</v>
      </c>
      <c r="P37" s="260"/>
      <c r="Q37" s="513">
        <v>0</v>
      </c>
      <c r="R37" s="260"/>
      <c r="S37" s="513">
        <v>0</v>
      </c>
      <c r="T37" s="260"/>
      <c r="U37" s="513">
        <v>0</v>
      </c>
      <c r="V37" s="260"/>
      <c r="W37" s="513">
        <v>0</v>
      </c>
      <c r="X37" s="260"/>
      <c r="Y37" s="513"/>
      <c r="Z37" s="260"/>
      <c r="AA37" s="513"/>
      <c r="AB37" s="316"/>
      <c r="AC37" s="1220"/>
      <c r="AD37" s="317">
        <f t="shared" ref="AD37:AD41" si="3">ROUND(SUM(E37:AA37),1)</f>
        <v>0</v>
      </c>
      <c r="AE37" s="1972"/>
      <c r="AF37" s="261"/>
      <c r="AG37" s="316">
        <v>0</v>
      </c>
      <c r="AH37" s="317"/>
      <c r="AI37" s="1969"/>
      <c r="AJ37" s="317">
        <f t="shared" si="0"/>
        <v>0</v>
      </c>
      <c r="AK37" s="650"/>
      <c r="AL37" s="45">
        <f>ROUND(IF(AG37=0,0,AJ37/ABS(AG37)),3)</f>
        <v>0</v>
      </c>
    </row>
    <row r="38" spans="1:39" ht="15.6">
      <c r="A38" s="223"/>
      <c r="B38" s="1669" t="s">
        <v>1165</v>
      </c>
      <c r="C38" s="223"/>
      <c r="D38" s="305"/>
      <c r="E38" s="1966">
        <v>0</v>
      </c>
      <c r="F38" s="316"/>
      <c r="G38" s="1966">
        <v>0</v>
      </c>
      <c r="H38" s="316"/>
      <c r="I38" s="1966">
        <v>0</v>
      </c>
      <c r="J38" s="316"/>
      <c r="K38" s="1966">
        <v>0</v>
      </c>
      <c r="L38" s="260"/>
      <c r="M38" s="1966">
        <v>0</v>
      </c>
      <c r="N38" s="260"/>
      <c r="O38" s="513">
        <v>0</v>
      </c>
      <c r="P38" s="260"/>
      <c r="Q38" s="513">
        <v>0</v>
      </c>
      <c r="R38" s="260"/>
      <c r="S38" s="513">
        <v>0</v>
      </c>
      <c r="T38" s="260"/>
      <c r="U38" s="513">
        <v>0</v>
      </c>
      <c r="V38" s="260"/>
      <c r="W38" s="513">
        <v>0</v>
      </c>
      <c r="X38" s="260"/>
      <c r="Y38" s="513"/>
      <c r="Z38" s="260"/>
      <c r="AA38" s="513"/>
      <c r="AB38" s="316"/>
      <c r="AC38" s="1220"/>
      <c r="AD38" s="317">
        <f t="shared" si="3"/>
        <v>0</v>
      </c>
      <c r="AE38" s="1972"/>
      <c r="AF38" s="261"/>
      <c r="AG38" s="316">
        <v>0</v>
      </c>
      <c r="AH38" s="317"/>
      <c r="AI38" s="1969"/>
      <c r="AJ38" s="317">
        <f t="shared" si="0"/>
        <v>0</v>
      </c>
      <c r="AK38" s="650"/>
      <c r="AL38" s="45">
        <f>ROUND(IF(AG38=0,0,AJ38/ABS(AG38)),3)</f>
        <v>0</v>
      </c>
    </row>
    <row r="39" spans="1:39" ht="15.6">
      <c r="A39" s="223"/>
      <c r="B39" s="1669" t="s">
        <v>1166</v>
      </c>
      <c r="C39" s="223"/>
      <c r="D39" s="305"/>
      <c r="E39" s="1966">
        <v>0</v>
      </c>
      <c r="F39" s="316"/>
      <c r="G39" s="1966">
        <v>0</v>
      </c>
      <c r="H39" s="316"/>
      <c r="I39" s="1966">
        <v>0</v>
      </c>
      <c r="J39" s="316"/>
      <c r="K39" s="1966">
        <v>0</v>
      </c>
      <c r="L39" s="260"/>
      <c r="M39" s="1966">
        <v>0</v>
      </c>
      <c r="N39" s="260"/>
      <c r="O39" s="513">
        <v>0</v>
      </c>
      <c r="P39" s="260"/>
      <c r="Q39" s="513">
        <v>0</v>
      </c>
      <c r="R39" s="260"/>
      <c r="S39" s="513">
        <v>0</v>
      </c>
      <c r="T39" s="260"/>
      <c r="U39" s="513">
        <v>0</v>
      </c>
      <c r="V39" s="260"/>
      <c r="W39" s="513">
        <v>0</v>
      </c>
      <c r="X39" s="260"/>
      <c r="Y39" s="513"/>
      <c r="Z39" s="260"/>
      <c r="AA39" s="513"/>
      <c r="AB39" s="316"/>
      <c r="AC39" s="1220"/>
      <c r="AD39" s="317">
        <f t="shared" si="3"/>
        <v>0</v>
      </c>
      <c r="AE39" s="2953"/>
      <c r="AF39" s="261"/>
      <c r="AG39" s="316">
        <v>0</v>
      </c>
      <c r="AH39" s="317"/>
      <c r="AI39" s="1969"/>
      <c r="AJ39" s="317">
        <f t="shared" si="0"/>
        <v>0</v>
      </c>
      <c r="AK39" s="650"/>
      <c r="AL39" s="45">
        <f>ROUND(IF(AG39=0,0,AJ39/ABS(AG39)),3)</f>
        <v>0</v>
      </c>
    </row>
    <row r="40" spans="1:39" ht="15.6">
      <c r="A40" s="223"/>
      <c r="B40" s="1669" t="s">
        <v>1169</v>
      </c>
      <c r="C40" s="223"/>
      <c r="D40" s="305"/>
      <c r="E40" s="1966">
        <v>0</v>
      </c>
      <c r="F40" s="316"/>
      <c r="G40" s="1966">
        <v>0</v>
      </c>
      <c r="H40" s="316"/>
      <c r="I40" s="1966">
        <v>0</v>
      </c>
      <c r="J40" s="316"/>
      <c r="K40" s="1966">
        <v>0</v>
      </c>
      <c r="L40" s="260"/>
      <c r="M40" s="1966">
        <v>0</v>
      </c>
      <c r="N40" s="260"/>
      <c r="O40" s="513">
        <v>0</v>
      </c>
      <c r="P40" s="260"/>
      <c r="Q40" s="513">
        <v>0</v>
      </c>
      <c r="R40" s="260"/>
      <c r="S40" s="513">
        <v>0</v>
      </c>
      <c r="T40" s="260"/>
      <c r="U40" s="513">
        <v>0</v>
      </c>
      <c r="V40" s="260"/>
      <c r="W40" s="513">
        <v>0</v>
      </c>
      <c r="X40" s="260"/>
      <c r="Y40" s="513"/>
      <c r="Z40" s="260"/>
      <c r="AA40" s="513"/>
      <c r="AB40" s="316"/>
      <c r="AC40" s="1220"/>
      <c r="AD40" s="317">
        <f t="shared" si="3"/>
        <v>0</v>
      </c>
      <c r="AE40" s="1972"/>
      <c r="AF40" s="261"/>
      <c r="AG40" s="316">
        <v>0</v>
      </c>
      <c r="AH40" s="317"/>
      <c r="AI40" s="1969"/>
      <c r="AJ40" s="317">
        <f t="shared" si="0"/>
        <v>0</v>
      </c>
      <c r="AK40" s="650"/>
      <c r="AL40" s="45">
        <f>ROUND(IF(AG40=0,0,AJ40/ABS(AG40)),3)</f>
        <v>0</v>
      </c>
    </row>
    <row r="41" spans="1:39" ht="15.6">
      <c r="A41" s="223"/>
      <c r="B41" s="1669" t="s">
        <v>1171</v>
      </c>
      <c r="C41" s="223"/>
      <c r="D41" s="305"/>
      <c r="E41" s="1966">
        <v>0</v>
      </c>
      <c r="F41" s="316"/>
      <c r="G41" s="1966">
        <v>0</v>
      </c>
      <c r="H41" s="316"/>
      <c r="I41" s="1966">
        <v>0</v>
      </c>
      <c r="J41" s="316"/>
      <c r="K41" s="1966">
        <v>0</v>
      </c>
      <c r="L41" s="260"/>
      <c r="M41" s="1966">
        <v>0</v>
      </c>
      <c r="N41" s="260"/>
      <c r="O41" s="513">
        <v>0</v>
      </c>
      <c r="P41" s="260"/>
      <c r="Q41" s="513">
        <v>0</v>
      </c>
      <c r="R41" s="260"/>
      <c r="S41" s="513">
        <v>0</v>
      </c>
      <c r="T41" s="260"/>
      <c r="U41" s="513">
        <v>0</v>
      </c>
      <c r="V41" s="260"/>
      <c r="W41" s="513">
        <v>0</v>
      </c>
      <c r="X41" s="260"/>
      <c r="Y41" s="513"/>
      <c r="Z41" s="260"/>
      <c r="AA41" s="513"/>
      <c r="AB41" s="316"/>
      <c r="AC41" s="1220"/>
      <c r="AD41" s="317">
        <f t="shared" si="3"/>
        <v>0</v>
      </c>
      <c r="AE41" s="1972"/>
      <c r="AF41" s="261"/>
      <c r="AG41" s="316">
        <v>0</v>
      </c>
      <c r="AH41" s="317"/>
      <c r="AI41" s="1969"/>
      <c r="AJ41" s="317">
        <f t="shared" si="0"/>
        <v>0</v>
      </c>
      <c r="AK41" s="650"/>
      <c r="AL41" s="45">
        <f>ROUND(IF(AG41=0,0,AJ41/ABS(AG41)),3)</f>
        <v>0</v>
      </c>
    </row>
    <row r="42" spans="1:39" ht="15.6">
      <c r="A42" s="223"/>
      <c r="B42" s="1669" t="s">
        <v>1143</v>
      </c>
      <c r="C42" s="223"/>
      <c r="D42" s="305"/>
      <c r="E42" s="1966">
        <v>0.7</v>
      </c>
      <c r="F42" s="316"/>
      <c r="G42" s="1966">
        <v>0.1</v>
      </c>
      <c r="H42" s="316"/>
      <c r="I42" s="1966">
        <v>0</v>
      </c>
      <c r="J42" s="316"/>
      <c r="K42" s="1966">
        <v>0</v>
      </c>
      <c r="L42" s="260"/>
      <c r="M42" s="1966">
        <v>0</v>
      </c>
      <c r="N42" s="260"/>
      <c r="O42" s="513">
        <v>0</v>
      </c>
      <c r="P42" s="260"/>
      <c r="Q42" s="513">
        <v>0.1</v>
      </c>
      <c r="R42" s="260"/>
      <c r="S42" s="513">
        <v>0.4</v>
      </c>
      <c r="T42" s="260"/>
      <c r="U42" s="513">
        <v>0</v>
      </c>
      <c r="V42" s="260"/>
      <c r="W42" s="513">
        <v>0</v>
      </c>
      <c r="X42" s="260"/>
      <c r="Y42" s="513"/>
      <c r="Z42" s="260"/>
      <c r="AA42" s="513"/>
      <c r="AB42" s="316"/>
      <c r="AC42" s="1220"/>
      <c r="AD42" s="317">
        <f>ROUND(SUM(E42:AA42),1)</f>
        <v>1.3</v>
      </c>
      <c r="AE42" s="1972"/>
      <c r="AF42" s="261"/>
      <c r="AG42" s="316">
        <v>1.4</v>
      </c>
      <c r="AH42" s="317"/>
      <c r="AI42" s="1969"/>
      <c r="AJ42" s="317">
        <f t="shared" si="0"/>
        <v>-0.1</v>
      </c>
      <c r="AK42" s="650"/>
      <c r="AL42" s="2582">
        <f>ROUND(IF(AG42=0,1,AJ42/ABS(AG42)),3)</f>
        <v>-7.0999999999999994E-2</v>
      </c>
    </row>
    <row r="43" spans="1:39" s="645" customFormat="1" ht="15.6" collapsed="1">
      <c r="A43" s="221"/>
      <c r="B43" s="583" t="s">
        <v>1290</v>
      </c>
      <c r="C43" s="221"/>
      <c r="D43" s="303"/>
      <c r="E43" s="1219">
        <f>ROUND(SUM(E20:E42),1)</f>
        <v>0.7</v>
      </c>
      <c r="F43" s="310"/>
      <c r="G43" s="1219">
        <f>ROUND(SUM(G20:G42),1)</f>
        <v>0.2</v>
      </c>
      <c r="H43" s="1991"/>
      <c r="I43" s="1219">
        <f>ROUND(SUM(I20:I42),1)</f>
        <v>0.1</v>
      </c>
      <c r="J43" s="310"/>
      <c r="K43" s="1219">
        <f>ROUND(SUM(K20:K42),1)</f>
        <v>0</v>
      </c>
      <c r="L43" s="1719"/>
      <c r="M43" s="1219">
        <f>ROUND(SUM(M20:M42),1)</f>
        <v>0.1</v>
      </c>
      <c r="N43" s="1719"/>
      <c r="O43" s="1219">
        <f>ROUND(SUM(O20:O42),1)</f>
        <v>0.1</v>
      </c>
      <c r="P43" s="1719"/>
      <c r="Q43" s="1219">
        <f>ROUND(SUM(Q20:Q42),1)</f>
        <v>0.1</v>
      </c>
      <c r="R43" s="1719"/>
      <c r="S43" s="1219">
        <f>ROUND(SUM(S20:S42),1)</f>
        <v>0.4</v>
      </c>
      <c r="T43" s="1719"/>
      <c r="U43" s="2816">
        <f>ROUND(SUM(U20:U42),1)</f>
        <v>0.1</v>
      </c>
      <c r="V43" s="1719"/>
      <c r="W43" s="1219">
        <f>ROUND(SUM(W20:W42),1)</f>
        <v>0.1</v>
      </c>
      <c r="X43" s="1719"/>
      <c r="Y43" s="1219">
        <f>ROUND(SUM(Y20:Y42),1)</f>
        <v>0</v>
      </c>
      <c r="Z43" s="1719"/>
      <c r="AA43" s="1219">
        <f>ROUND(SUM(AA20:AA42),1)</f>
        <v>0</v>
      </c>
      <c r="AB43" s="310"/>
      <c r="AC43" s="1221"/>
      <c r="AD43" s="1219">
        <f>ROUND(SUM(AD20:AD42),1)</f>
        <v>1.9</v>
      </c>
      <c r="AE43" s="1973"/>
      <c r="AF43" s="313"/>
      <c r="AG43" s="1219">
        <f>ROUND(SUM(AG20:AG42),1)</f>
        <v>1.8</v>
      </c>
      <c r="AH43" s="2015"/>
      <c r="AI43" s="1969"/>
      <c r="AJ43" s="1219">
        <f>ROUND(SUM(AJ20:AJ42),1)</f>
        <v>0.1</v>
      </c>
      <c r="AK43" s="1929"/>
      <c r="AL43" s="72">
        <f>ROUND(IF(AG43=0,0,AJ43/ABS(AG43)),3)</f>
        <v>5.6000000000000001E-2</v>
      </c>
    </row>
    <row r="44" spans="1:39" s="674" customFormat="1" ht="15.6">
      <c r="A44" s="260"/>
      <c r="B44" s="1908"/>
      <c r="C44" s="260"/>
      <c r="D44" s="316"/>
      <c r="E44" s="1966"/>
      <c r="F44" s="316"/>
      <c r="G44" s="681"/>
      <c r="H44" s="316"/>
      <c r="I44" s="1966"/>
      <c r="J44" s="316"/>
      <c r="K44" s="681"/>
      <c r="L44" s="260"/>
      <c r="M44" s="513"/>
      <c r="N44" s="260"/>
      <c r="O44" s="512"/>
      <c r="P44" s="260"/>
      <c r="Q44" s="513"/>
      <c r="R44" s="260"/>
      <c r="S44" s="512"/>
      <c r="T44" s="260"/>
      <c r="U44" s="512"/>
      <c r="V44" s="260"/>
      <c r="W44" s="513"/>
      <c r="X44" s="260"/>
      <c r="Y44" s="513"/>
      <c r="Z44" s="260"/>
      <c r="AA44" s="1966"/>
      <c r="AB44" s="316"/>
      <c r="AC44" s="1220"/>
      <c r="AD44" s="317"/>
      <c r="AE44" s="1968"/>
      <c r="AF44" s="1220"/>
      <c r="AG44" s="1966"/>
      <c r="AH44" s="317"/>
      <c r="AI44" s="1969"/>
      <c r="AJ44" s="682"/>
      <c r="AK44" s="250"/>
      <c r="AL44" s="648"/>
      <c r="AM44" s="250"/>
    </row>
    <row r="45" spans="1:39" ht="15.6">
      <c r="A45" s="223"/>
      <c r="B45" s="223" t="s">
        <v>153</v>
      </c>
      <c r="C45" s="223"/>
      <c r="D45" s="305"/>
      <c r="E45" s="316">
        <v>136.1</v>
      </c>
      <c r="F45" s="316"/>
      <c r="G45" s="1966">
        <v>112.9</v>
      </c>
      <c r="H45" s="316"/>
      <c r="I45" s="1966">
        <v>282.3</v>
      </c>
      <c r="J45" s="316"/>
      <c r="K45" s="1966">
        <v>139.4</v>
      </c>
      <c r="L45" s="260"/>
      <c r="M45" s="513">
        <v>160.4</v>
      </c>
      <c r="N45" s="260"/>
      <c r="O45" s="512">
        <v>144.6</v>
      </c>
      <c r="P45" s="260"/>
      <c r="Q45" s="513">
        <v>128.1</v>
      </c>
      <c r="R45" s="260"/>
      <c r="S45" s="512">
        <v>270.10000000000002</v>
      </c>
      <c r="T45" s="260"/>
      <c r="U45" s="512">
        <v>303.10000000000002</v>
      </c>
      <c r="V45" s="260"/>
      <c r="W45" s="260">
        <v>126.5</v>
      </c>
      <c r="X45" s="260"/>
      <c r="Y45" s="513"/>
      <c r="Z45" s="260"/>
      <c r="AA45" s="316"/>
      <c r="AB45" s="316"/>
      <c r="AC45" s="1220"/>
      <c r="AD45" s="317">
        <f>ROUND(SUM(E45:AA45),1)</f>
        <v>1803.5</v>
      </c>
      <c r="AE45" s="1968"/>
      <c r="AF45" s="1220"/>
      <c r="AG45" s="316">
        <v>2139.6999999999998</v>
      </c>
      <c r="AH45" s="317"/>
      <c r="AI45" s="2011"/>
      <c r="AJ45" s="2034">
        <f>ROUND(AD45-AG45,1)</f>
        <v>-336.2</v>
      </c>
      <c r="AK45" s="650"/>
      <c r="AL45" s="1685">
        <f>ROUND(IF(AG45=0,0,AJ45/ABS(AG45)),3)</f>
        <v>-0.157</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0"/>
      <c r="AD46" s="325"/>
      <c r="AE46" s="1968"/>
      <c r="AF46" s="1220"/>
      <c r="AG46" s="325"/>
      <c r="AH46" s="261"/>
      <c r="AI46" s="2011"/>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19">
        <f>ROUND(SUM(M43+M45),1)</f>
        <v>160.5</v>
      </c>
      <c r="N47" s="256"/>
      <c r="O47" s="1719">
        <f>ROUND(SUM(O43+O45),1)</f>
        <v>144.69999999999999</v>
      </c>
      <c r="P47" s="256"/>
      <c r="Q47" s="1719">
        <f>ROUND(SUM(Q43+Q45),1)</f>
        <v>128.19999999999999</v>
      </c>
      <c r="R47" s="256"/>
      <c r="S47" s="1719">
        <f>ROUND(SUM(S43+S45),1)</f>
        <v>270.5</v>
      </c>
      <c r="T47" s="256"/>
      <c r="U47" s="1719">
        <f>ROUND(SUM(U43+U45),1)</f>
        <v>303.2</v>
      </c>
      <c r="V47" s="256"/>
      <c r="W47" s="1719">
        <f>ROUND(SUM(W43+W45),1)</f>
        <v>126.6</v>
      </c>
      <c r="X47" s="256"/>
      <c r="Y47" s="1719">
        <f>ROUND(SUM(Y43+Y45),1)</f>
        <v>0</v>
      </c>
      <c r="Z47" s="256"/>
      <c r="AA47" s="310">
        <f>ROUND(SUM(AA43+AA45),1)</f>
        <v>0</v>
      </c>
      <c r="AB47" s="310"/>
      <c r="AC47" s="1221"/>
      <c r="AD47" s="310">
        <f>ROUND(SUM(AD43+AD45),1)</f>
        <v>1805.4</v>
      </c>
      <c r="AE47" s="1973"/>
      <c r="AF47" s="1221"/>
      <c r="AG47" s="310">
        <f>ROUND(SUM(AG43+AG45),1)</f>
        <v>2141.5</v>
      </c>
      <c r="AH47" s="2015"/>
      <c r="AI47" s="2011"/>
      <c r="AJ47" s="2018">
        <f>ROUND(SUM(AJ43+AJ45),1)</f>
        <v>-336.1</v>
      </c>
      <c r="AK47" s="366"/>
      <c r="AL47" s="549">
        <f>ROUND(SUM(AD47-AG47)/ABS(AG47),3)</f>
        <v>-0.157</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0"/>
      <c r="AD48" s="325"/>
      <c r="AE48" s="1968"/>
      <c r="AF48" s="1220"/>
      <c r="AG48" s="325"/>
      <c r="AH48" s="261"/>
      <c r="AI48" s="2011"/>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0"/>
      <c r="AD49" s="316"/>
      <c r="AE49" s="1968"/>
      <c r="AF49" s="1220"/>
      <c r="AG49" s="316"/>
      <c r="AH49" s="316"/>
      <c r="AI49" s="2011"/>
      <c r="AJ49" s="682"/>
      <c r="AK49" s="640"/>
      <c r="AL49" s="648"/>
    </row>
    <row r="50" spans="1:41" ht="15.6">
      <c r="A50" s="223"/>
      <c r="B50" s="223" t="s">
        <v>155</v>
      </c>
      <c r="C50" s="223"/>
      <c r="D50" s="305"/>
      <c r="E50" s="1966"/>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0"/>
      <c r="AD50" s="1966"/>
      <c r="AE50" s="1968"/>
      <c r="AF50" s="1220"/>
      <c r="AG50" s="316"/>
      <c r="AH50" s="316"/>
      <c r="AI50" s="2011"/>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v>0</v>
      </c>
      <c r="R51" s="260"/>
      <c r="S51" s="370">
        <v>0</v>
      </c>
      <c r="T51" s="260"/>
      <c r="U51" s="370">
        <v>0</v>
      </c>
      <c r="V51" s="260"/>
      <c r="W51" s="370">
        <v>0</v>
      </c>
      <c r="X51" s="260"/>
      <c r="Y51" s="370"/>
      <c r="Z51" s="260"/>
      <c r="AA51" s="681"/>
      <c r="AB51" s="316"/>
      <c r="AC51" s="1220"/>
      <c r="AD51" s="317">
        <f>ROUND(SUM(E51:AA51),1)</f>
        <v>0</v>
      </c>
      <c r="AE51" s="1968"/>
      <c r="AF51" s="1220"/>
      <c r="AG51" s="681">
        <v>0</v>
      </c>
      <c r="AH51" s="317"/>
      <c r="AI51" s="1969"/>
      <c r="AJ51" s="2035">
        <f>ROUND(AD51-AG51,1)</f>
        <v>0</v>
      </c>
      <c r="AK51" s="650"/>
      <c r="AL51" s="45">
        <f>ROUND(IF(AG51=0,0,AJ51/ABS(AG51)),3)</f>
        <v>0</v>
      </c>
    </row>
    <row r="52" spans="1:41" ht="15.6">
      <c r="A52" s="223"/>
      <c r="B52" s="223" t="s">
        <v>26</v>
      </c>
      <c r="C52" s="223"/>
      <c r="D52" s="305"/>
      <c r="E52" s="2030">
        <v>0</v>
      </c>
      <c r="F52" s="316"/>
      <c r="G52" s="681">
        <v>0</v>
      </c>
      <c r="H52" s="316"/>
      <c r="I52" s="1966">
        <v>0</v>
      </c>
      <c r="J52" s="316"/>
      <c r="K52" s="681">
        <v>0</v>
      </c>
      <c r="L52" s="260"/>
      <c r="M52" s="681">
        <v>0</v>
      </c>
      <c r="N52" s="260"/>
      <c r="O52" s="512">
        <v>0</v>
      </c>
      <c r="P52" s="260"/>
      <c r="Q52" s="512">
        <v>0</v>
      </c>
      <c r="R52" s="260"/>
      <c r="S52" s="512">
        <v>0</v>
      </c>
      <c r="T52" s="260"/>
      <c r="U52" s="512">
        <v>144.30000000000001</v>
      </c>
      <c r="V52" s="260"/>
      <c r="W52" s="370">
        <v>0</v>
      </c>
      <c r="X52" s="260"/>
      <c r="Y52" s="370"/>
      <c r="Z52" s="260"/>
      <c r="AA52" s="681"/>
      <c r="AB52" s="316"/>
      <c r="AC52" s="1220"/>
      <c r="AD52" s="317">
        <f>ROUND(SUM(E52:AA52),1)</f>
        <v>144.30000000000001</v>
      </c>
      <c r="AE52" s="1968"/>
      <c r="AF52" s="1220"/>
      <c r="AG52" s="2030">
        <v>140.30000000000001</v>
      </c>
      <c r="AH52" s="317"/>
      <c r="AI52" s="1969"/>
      <c r="AJ52" s="2035">
        <f>ROUND(AD52-AG52,1)</f>
        <v>4</v>
      </c>
      <c r="AK52" s="650"/>
      <c r="AL52" s="2636">
        <f>ROUND(IF(AG52=0,0,AJ52/ABS(AG52)),3)</f>
        <v>2.9000000000000001E-2</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v>0</v>
      </c>
      <c r="R53" s="260"/>
      <c r="S53" s="370">
        <v>0</v>
      </c>
      <c r="T53" s="260"/>
      <c r="U53" s="370">
        <v>0</v>
      </c>
      <c r="V53" s="260"/>
      <c r="W53" s="370">
        <v>0</v>
      </c>
      <c r="X53" s="260"/>
      <c r="Y53" s="370"/>
      <c r="Z53" s="260"/>
      <c r="AA53" s="316"/>
      <c r="AB53" s="316"/>
      <c r="AC53" s="1220"/>
      <c r="AD53" s="317">
        <f>ROUND(SUM(E53:AA53),1)</f>
        <v>0</v>
      </c>
      <c r="AE53" s="1968"/>
      <c r="AF53" s="1220"/>
      <c r="AG53" s="681">
        <v>0</v>
      </c>
      <c r="AH53" s="317"/>
      <c r="AI53" s="1969"/>
      <c r="AJ53" s="2035">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0"/>
      <c r="AD54" s="317"/>
      <c r="AE54" s="1968"/>
      <c r="AF54" s="1220"/>
      <c r="AG54" s="681"/>
      <c r="AH54" s="316"/>
      <c r="AI54" s="2011"/>
      <c r="AJ54" s="2036" t="s">
        <v>15</v>
      </c>
      <c r="AK54" s="650"/>
      <c r="AL54" s="1115"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v>0</v>
      </c>
      <c r="R55" s="260"/>
      <c r="S55" s="370">
        <v>0</v>
      </c>
      <c r="T55" s="260"/>
      <c r="U55" s="370">
        <v>0</v>
      </c>
      <c r="V55" s="260"/>
      <c r="W55" s="370">
        <v>0</v>
      </c>
      <c r="X55" s="260"/>
      <c r="Y55" s="370"/>
      <c r="Z55" s="260"/>
      <c r="AA55" s="316"/>
      <c r="AB55" s="316"/>
      <c r="AC55" s="1220"/>
      <c r="AD55" s="317">
        <f t="shared" ref="AD55:AD59" si="4">ROUND(SUM(E55:AA55),1)</f>
        <v>0</v>
      </c>
      <c r="AE55" s="1968"/>
      <c r="AF55" s="1220"/>
      <c r="AG55" s="681">
        <v>0</v>
      </c>
      <c r="AH55" s="316"/>
      <c r="AI55" s="2011"/>
      <c r="AJ55" s="2035">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v>0</v>
      </c>
      <c r="R56" s="260"/>
      <c r="S56" s="512">
        <v>0</v>
      </c>
      <c r="T56" s="260"/>
      <c r="U56" s="512">
        <v>33.200000000000003</v>
      </c>
      <c r="V56" s="260"/>
      <c r="W56" s="370">
        <v>2.4</v>
      </c>
      <c r="X56" s="260"/>
      <c r="Y56" s="370"/>
      <c r="Z56" s="260"/>
      <c r="AA56" s="681"/>
      <c r="AB56" s="316"/>
      <c r="AC56" s="1220"/>
      <c r="AD56" s="317">
        <f t="shared" si="4"/>
        <v>40.5</v>
      </c>
      <c r="AE56" s="1968"/>
      <c r="AF56" s="1220"/>
      <c r="AG56" s="2030">
        <v>42.8</v>
      </c>
      <c r="AH56" s="317"/>
      <c r="AI56" s="1969"/>
      <c r="AJ56" s="2035">
        <f t="shared" si="5"/>
        <v>-2.2999999999999998</v>
      </c>
      <c r="AK56" s="650"/>
      <c r="AL56" s="2568">
        <f>ROUND(IF(AG56=0,0,AJ56/ABS(AG56)),3)</f>
        <v>-5.3999999999999999E-2</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v>0</v>
      </c>
      <c r="R57" s="260"/>
      <c r="S57" s="370">
        <v>0</v>
      </c>
      <c r="T57" s="260"/>
      <c r="U57" s="370">
        <v>0</v>
      </c>
      <c r="V57" s="260"/>
      <c r="W57" s="370">
        <v>2.2000000000000002</v>
      </c>
      <c r="X57" s="260"/>
      <c r="Y57" s="370"/>
      <c r="Z57" s="260"/>
      <c r="AA57" s="316"/>
      <c r="AB57" s="316"/>
      <c r="AC57" s="1220"/>
      <c r="AD57" s="317">
        <f t="shared" si="4"/>
        <v>5.5</v>
      </c>
      <c r="AE57" s="1968"/>
      <c r="AF57" s="1220"/>
      <c r="AG57" s="681">
        <v>2</v>
      </c>
      <c r="AH57" s="317"/>
      <c r="AI57" s="1969"/>
      <c r="AJ57" s="2035">
        <f t="shared" si="5"/>
        <v>3.5</v>
      </c>
      <c r="AK57" s="640"/>
      <c r="AL57" s="2568">
        <f>ROUND(IF(AG57=0,0,AJ57/ABS(AG57)),3)</f>
        <v>1.75</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v>0</v>
      </c>
      <c r="R58" s="260"/>
      <c r="S58" s="370">
        <v>0</v>
      </c>
      <c r="T58" s="260"/>
      <c r="U58" s="370">
        <v>0</v>
      </c>
      <c r="V58" s="260"/>
      <c r="W58" s="370">
        <v>0</v>
      </c>
      <c r="X58" s="260"/>
      <c r="Y58" s="370"/>
      <c r="Z58" s="260"/>
      <c r="AA58" s="681"/>
      <c r="AB58" s="316"/>
      <c r="AC58" s="1220"/>
      <c r="AD58" s="317">
        <f t="shared" si="4"/>
        <v>0</v>
      </c>
      <c r="AE58" s="1968"/>
      <c r="AF58" s="1220"/>
      <c r="AG58" s="681">
        <v>0</v>
      </c>
      <c r="AH58" s="316"/>
      <c r="AI58" s="2011"/>
      <c r="AJ58" s="2035">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v>0</v>
      </c>
      <c r="R59" s="260"/>
      <c r="S59" s="370">
        <v>0</v>
      </c>
      <c r="T59" s="260"/>
      <c r="U59" s="370">
        <v>0</v>
      </c>
      <c r="V59" s="260"/>
      <c r="W59" s="370">
        <v>0</v>
      </c>
      <c r="X59" s="260"/>
      <c r="Y59" s="370"/>
      <c r="Z59" s="260"/>
      <c r="AA59" s="316"/>
      <c r="AB59" s="316"/>
      <c r="AC59" s="1220"/>
      <c r="AD59" s="317">
        <f t="shared" si="4"/>
        <v>0</v>
      </c>
      <c r="AE59" s="1968"/>
      <c r="AF59" s="1220"/>
      <c r="AG59" s="681">
        <v>0</v>
      </c>
      <c r="AH59" s="316"/>
      <c r="AI59" s="2011"/>
      <c r="AJ59" s="2035">
        <f t="shared" si="5"/>
        <v>0</v>
      </c>
      <c r="AK59" s="640"/>
      <c r="AL59" s="45">
        <f>ROUND(IF(AG59=0,0,AJ59/ABS(AG59)),3)</f>
        <v>0</v>
      </c>
      <c r="AM59" s="640"/>
    </row>
    <row r="60" spans="1:41" ht="15.6">
      <c r="A60" s="223"/>
      <c r="B60" s="223" t="s">
        <v>34</v>
      </c>
      <c r="C60" s="223"/>
      <c r="D60" s="305"/>
      <c r="E60" s="2030">
        <v>30.7</v>
      </c>
      <c r="F60" s="316"/>
      <c r="G60" s="1966">
        <v>43.3</v>
      </c>
      <c r="H60" s="316"/>
      <c r="I60" s="1966">
        <v>30.9</v>
      </c>
      <c r="J60" s="316"/>
      <c r="K60" s="1213">
        <v>25.1</v>
      </c>
      <c r="L60" s="260"/>
      <c r="M60" s="1213">
        <v>61.3</v>
      </c>
      <c r="N60" s="260"/>
      <c r="O60" s="512">
        <v>24.7</v>
      </c>
      <c r="P60" s="260"/>
      <c r="Q60" s="512">
        <v>59.3</v>
      </c>
      <c r="R60" s="260"/>
      <c r="S60" s="512">
        <v>27</v>
      </c>
      <c r="T60" s="260"/>
      <c r="U60" s="512">
        <v>58.7</v>
      </c>
      <c r="V60" s="260"/>
      <c r="W60" s="370">
        <v>50.5</v>
      </c>
      <c r="X60" s="260"/>
      <c r="Y60" s="370"/>
      <c r="Z60" s="260"/>
      <c r="AA60" s="681"/>
      <c r="AB60" s="316"/>
      <c r="AC60" s="1220"/>
      <c r="AD60" s="317">
        <f>ROUND(SUM(E60:AA60),1)</f>
        <v>411.5</v>
      </c>
      <c r="AE60" s="1968"/>
      <c r="AF60" s="1220"/>
      <c r="AG60" s="1697">
        <v>517.79999999999995</v>
      </c>
      <c r="AH60" s="261"/>
      <c r="AI60" s="2011"/>
      <c r="AJ60" s="2035">
        <f t="shared" si="5"/>
        <v>-106.3</v>
      </c>
      <c r="AK60" s="640"/>
      <c r="AL60" s="1377">
        <f>ROUND((AD60-AG60)/ABS(AG60),3)</f>
        <v>-0.20499999999999999</v>
      </c>
    </row>
    <row r="61" spans="1:41" ht="15.6">
      <c r="A61" s="223"/>
      <c r="B61" s="221" t="s">
        <v>202</v>
      </c>
      <c r="C61" s="223"/>
      <c r="D61" s="305"/>
      <c r="E61" s="1994">
        <f>ROUND(SUM(E51:E60),1)</f>
        <v>30.7</v>
      </c>
      <c r="F61" s="310"/>
      <c r="G61" s="1994">
        <f>ROUND(SUM(G51:G60),1)</f>
        <v>43.3</v>
      </c>
      <c r="H61" s="310"/>
      <c r="I61" s="1994">
        <f>ROUND(SUM(I51:I60),1)</f>
        <v>30.9</v>
      </c>
      <c r="J61" s="310"/>
      <c r="K61" s="1994">
        <f>ROUND(SUM(K51:K60),1)</f>
        <v>25.1</v>
      </c>
      <c r="L61" s="256"/>
      <c r="M61" s="540">
        <f>ROUND(SUM(M51:M60),1)</f>
        <v>61.3</v>
      </c>
      <c r="N61" s="256"/>
      <c r="O61" s="540">
        <f>ROUND(SUM(O51:O60),1)</f>
        <v>32.9</v>
      </c>
      <c r="P61" s="256"/>
      <c r="Q61" s="540">
        <f>ROUND(SUM(Q51:Q60),1)</f>
        <v>59.3</v>
      </c>
      <c r="R61" s="256"/>
      <c r="S61" s="540">
        <f>ROUND(SUM(S51:S60),1)</f>
        <v>27</v>
      </c>
      <c r="T61" s="256"/>
      <c r="U61" s="540">
        <f>ROUND(SUM(U51:U60),1)</f>
        <v>236.2</v>
      </c>
      <c r="V61" s="256"/>
      <c r="W61" s="540">
        <f>ROUND(SUM(W51:W60),1)</f>
        <v>55.1</v>
      </c>
      <c r="X61" s="256"/>
      <c r="Y61" s="540">
        <f>ROUND(SUM(Y51:Y60),1)</f>
        <v>0</v>
      </c>
      <c r="Z61" s="256"/>
      <c r="AA61" s="1994">
        <f>ROUND(SUM(AA51:AA60),1)</f>
        <v>0</v>
      </c>
      <c r="AB61" s="310"/>
      <c r="AC61" s="1221"/>
      <c r="AD61" s="1994">
        <f>ROUND(SUM(AD51:AD60),1)</f>
        <v>601.79999999999995</v>
      </c>
      <c r="AE61" s="1973"/>
      <c r="AF61" s="1221"/>
      <c r="AG61" s="1994">
        <f>ROUND(SUM(AG51:AG60),1)</f>
        <v>702.9</v>
      </c>
      <c r="AH61" s="313"/>
      <c r="AI61" s="2011"/>
      <c r="AJ61" s="1994">
        <f>ROUND(SUM(AJ51:AJ60),1)</f>
        <v>-101.1</v>
      </c>
      <c r="AK61" s="658"/>
      <c r="AL61" s="659">
        <f>ROUND(SUM(AD61-AG61)/ABS(AG61),3)</f>
        <v>-0.14399999999999999</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0"/>
      <c r="AD62" s="326"/>
      <c r="AE62" s="1968"/>
      <c r="AF62" s="1220"/>
      <c r="AG62" s="316"/>
      <c r="AH62" s="316"/>
      <c r="AI62" s="2011"/>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v>0</v>
      </c>
      <c r="R63" s="260"/>
      <c r="S63" s="370">
        <v>0</v>
      </c>
      <c r="T63" s="260"/>
      <c r="U63" s="370">
        <v>0</v>
      </c>
      <c r="V63" s="260"/>
      <c r="W63" s="370">
        <v>0</v>
      </c>
      <c r="X63" s="260"/>
      <c r="Y63" s="370"/>
      <c r="Z63" s="260"/>
      <c r="AA63" s="681"/>
      <c r="AB63" s="316"/>
      <c r="AC63" s="1220"/>
      <c r="AD63" s="317">
        <f>ROUND(SUM(E63:AA63),1)</f>
        <v>0</v>
      </c>
      <c r="AE63" s="1968"/>
      <c r="AF63" s="1220"/>
      <c r="AG63" s="681">
        <v>0</v>
      </c>
      <c r="AH63" s="326"/>
      <c r="AI63" s="2019"/>
      <c r="AJ63" s="2035">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v>0</v>
      </c>
      <c r="R64" s="260"/>
      <c r="S64" s="370">
        <v>0</v>
      </c>
      <c r="T64" s="260"/>
      <c r="U64" s="370">
        <v>0</v>
      </c>
      <c r="V64" s="260"/>
      <c r="W64" s="370">
        <v>0</v>
      </c>
      <c r="X64" s="260"/>
      <c r="Y64" s="370"/>
      <c r="Z64" s="260"/>
      <c r="AA64" s="681"/>
      <c r="AB64" s="316"/>
      <c r="AC64" s="1220"/>
      <c r="AD64" s="317">
        <f>ROUND(SUM(E64:AA64),1)</f>
        <v>0</v>
      </c>
      <c r="AE64" s="1968"/>
      <c r="AF64" s="1220"/>
      <c r="AG64" s="681">
        <v>0</v>
      </c>
      <c r="AH64" s="326"/>
      <c r="AI64" s="2019"/>
      <c r="AJ64" s="2035">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v>0</v>
      </c>
      <c r="R65" s="260"/>
      <c r="S65" s="370">
        <v>0</v>
      </c>
      <c r="T65" s="260"/>
      <c r="U65" s="370">
        <v>0</v>
      </c>
      <c r="V65" s="260"/>
      <c r="W65" s="370">
        <v>0</v>
      </c>
      <c r="X65" s="260"/>
      <c r="Y65" s="370"/>
      <c r="Z65" s="661"/>
      <c r="AA65" s="681"/>
      <c r="AB65" s="2020"/>
      <c r="AC65" s="2021"/>
      <c r="AD65" s="317">
        <f>ROUND(SUM(E65:AA65),1)</f>
        <v>0</v>
      </c>
      <c r="AE65" s="1968"/>
      <c r="AF65" s="1220"/>
      <c r="AG65" s="681">
        <v>0</v>
      </c>
      <c r="AH65" s="326"/>
      <c r="AI65" s="2019"/>
      <c r="AJ65" s="2035">
        <f>ROUND(AD65-AG65,1)</f>
        <v>0</v>
      </c>
      <c r="AK65" s="640"/>
      <c r="AL65" s="45">
        <f>ROUND(IF(AG65=0,0,AJ65/ABS(AG65)),3)</f>
        <v>0</v>
      </c>
    </row>
    <row r="66" spans="1:39" ht="15.6">
      <c r="A66" s="223"/>
      <c r="B66" s="246" t="s">
        <v>217</v>
      </c>
      <c r="C66" s="223"/>
      <c r="D66" s="305"/>
      <c r="E66" s="317">
        <v>82.1</v>
      </c>
      <c r="F66" s="316"/>
      <c r="G66" s="1993">
        <v>90.8</v>
      </c>
      <c r="H66" s="316"/>
      <c r="I66" s="1993">
        <v>116.7</v>
      </c>
      <c r="J66" s="316"/>
      <c r="K66" s="1993">
        <v>101.5</v>
      </c>
      <c r="L66" s="260"/>
      <c r="M66" s="278">
        <v>118.2</v>
      </c>
      <c r="N66" s="260"/>
      <c r="O66" s="278">
        <v>135.1</v>
      </c>
      <c r="P66" s="260"/>
      <c r="Q66" s="485">
        <v>140.30000000000001</v>
      </c>
      <c r="R66" s="260"/>
      <c r="S66" s="485">
        <v>113.1</v>
      </c>
      <c r="T66" s="260"/>
      <c r="U66" s="485">
        <v>77.900000000000006</v>
      </c>
      <c r="V66" s="260"/>
      <c r="W66" s="485">
        <v>67.5</v>
      </c>
      <c r="X66" s="260"/>
      <c r="Y66" s="370"/>
      <c r="Z66" s="260"/>
      <c r="AA66" s="522"/>
      <c r="AB66" s="316"/>
      <c r="AC66" s="1220"/>
      <c r="AD66" s="317">
        <f>ROUND(SUM(E66:AA66),1)</f>
        <v>1043.2</v>
      </c>
      <c r="AE66" s="1968"/>
      <c r="AF66" s="1220"/>
      <c r="AG66" s="1698">
        <v>1345.7</v>
      </c>
      <c r="AH66" s="266"/>
      <c r="AI66" s="1969"/>
      <c r="AJ66" s="2037">
        <f>ROUND(AD66-AG66,1)</f>
        <v>-302.5</v>
      </c>
      <c r="AK66" s="640"/>
      <c r="AL66" s="1685">
        <f>ROUND(IF(AG66=0,0,AJ66/ABS(AG66)),3)</f>
        <v>-0.22500000000000001</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0"/>
      <c r="AD67" s="325"/>
      <c r="AE67" s="1968"/>
      <c r="AF67" s="1220"/>
      <c r="AG67" s="682"/>
      <c r="AH67" s="682"/>
      <c r="AI67" s="2023"/>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199.6</v>
      </c>
      <c r="R68" s="256"/>
      <c r="S68" s="256">
        <f>ROUND(SUM(S61:S66),1)</f>
        <v>140.1</v>
      </c>
      <c r="T68" s="256"/>
      <c r="U68" s="1719">
        <f>ROUND(SUM(U61:U66),1)</f>
        <v>314.10000000000002</v>
      </c>
      <c r="V68" s="256"/>
      <c r="W68" s="256">
        <f>ROUND(SUM(W61:W66),1)</f>
        <v>122.6</v>
      </c>
      <c r="X68" s="256"/>
      <c r="Y68" s="256">
        <f>ROUND(SUM(Y61:Y66),1)</f>
        <v>0</v>
      </c>
      <c r="Z68" s="256"/>
      <c r="AA68" s="310">
        <f>ROUND(SUM(AA61:AA66),1)</f>
        <v>0</v>
      </c>
      <c r="AB68" s="310"/>
      <c r="AC68" s="1221"/>
      <c r="AD68" s="310">
        <f>ROUND(SUM(AD61:AD66),1)</f>
        <v>1645</v>
      </c>
      <c r="AE68" s="1973"/>
      <c r="AF68" s="1221"/>
      <c r="AG68" s="310">
        <f>SUM(AG61:AG66)</f>
        <v>2048.6</v>
      </c>
      <c r="AH68" s="313"/>
      <c r="AI68" s="2011"/>
      <c r="AJ68" s="311">
        <f>ROUND(AD68-AG68,1)</f>
        <v>-403.6</v>
      </c>
      <c r="AK68" s="658"/>
      <c r="AL68" s="549">
        <f>ROUND(SUM(AD68-AG68)/ABS(AG68),3)</f>
        <v>-0.19700000000000001</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0"/>
      <c r="AD69" s="325"/>
      <c r="AE69" s="1968"/>
      <c r="AF69" s="1220"/>
      <c r="AG69" s="325"/>
      <c r="AH69" s="261"/>
      <c r="AI69" s="2011"/>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0"/>
      <c r="AD70" s="682"/>
      <c r="AE70" s="1968"/>
      <c r="AF70" s="261"/>
      <c r="AG70" s="682"/>
      <c r="AH70" s="682"/>
      <c r="AI70" s="2023"/>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-71.400000000000006</v>
      </c>
      <c r="R71" s="256"/>
      <c r="S71" s="256">
        <f>ROUND(S47-S68,1)</f>
        <v>130.4</v>
      </c>
      <c r="T71" s="256"/>
      <c r="U71" s="1719">
        <f>ROUND(U47-U68,1)</f>
        <v>-10.9</v>
      </c>
      <c r="V71" s="256"/>
      <c r="W71" s="256">
        <f>ROUND(W47-W68,1)</f>
        <v>4</v>
      </c>
      <c r="X71" s="256"/>
      <c r="Y71" s="256">
        <f>ROUND(Y47-Y68,1)</f>
        <v>0</v>
      </c>
      <c r="Z71" s="256"/>
      <c r="AA71" s="310">
        <f>ROUND(AA47-AA68,1)</f>
        <v>0</v>
      </c>
      <c r="AB71" s="310"/>
      <c r="AC71" s="1221"/>
      <c r="AD71" s="310">
        <f>ROUND(AD47-AD68,1)</f>
        <v>160.4</v>
      </c>
      <c r="AE71" s="1973"/>
      <c r="AF71" s="1221"/>
      <c r="AG71" s="310">
        <f>ROUND(SUM(AG47-AG68),1)</f>
        <v>92.9</v>
      </c>
      <c r="AH71" s="313"/>
      <c r="AI71" s="2011"/>
      <c r="AJ71" s="311">
        <f>ROUND(AD71-AG71,1)</f>
        <v>67.5</v>
      </c>
      <c r="AK71" s="658"/>
      <c r="AL71" s="2618">
        <f>ROUND(SUM(AD71-AG71)/ABS(AG71),3)</f>
        <v>0.72699999999999998</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0"/>
      <c r="AD72" s="325"/>
      <c r="AE72" s="1968"/>
      <c r="AF72" s="1220"/>
      <c r="AG72" s="325"/>
      <c r="AH72" s="261"/>
      <c r="AI72" s="2011"/>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0"/>
      <c r="AD73" s="316"/>
      <c r="AE73" s="1968"/>
      <c r="AF73" s="1220"/>
      <c r="AG73" s="326"/>
      <c r="AH73" s="326"/>
      <c r="AI73" s="2019"/>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v>0</v>
      </c>
      <c r="R74" s="260"/>
      <c r="S74" s="370">
        <v>0</v>
      </c>
      <c r="T74" s="260"/>
      <c r="U74" s="370">
        <v>0</v>
      </c>
      <c r="V74" s="260"/>
      <c r="W74" s="370">
        <v>0</v>
      </c>
      <c r="X74" s="260"/>
      <c r="Y74" s="370"/>
      <c r="Z74" s="260"/>
      <c r="AA74" s="681"/>
      <c r="AB74" s="316"/>
      <c r="AC74" s="1220"/>
      <c r="AD74" s="317">
        <f>ROUND(SUM(E74:AA74),1)</f>
        <v>0</v>
      </c>
      <c r="AE74" s="1968"/>
      <c r="AF74" s="1220"/>
      <c r="AG74" s="681">
        <v>0</v>
      </c>
      <c r="AH74" s="317"/>
      <c r="AI74" s="1969"/>
      <c r="AJ74" s="2035">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v>0</v>
      </c>
      <c r="R75" s="260"/>
      <c r="S75" s="370">
        <v>0</v>
      </c>
      <c r="T75" s="260"/>
      <c r="U75" s="370">
        <v>0</v>
      </c>
      <c r="V75" s="260"/>
      <c r="W75" s="370">
        <v>0</v>
      </c>
      <c r="X75" s="260"/>
      <c r="Y75" s="370"/>
      <c r="Z75" s="260"/>
      <c r="AA75" s="316"/>
      <c r="AB75" s="316"/>
      <c r="AC75" s="1220"/>
      <c r="AD75" s="317">
        <f>ROUND(SUM(E75:AA75),1)</f>
        <v>-4.7</v>
      </c>
      <c r="AE75" s="1968"/>
      <c r="AF75" s="1220"/>
      <c r="AG75" s="2422">
        <v>-38.9</v>
      </c>
      <c r="AH75" s="261"/>
      <c r="AI75" s="2011"/>
      <c r="AJ75" s="2037">
        <f>ROUND(AD75-AG75,1)*-1</f>
        <v>-34.200000000000003</v>
      </c>
      <c r="AK75" s="640"/>
      <c r="AL75" s="2636">
        <f>ROUND(IF(AG75=0,0,AJ75/ABS(AG75)),3)</f>
        <v>-0.879</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0"/>
      <c r="AD76" s="325"/>
      <c r="AE76" s="1968"/>
      <c r="AF76" s="1220"/>
      <c r="AG76" s="682"/>
      <c r="AH76" s="682"/>
      <c r="AI76" s="2023"/>
      <c r="AJ76" s="2038"/>
      <c r="AK76" s="683"/>
      <c r="AL76" s="2619"/>
      <c r="AM76" s="640"/>
    </row>
    <row r="77" spans="1:39" ht="15.6">
      <c r="A77" s="223"/>
      <c r="B77" s="221" t="s">
        <v>213</v>
      </c>
      <c r="C77" s="223"/>
      <c r="D77" s="305"/>
      <c r="E77" s="2031">
        <f>ROUND(SUM(E74:E76),1)</f>
        <v>0</v>
      </c>
      <c r="F77" s="316"/>
      <c r="G77" s="2031">
        <f>ROUND(SUM(G74:G76),1)</f>
        <v>0</v>
      </c>
      <c r="H77" s="316"/>
      <c r="I77" s="2031">
        <f>ROUND(SUM(I74:I76),1)</f>
        <v>-4.7</v>
      </c>
      <c r="J77" s="316"/>
      <c r="K77" s="2031">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31">
        <f>ROUND(SUM(AA74:AA76),1)</f>
        <v>0</v>
      </c>
      <c r="AB77" s="316"/>
      <c r="AC77" s="1220"/>
      <c r="AD77" s="2031">
        <f>ROUND(SUM(AD74:AD76),1)</f>
        <v>-4.7</v>
      </c>
      <c r="AE77" s="1968"/>
      <c r="AF77" s="1220"/>
      <c r="AG77" s="2031">
        <f>ROUND(SUM(AG74:AG76),1)</f>
        <v>-38.9</v>
      </c>
      <c r="AH77" s="261"/>
      <c r="AI77" s="2011"/>
      <c r="AJ77" s="2031">
        <f>ROUND(SUM(AJ74:AJ76),1)</f>
        <v>-34.200000000000003</v>
      </c>
      <c r="AK77" s="683"/>
      <c r="AL77" s="2661">
        <f>ROUND(IF(AG77=0,0,AJ77/ABS(AG77)),3)</f>
        <v>-0.879</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0"/>
      <c r="AD78" s="325"/>
      <c r="AE78" s="1968"/>
      <c r="AF78" s="1220"/>
      <c r="AG78" s="325"/>
      <c r="AH78" s="261"/>
      <c r="AI78" s="2011"/>
      <c r="AJ78" s="325"/>
      <c r="AK78" s="640"/>
      <c r="AL78" s="2620"/>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0"/>
      <c r="AD79" s="316"/>
      <c r="AE79" s="1968"/>
      <c r="AF79" s="1220"/>
      <c r="AG79" s="316"/>
      <c r="AH79" s="316"/>
      <c r="AI79" s="2011"/>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0"/>
      <c r="AD80" s="316"/>
      <c r="AE80" s="1968"/>
      <c r="AF80" s="1220"/>
      <c r="AG80" s="316"/>
      <c r="AH80" s="316"/>
      <c r="AI80" s="2011"/>
      <c r="AJ80" s="682"/>
      <c r="AK80" s="640"/>
      <c r="AL80" s="648"/>
    </row>
    <row r="81" spans="1:39" ht="15.6">
      <c r="A81" s="223"/>
      <c r="B81" s="221" t="s">
        <v>172</v>
      </c>
      <c r="C81" s="223"/>
      <c r="D81" s="305"/>
      <c r="E81" s="2018">
        <f>ROUND(E71+E77,1)</f>
        <v>24</v>
      </c>
      <c r="F81" s="316"/>
      <c r="G81" s="2018">
        <f>ROUND(G71+G77,1)</f>
        <v>-21</v>
      </c>
      <c r="H81" s="316"/>
      <c r="I81" s="2018">
        <f>ROUND(I71+I77,1)</f>
        <v>130.1</v>
      </c>
      <c r="J81" s="316"/>
      <c r="K81" s="2018">
        <f>ROUND(K71+K77,1)</f>
        <v>12.8</v>
      </c>
      <c r="L81" s="260"/>
      <c r="M81" s="2018">
        <f>ROUND(M71+M77,1)</f>
        <v>-19</v>
      </c>
      <c r="N81" s="260"/>
      <c r="O81" s="2018">
        <f>ROUND(O71+O77,1)</f>
        <v>-23.3</v>
      </c>
      <c r="P81" s="260"/>
      <c r="Q81" s="2018">
        <f>ROUND(Q71+Q77,1)</f>
        <v>-71.400000000000006</v>
      </c>
      <c r="R81" s="260"/>
      <c r="S81" s="2018">
        <f>ROUND(S71+S77,1)</f>
        <v>130.4</v>
      </c>
      <c r="T81" s="260"/>
      <c r="U81" s="2018">
        <f>ROUND(U71+U77,1)</f>
        <v>-10.9</v>
      </c>
      <c r="V81" s="260"/>
      <c r="W81" s="2018">
        <f>ROUND(W71+W77,1)</f>
        <v>4</v>
      </c>
      <c r="X81" s="260"/>
      <c r="Y81" s="2018">
        <f>ROUND(Y71+Y77,1)</f>
        <v>0</v>
      </c>
      <c r="Z81" s="260"/>
      <c r="AA81" s="2018">
        <f>ROUND(AA71+AA77,1)</f>
        <v>0</v>
      </c>
      <c r="AB81" s="316"/>
      <c r="AC81" s="1220"/>
      <c r="AD81" s="2018">
        <f>ROUND(AD71+AD77,1)</f>
        <v>155.69999999999999</v>
      </c>
      <c r="AE81" s="2492"/>
      <c r="AF81" s="2493"/>
      <c r="AG81" s="2018">
        <f>ROUND(AG71+AG77,1)</f>
        <v>54</v>
      </c>
      <c r="AH81" s="2494"/>
      <c r="AI81" s="2495"/>
      <c r="AJ81" s="2018">
        <f>ROUND(AD81-AG81,1)</f>
        <v>101.7</v>
      </c>
      <c r="AK81" s="658"/>
      <c r="AL81" s="2618">
        <f>ROUND(SUM(AD81-AG81)/ABS(AG81),3)</f>
        <v>1.883</v>
      </c>
      <c r="AM81" s="1693"/>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0"/>
      <c r="AD82" s="338"/>
      <c r="AE82" s="2492"/>
      <c r="AF82" s="2493"/>
      <c r="AG82" s="338"/>
      <c r="AH82" s="2494"/>
      <c r="AI82" s="2495"/>
      <c r="AJ82" s="338"/>
      <c r="AK82" s="658"/>
      <c r="AL82" s="3057"/>
      <c r="AM82" s="1693"/>
    </row>
    <row r="83" spans="1:39" ht="16.2" thickBot="1">
      <c r="A83" s="223"/>
      <c r="B83" s="221" t="s">
        <v>1298</v>
      </c>
      <c r="C83" s="223"/>
      <c r="D83" s="305"/>
      <c r="E83" s="3051">
        <f>ROUND(SUM(E15+E81),1)</f>
        <v>-545.6</v>
      </c>
      <c r="F83" s="315"/>
      <c r="G83" s="3051">
        <f>ROUND(SUM(G15+G81),1)</f>
        <v>-566.6</v>
      </c>
      <c r="H83" s="315"/>
      <c r="I83" s="3051">
        <f>ROUND(SUM(I15+I81),1)</f>
        <v>-436.5</v>
      </c>
      <c r="J83" s="315"/>
      <c r="K83" s="3051">
        <f>ROUND(SUM(K15+K81),1)</f>
        <v>-423.7</v>
      </c>
      <c r="L83" s="252"/>
      <c r="M83" s="3051">
        <f>ROUND(SUM(M15+M81),1)</f>
        <v>-442.7</v>
      </c>
      <c r="N83" s="252"/>
      <c r="O83" s="3051">
        <f>ROUND(SUM(O15+O81),1)</f>
        <v>-466</v>
      </c>
      <c r="P83" s="252"/>
      <c r="Q83" s="3051">
        <f>ROUND(SUM(Q15+Q81),1)</f>
        <v>-537.4</v>
      </c>
      <c r="R83" s="252"/>
      <c r="S83" s="3051">
        <f>ROUND(SUM(S15+S81),1)</f>
        <v>-407</v>
      </c>
      <c r="T83" s="252"/>
      <c r="U83" s="3051">
        <f>ROUND(SUM(U15+U81),1)</f>
        <v>-417.9</v>
      </c>
      <c r="V83" s="252"/>
      <c r="W83" s="3051">
        <f>ROUND(SUM(W15+W81),1)</f>
        <v>-413.9</v>
      </c>
      <c r="X83" s="252"/>
      <c r="Y83" s="3051">
        <f>ROUND(SUM(Y15+Y81),1)</f>
        <v>0</v>
      </c>
      <c r="Z83" s="252"/>
      <c r="AA83" s="3051">
        <f>ROUND(SUM(AA15+AA81),1)</f>
        <v>0</v>
      </c>
      <c r="AB83" s="316"/>
      <c r="AC83" s="1220"/>
      <c r="AD83" s="3051">
        <f>ROUND(SUM(AD15+AD81),1)</f>
        <v>-413.9</v>
      </c>
      <c r="AE83" s="2492"/>
      <c r="AF83" s="2493"/>
      <c r="AG83" s="3051">
        <f>ROUND(SUM(AG15+AG81),1)</f>
        <v>-505.3</v>
      </c>
      <c r="AH83" s="2494"/>
      <c r="AI83" s="2495"/>
      <c r="AJ83" s="487">
        <f>ROUND(AD83-AG83,1)</f>
        <v>91.4</v>
      </c>
      <c r="AK83" s="658"/>
      <c r="AL83" s="3058">
        <f>ROUND(SUM(AD83-AG83)/ABS(AG83),3)</f>
        <v>0.18099999999999999</v>
      </c>
    </row>
    <row r="84" spans="1:39" ht="15.6" thickTop="1">
      <c r="A84" s="223"/>
      <c r="B84" s="2637"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08"/>
      <c r="AK84" s="640"/>
      <c r="AL84" s="648"/>
    </row>
    <row r="85" spans="1:39">
      <c r="B85" s="223"/>
      <c r="Y85" s="672" t="s">
        <v>15</v>
      </c>
      <c r="AI85" s="2008"/>
      <c r="AJ85" s="1983" t="s">
        <v>15</v>
      </c>
      <c r="AK85" s="640"/>
      <c r="AL85" s="684"/>
    </row>
    <row r="134" spans="31:31">
      <c r="AE134" s="1983">
        <v>16739.599999999999</v>
      </c>
    </row>
    <row r="135" spans="31:31">
      <c r="AE135" s="198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57"/>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49"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2" customWidth="1"/>
    <col min="32" max="32" width="2.453125" style="2081" customWidth="1"/>
    <col min="33" max="33" width="10.36328125" style="2082" bestFit="1" customWidth="1"/>
    <col min="34" max="34" width="1.6328125" style="2082" customWidth="1"/>
    <col min="35" max="35" width="14.1796875" style="2081" bestFit="1" customWidth="1"/>
    <col min="36" max="16384" width="8.90625" style="300"/>
  </cols>
  <sheetData>
    <row r="1" spans="1:35" ht="16.5" customHeight="1">
      <c r="A1" s="1124" t="s">
        <v>1066</v>
      </c>
    </row>
    <row r="2" spans="1:35" ht="16.5" customHeight="1">
      <c r="A2" s="427"/>
      <c r="B2" s="427"/>
      <c r="C2" s="427"/>
      <c r="D2" s="427"/>
      <c r="E2" s="427"/>
      <c r="F2" s="427"/>
      <c r="G2" s="427"/>
      <c r="H2" s="427"/>
      <c r="I2" s="427"/>
      <c r="J2" s="427"/>
      <c r="K2" s="427"/>
      <c r="L2" s="427"/>
      <c r="M2" s="427"/>
      <c r="N2" s="3150"/>
      <c r="O2" s="427"/>
      <c r="P2" s="427"/>
      <c r="Q2" s="427"/>
      <c r="R2" s="427"/>
      <c r="S2" s="427"/>
      <c r="T2" s="427"/>
      <c r="U2" s="427"/>
      <c r="V2" s="427"/>
      <c r="W2" s="427"/>
      <c r="X2" s="427"/>
      <c r="Y2" s="427"/>
      <c r="Z2" s="427"/>
      <c r="AA2" s="427"/>
      <c r="AB2" s="427"/>
      <c r="AC2" s="427"/>
      <c r="AD2" s="427"/>
    </row>
    <row r="3" spans="1:35" ht="20.25" customHeight="1">
      <c r="A3" s="424" t="s">
        <v>0</v>
      </c>
      <c r="B3" s="423"/>
      <c r="C3" s="423"/>
      <c r="D3" s="423"/>
      <c r="E3" s="423"/>
      <c r="F3" s="423"/>
      <c r="G3" s="423"/>
      <c r="H3" s="423"/>
      <c r="I3" s="423"/>
      <c r="J3" s="423"/>
      <c r="K3" s="423"/>
      <c r="L3" s="423"/>
      <c r="M3" s="423"/>
      <c r="N3" s="3151"/>
      <c r="O3" s="423"/>
      <c r="P3" s="423"/>
      <c r="Q3" s="423"/>
      <c r="R3" s="423"/>
      <c r="S3" s="423"/>
      <c r="T3" s="423"/>
      <c r="U3" s="423"/>
      <c r="V3" s="423"/>
      <c r="W3" s="423"/>
      <c r="X3" s="423"/>
      <c r="Y3" s="423"/>
      <c r="Z3" s="423"/>
      <c r="AA3" s="423"/>
      <c r="AB3" s="423"/>
      <c r="AC3" s="423"/>
      <c r="AD3" s="423"/>
      <c r="AE3" s="223"/>
      <c r="AI3" s="2131" t="s">
        <v>1176</v>
      </c>
    </row>
    <row r="4" spans="1:35" ht="20.25" customHeight="1">
      <c r="A4" s="424" t="s">
        <v>220</v>
      </c>
      <c r="B4" s="423"/>
      <c r="C4" s="423"/>
      <c r="D4" s="423"/>
      <c r="E4" s="423"/>
      <c r="F4" s="423"/>
      <c r="G4" s="423"/>
      <c r="H4" s="423" t="s">
        <v>15</v>
      </c>
      <c r="I4" s="423"/>
      <c r="J4" s="423"/>
      <c r="K4" s="423"/>
      <c r="L4" s="423"/>
      <c r="M4" s="423"/>
      <c r="N4" s="3151"/>
      <c r="O4" s="423"/>
      <c r="P4" s="423"/>
      <c r="Q4" s="423"/>
      <c r="R4" s="423"/>
      <c r="S4" s="423"/>
      <c r="T4" s="423"/>
      <c r="U4" s="423"/>
      <c r="V4" s="423"/>
      <c r="W4" s="423"/>
      <c r="X4" s="423" t="s">
        <v>15</v>
      </c>
      <c r="Y4" s="423"/>
      <c r="Z4" s="423"/>
      <c r="AA4" s="423"/>
      <c r="AB4" s="423"/>
      <c r="AC4" s="423"/>
      <c r="AD4" s="423"/>
      <c r="AE4" s="223"/>
    </row>
    <row r="5" spans="1:35" ht="20.25" customHeight="1">
      <c r="A5" s="426" t="s">
        <v>126</v>
      </c>
      <c r="B5" s="423"/>
      <c r="C5" s="423"/>
      <c r="D5" s="423"/>
      <c r="E5" s="423"/>
      <c r="F5" s="423"/>
      <c r="G5" s="423"/>
      <c r="H5" s="423"/>
      <c r="I5" s="423"/>
      <c r="J5" s="423"/>
      <c r="K5" s="423"/>
      <c r="L5" s="423"/>
      <c r="M5" s="423"/>
      <c r="N5" s="3151"/>
      <c r="O5" s="423"/>
      <c r="P5" s="423"/>
      <c r="Q5" s="423"/>
      <c r="R5" s="423"/>
      <c r="S5" s="423"/>
      <c r="T5" s="423"/>
      <c r="U5" s="423"/>
      <c r="V5" s="423"/>
      <c r="W5" s="423"/>
      <c r="X5" s="423"/>
      <c r="Y5" s="423"/>
      <c r="Z5" s="423"/>
      <c r="AE5" s="1585"/>
    </row>
    <row r="6" spans="1:35" ht="20.25" customHeight="1">
      <c r="A6" s="426" t="s">
        <v>1437</v>
      </c>
      <c r="B6" s="423"/>
      <c r="C6" s="423"/>
      <c r="D6" s="423"/>
      <c r="E6" s="423"/>
      <c r="F6" s="423"/>
      <c r="G6" s="423"/>
      <c r="H6" s="423"/>
      <c r="I6" s="423"/>
      <c r="J6" s="423"/>
      <c r="K6" s="423"/>
      <c r="L6" s="423"/>
      <c r="M6" s="423"/>
      <c r="N6" s="3151"/>
      <c r="O6" s="423"/>
      <c r="P6" s="423"/>
      <c r="Q6" s="423"/>
      <c r="R6" s="423"/>
      <c r="S6" s="423"/>
      <c r="T6" s="423"/>
      <c r="U6" s="423"/>
      <c r="V6" s="423"/>
      <c r="W6" s="423"/>
      <c r="X6" s="423"/>
      <c r="Y6" s="423"/>
      <c r="Z6" s="423"/>
      <c r="AA6" s="423"/>
      <c r="AB6" s="423"/>
      <c r="AC6" s="423"/>
      <c r="AD6" s="423"/>
      <c r="AE6" s="223"/>
    </row>
    <row r="7" spans="1:35" ht="20.25" customHeight="1">
      <c r="A7" s="424" t="s">
        <v>958</v>
      </c>
      <c r="B7" s="423"/>
      <c r="C7" s="423"/>
      <c r="D7" s="423"/>
      <c r="E7" s="423"/>
      <c r="F7" s="423"/>
      <c r="G7" s="423"/>
      <c r="H7" s="423"/>
      <c r="I7" s="423"/>
      <c r="J7" s="423"/>
      <c r="K7" s="423"/>
      <c r="L7" s="423"/>
      <c r="M7" s="423"/>
      <c r="N7" s="3151"/>
      <c r="O7" s="423"/>
      <c r="P7" s="423"/>
      <c r="Q7" s="423"/>
      <c r="R7" s="423"/>
      <c r="S7" s="423"/>
      <c r="T7" s="423"/>
      <c r="U7" s="423"/>
      <c r="V7" s="423"/>
      <c r="W7" s="423"/>
      <c r="X7" s="423"/>
      <c r="Y7" s="423"/>
      <c r="Z7" s="423"/>
      <c r="AA7" s="423"/>
      <c r="AB7" s="423"/>
      <c r="AC7" s="423"/>
      <c r="AD7" s="423"/>
      <c r="AE7" s="223"/>
    </row>
    <row r="8" spans="1:35" ht="16.5" customHeight="1">
      <c r="A8" s="427"/>
      <c r="B8" s="427"/>
      <c r="C8" s="427"/>
      <c r="D8" s="427"/>
      <c r="E8" s="427"/>
      <c r="F8" s="427"/>
      <c r="G8" s="427"/>
      <c r="H8" s="427"/>
      <c r="I8" s="427"/>
      <c r="J8" s="427"/>
      <c r="K8" s="427"/>
      <c r="L8" s="427"/>
      <c r="M8" s="427"/>
      <c r="N8" s="3150"/>
      <c r="O8" s="427"/>
      <c r="P8" s="427"/>
      <c r="Q8" s="427"/>
      <c r="R8" s="427"/>
      <c r="S8" s="427"/>
      <c r="T8" s="427"/>
      <c r="U8" s="427"/>
      <c r="V8" s="427"/>
      <c r="W8" s="427"/>
      <c r="X8" s="427"/>
      <c r="Y8" s="427"/>
      <c r="Z8" s="427"/>
      <c r="AA8" s="427"/>
      <c r="AB8" s="427"/>
      <c r="AC8" s="427"/>
      <c r="AD8" s="427"/>
      <c r="AE8" s="223"/>
    </row>
    <row r="9" spans="1:35" ht="16.5" customHeight="1">
      <c r="A9" s="427"/>
      <c r="B9" s="427"/>
      <c r="C9" s="427"/>
      <c r="D9" s="427"/>
      <c r="E9" s="427"/>
      <c r="F9" s="427"/>
      <c r="G9" s="427"/>
      <c r="H9" s="427"/>
      <c r="I9" s="427"/>
      <c r="J9" s="427"/>
      <c r="K9" s="427"/>
      <c r="L9" s="427"/>
      <c r="M9" s="427"/>
      <c r="N9" s="3150"/>
      <c r="O9" s="427"/>
      <c r="P9" s="427"/>
      <c r="Q9" s="427"/>
      <c r="R9" s="427"/>
      <c r="S9" s="427"/>
      <c r="T9" s="427"/>
      <c r="U9" s="427"/>
      <c r="V9" s="427"/>
      <c r="W9" s="427"/>
      <c r="X9" s="427"/>
      <c r="Y9" s="427"/>
      <c r="Z9" s="427"/>
      <c r="AA9" s="427"/>
      <c r="AB9" s="427"/>
      <c r="AC9" s="427"/>
      <c r="AD9" s="427"/>
      <c r="AE9" s="408"/>
      <c r="AF9" s="2083"/>
    </row>
    <row r="10" spans="1:35" ht="16.5" customHeight="1">
      <c r="A10" s="427"/>
      <c r="B10" s="427"/>
      <c r="C10" s="427"/>
      <c r="D10" s="427"/>
      <c r="E10" s="427"/>
      <c r="F10" s="427"/>
      <c r="G10" s="427"/>
      <c r="H10" s="427"/>
      <c r="I10" s="427"/>
      <c r="J10" s="427"/>
      <c r="K10" s="427"/>
      <c r="L10" s="427"/>
      <c r="M10" s="427"/>
      <c r="N10" s="3150"/>
      <c r="O10" s="427"/>
      <c r="P10" s="427"/>
      <c r="Q10" s="427"/>
      <c r="R10" s="427"/>
      <c r="S10" s="427"/>
      <c r="T10" s="427"/>
      <c r="U10" s="427"/>
      <c r="V10" s="427"/>
      <c r="W10" s="427"/>
      <c r="X10" s="427"/>
      <c r="Y10" s="427"/>
      <c r="Z10" s="427"/>
      <c r="AA10" s="427"/>
      <c r="AB10" s="427"/>
      <c r="AC10" s="427"/>
      <c r="AD10" s="427"/>
      <c r="AE10" s="300"/>
      <c r="AF10" s="2084"/>
    </row>
    <row r="11" spans="1:35" ht="16.5" customHeight="1">
      <c r="A11" s="427"/>
      <c r="B11" s="427"/>
      <c r="C11" s="427"/>
      <c r="D11" s="427"/>
      <c r="E11" s="427"/>
      <c r="F11" s="427"/>
      <c r="G11" s="427"/>
      <c r="H11" s="427"/>
      <c r="I11" s="427"/>
      <c r="J11" s="427"/>
      <c r="K11" s="427"/>
      <c r="L11" s="427"/>
      <c r="M11" s="427"/>
      <c r="N11" s="3150"/>
      <c r="O11" s="427"/>
      <c r="P11" s="427"/>
      <c r="Q11" s="427"/>
      <c r="R11" s="427"/>
      <c r="S11" s="427"/>
      <c r="T11" s="427"/>
      <c r="U11" s="427"/>
      <c r="V11" s="427"/>
      <c r="W11" s="427"/>
      <c r="X11" s="427"/>
      <c r="Y11" s="427"/>
      <c r="Z11" s="427"/>
      <c r="AB11" s="427"/>
      <c r="AC11" s="427"/>
      <c r="AD11" s="427"/>
      <c r="AE11" s="1821"/>
      <c r="AF11" s="2071"/>
      <c r="AG11" s="2083"/>
      <c r="AH11" s="2083"/>
      <c r="AI11" s="2083"/>
    </row>
    <row r="12" spans="1:35" ht="16.5" customHeight="1">
      <c r="A12" s="423"/>
      <c r="B12" s="432"/>
      <c r="C12" s="432"/>
      <c r="D12" s="432"/>
      <c r="E12" s="432"/>
      <c r="F12" s="432"/>
      <c r="G12" s="432"/>
      <c r="H12" s="432"/>
      <c r="I12" s="432"/>
      <c r="J12" s="432"/>
      <c r="K12" s="432"/>
      <c r="L12" s="432"/>
      <c r="M12" s="432"/>
      <c r="N12" s="3152"/>
      <c r="O12" s="432"/>
      <c r="P12" s="432"/>
      <c r="Q12" s="432"/>
      <c r="R12" s="432"/>
      <c r="S12" s="432"/>
      <c r="T12" s="432"/>
      <c r="U12" s="432"/>
      <c r="V12" s="432"/>
      <c r="W12" s="432"/>
      <c r="X12" s="1430"/>
      <c r="Y12" s="1430"/>
      <c r="Z12" s="432"/>
      <c r="AA12" s="3551" t="s">
        <v>1556</v>
      </c>
      <c r="AB12" s="3551"/>
      <c r="AC12" s="3551"/>
      <c r="AD12" s="3551"/>
      <c r="AE12" s="3551"/>
      <c r="AF12" s="3551"/>
      <c r="AG12" s="3551"/>
      <c r="AH12" s="3551"/>
      <c r="AI12" s="3551"/>
    </row>
    <row r="13" spans="1:35" ht="16.5" customHeight="1">
      <c r="A13" s="423"/>
      <c r="B13" s="1695">
        <v>2017</v>
      </c>
      <c r="C13" s="432"/>
      <c r="D13" s="432"/>
      <c r="E13" s="432"/>
      <c r="F13" s="432"/>
      <c r="G13" s="432"/>
      <c r="H13" s="432"/>
      <c r="I13" s="432"/>
      <c r="J13" s="432"/>
      <c r="K13" s="432"/>
      <c r="L13" s="432"/>
      <c r="M13" s="432"/>
      <c r="N13" s="3152"/>
      <c r="O13" s="432"/>
      <c r="P13" s="432"/>
      <c r="Q13" s="432"/>
      <c r="R13" s="432"/>
      <c r="S13" s="432"/>
      <c r="T13" s="1695">
        <v>2018</v>
      </c>
      <c r="U13" s="432"/>
      <c r="V13" s="432"/>
      <c r="W13" s="432"/>
      <c r="X13" s="432"/>
      <c r="Y13" s="432"/>
      <c r="Z13" s="432"/>
      <c r="AA13" s="961"/>
      <c r="AB13" s="1839"/>
      <c r="AC13" s="1839"/>
      <c r="AD13" s="1839"/>
      <c r="AE13" s="1822"/>
      <c r="AF13" s="2072"/>
      <c r="AG13" s="2085" t="s">
        <v>8</v>
      </c>
      <c r="AH13" s="2085"/>
      <c r="AI13" s="2086" t="s">
        <v>9</v>
      </c>
    </row>
    <row r="14" spans="1:35" ht="16.5" customHeight="1">
      <c r="A14" s="423"/>
      <c r="B14" s="1431" t="s">
        <v>127</v>
      </c>
      <c r="C14" s="432"/>
      <c r="D14" s="1431" t="s">
        <v>128</v>
      </c>
      <c r="E14" s="432"/>
      <c r="F14" s="1431" t="s">
        <v>129</v>
      </c>
      <c r="G14" s="432"/>
      <c r="H14" s="1431" t="s">
        <v>130</v>
      </c>
      <c r="I14" s="432"/>
      <c r="J14" s="1431" t="s">
        <v>131</v>
      </c>
      <c r="K14" s="432"/>
      <c r="L14" s="1431" t="s">
        <v>132</v>
      </c>
      <c r="M14" s="432"/>
      <c r="N14" s="3153" t="s">
        <v>133</v>
      </c>
      <c r="O14" s="432"/>
      <c r="P14" s="1431" t="s">
        <v>134</v>
      </c>
      <c r="Q14" s="432"/>
      <c r="R14" s="1431" t="s">
        <v>135</v>
      </c>
      <c r="S14" s="432"/>
      <c r="T14" s="1431" t="s">
        <v>136</v>
      </c>
      <c r="U14" s="432"/>
      <c r="V14" s="1431" t="s">
        <v>137</v>
      </c>
      <c r="W14" s="432"/>
      <c r="X14" s="1431" t="s">
        <v>138</v>
      </c>
      <c r="Y14" s="432"/>
      <c r="Z14" s="432"/>
      <c r="AA14" s="1695">
        <v>2018</v>
      </c>
      <c r="AB14" s="432" t="s">
        <v>15</v>
      </c>
      <c r="AC14" s="432"/>
      <c r="AD14" s="1695">
        <v>2017</v>
      </c>
      <c r="AE14" s="713"/>
      <c r="AF14" s="2073"/>
      <c r="AG14" s="2087" t="s">
        <v>12</v>
      </c>
      <c r="AH14" s="2088"/>
      <c r="AI14" s="2087" t="s">
        <v>13</v>
      </c>
    </row>
    <row r="15" spans="1:35" ht="4.5" customHeight="1">
      <c r="A15" s="423"/>
      <c r="B15" s="428"/>
      <c r="C15" s="423"/>
      <c r="D15" s="428"/>
      <c r="E15" s="423"/>
      <c r="F15" s="428"/>
      <c r="G15" s="423"/>
      <c r="H15" s="428"/>
      <c r="I15" s="423"/>
      <c r="J15" s="428"/>
      <c r="K15" s="423"/>
      <c r="L15" s="428"/>
      <c r="M15" s="423"/>
      <c r="N15" s="3154" t="s">
        <v>15</v>
      </c>
      <c r="O15" s="423"/>
      <c r="P15" s="428"/>
      <c r="Q15" s="423"/>
      <c r="R15" s="428"/>
      <c r="S15" s="423"/>
      <c r="T15" s="428" t="s">
        <v>15</v>
      </c>
      <c r="U15" s="423"/>
      <c r="V15" s="428"/>
      <c r="W15" s="423"/>
      <c r="X15" s="428"/>
      <c r="Y15" s="423"/>
      <c r="Z15" s="423"/>
      <c r="AA15" s="428"/>
      <c r="AB15" s="423"/>
      <c r="AC15" s="423"/>
      <c r="AD15" s="428"/>
      <c r="AE15" s="713"/>
      <c r="AF15" s="2073"/>
    </row>
    <row r="16" spans="1:35" ht="16.5" customHeight="1">
      <c r="A16" s="429" t="s">
        <v>139</v>
      </c>
      <c r="B16" s="430">
        <v>23.6</v>
      </c>
      <c r="C16" s="430"/>
      <c r="D16" s="430">
        <f>B55</f>
        <v>25.3</v>
      </c>
      <c r="E16" s="685"/>
      <c r="F16" s="430">
        <f>D55</f>
        <v>24.2</v>
      </c>
      <c r="G16" s="685"/>
      <c r="H16" s="430">
        <f>F55</f>
        <v>25.1</v>
      </c>
      <c r="I16" s="685"/>
      <c r="J16" s="430">
        <f>H55</f>
        <v>25.3</v>
      </c>
      <c r="K16" s="685"/>
      <c r="L16" s="430">
        <f>J55</f>
        <v>24.9</v>
      </c>
      <c r="M16" s="685"/>
      <c r="N16" s="3155">
        <f>L55</f>
        <v>25.4</v>
      </c>
      <c r="O16" s="685"/>
      <c r="P16" s="430">
        <f>N55</f>
        <v>23.9</v>
      </c>
      <c r="Q16" s="685"/>
      <c r="R16" s="685">
        <f>P55</f>
        <v>24.4</v>
      </c>
      <c r="S16" s="685"/>
      <c r="T16" s="430">
        <f>R55</f>
        <v>24</v>
      </c>
      <c r="U16" s="685"/>
      <c r="V16" s="430"/>
      <c r="W16" s="685"/>
      <c r="X16" s="430"/>
      <c r="Y16" s="430"/>
      <c r="Z16" s="431"/>
      <c r="AA16" s="430">
        <f>B16</f>
        <v>23.6</v>
      </c>
      <c r="AB16" s="430"/>
      <c r="AC16" s="431"/>
      <c r="AD16" s="430">
        <v>66.099999999999994</v>
      </c>
      <c r="AE16" s="1623"/>
      <c r="AF16" s="2074"/>
      <c r="AG16" s="2089">
        <f>ROUND(SUM(AA16-AD16),1)</f>
        <v>-42.5</v>
      </c>
      <c r="AI16" s="2090">
        <f>ROUND(IF(AG16=0,0,AG16/(AD16)),3)</f>
        <v>-0.64300000000000002</v>
      </c>
    </row>
    <row r="17" spans="1:35" ht="16.5" customHeight="1">
      <c r="A17" s="423"/>
      <c r="B17" s="423" t="s">
        <v>15</v>
      </c>
      <c r="C17" s="423"/>
      <c r="D17" s="433"/>
      <c r="E17" s="433"/>
      <c r="F17" s="433"/>
      <c r="G17" s="433"/>
      <c r="H17" s="433"/>
      <c r="I17" s="433"/>
      <c r="J17" s="433"/>
      <c r="K17" s="433"/>
      <c r="L17" s="433"/>
      <c r="M17" s="433"/>
      <c r="N17" s="3156"/>
      <c r="O17" s="433"/>
      <c r="P17" s="433"/>
      <c r="Q17" s="433"/>
      <c r="R17" s="433"/>
      <c r="S17" s="433"/>
      <c r="T17" s="433"/>
      <c r="U17" s="433"/>
      <c r="V17" s="433"/>
      <c r="W17" s="433"/>
      <c r="X17" s="433"/>
      <c r="Y17" s="423"/>
      <c r="Z17" s="434"/>
      <c r="AA17" s="423" t="s">
        <v>15</v>
      </c>
      <c r="AB17" s="423"/>
      <c r="AC17" s="434"/>
      <c r="AD17" s="423" t="s">
        <v>15</v>
      </c>
      <c r="AE17" s="1625"/>
      <c r="AF17" s="2074"/>
      <c r="AG17" s="2091"/>
      <c r="AI17" s="2082"/>
    </row>
    <row r="18" spans="1:35" ht="16.5" customHeight="1">
      <c r="A18" s="432" t="s">
        <v>14</v>
      </c>
      <c r="B18" s="423"/>
      <c r="C18" s="423"/>
      <c r="D18" s="433"/>
      <c r="E18" s="433"/>
      <c r="F18" s="433"/>
      <c r="G18" s="433"/>
      <c r="H18" s="433"/>
      <c r="I18" s="433"/>
      <c r="J18" s="433"/>
      <c r="K18" s="433"/>
      <c r="L18" s="433"/>
      <c r="M18" s="433"/>
      <c r="N18" s="3156"/>
      <c r="O18" s="433"/>
      <c r="P18" s="433"/>
      <c r="Q18" s="433"/>
      <c r="R18" s="433"/>
      <c r="S18" s="433"/>
      <c r="T18" s="433"/>
      <c r="U18" s="433"/>
      <c r="V18" s="433"/>
      <c r="W18" s="433"/>
      <c r="X18" s="433"/>
      <c r="Y18" s="423"/>
      <c r="Z18" s="434"/>
      <c r="AA18" s="423"/>
      <c r="AB18" s="423"/>
      <c r="AC18" s="434"/>
      <c r="AD18" s="423"/>
      <c r="AE18" s="446"/>
      <c r="AF18" s="2074"/>
      <c r="AG18" s="2091"/>
      <c r="AI18" s="2082"/>
    </row>
    <row r="19" spans="1:35" ht="18.75" customHeight="1">
      <c r="A19" s="423" t="s">
        <v>183</v>
      </c>
      <c r="B19" s="435">
        <v>4.5</v>
      </c>
      <c r="C19" s="435"/>
      <c r="D19" s="440">
        <v>4.8</v>
      </c>
      <c r="E19" s="449"/>
      <c r="F19" s="440">
        <v>4.7</v>
      </c>
      <c r="G19" s="449"/>
      <c r="H19" s="440">
        <v>4.0999999999999996</v>
      </c>
      <c r="I19" s="449"/>
      <c r="J19" s="686">
        <v>7.1</v>
      </c>
      <c r="K19" s="449"/>
      <c r="L19" s="2901">
        <v>5.9000000000000021</v>
      </c>
      <c r="M19" s="449"/>
      <c r="N19" s="2901">
        <v>6.3</v>
      </c>
      <c r="O19" s="449"/>
      <c r="P19" s="439">
        <v>4.3</v>
      </c>
      <c r="Q19" s="449"/>
      <c r="R19" s="440">
        <v>3.5</v>
      </c>
      <c r="S19" s="449"/>
      <c r="T19" s="440">
        <v>4.0999999999999996</v>
      </c>
      <c r="U19" s="449"/>
      <c r="V19" s="439"/>
      <c r="W19" s="449"/>
      <c r="X19" s="439"/>
      <c r="Y19" s="435"/>
      <c r="Z19" s="436"/>
      <c r="AA19" s="2902">
        <f>ROUND(SUM(B19:X19),1)</f>
        <v>49.3</v>
      </c>
      <c r="AB19" s="435"/>
      <c r="AC19" s="436"/>
      <c r="AD19" s="687">
        <v>50.9</v>
      </c>
      <c r="AE19" s="439"/>
      <c r="AF19" s="2074"/>
      <c r="AG19" s="2092">
        <f>ROUND(AA19-AD19,1)</f>
        <v>-1.6</v>
      </c>
      <c r="AH19" s="2093"/>
      <c r="AI19" s="2995">
        <f>ROUND(IF(AD19=0,0,AG19/ABS(AD19)),3)</f>
        <v>-3.1E-2</v>
      </c>
    </row>
    <row r="20" spans="1:35" ht="17.25" customHeight="1">
      <c r="A20" s="429" t="s">
        <v>221</v>
      </c>
      <c r="B20" s="435">
        <v>1.2</v>
      </c>
      <c r="C20" s="435"/>
      <c r="D20" s="440">
        <v>1.3</v>
      </c>
      <c r="E20" s="449"/>
      <c r="F20" s="2901">
        <v>1.1000000000000001</v>
      </c>
      <c r="G20" s="449"/>
      <c r="H20" s="440">
        <v>2.1</v>
      </c>
      <c r="I20" s="449"/>
      <c r="J20" s="440">
        <v>1.3</v>
      </c>
      <c r="K20" s="688"/>
      <c r="L20" s="440">
        <v>1.1000000000000001</v>
      </c>
      <c r="M20" s="449"/>
      <c r="N20" s="2901">
        <v>1.5</v>
      </c>
      <c r="O20" s="449"/>
      <c r="P20" s="439">
        <v>1.7</v>
      </c>
      <c r="Q20" s="449"/>
      <c r="R20" s="2901">
        <v>3.2</v>
      </c>
      <c r="S20" s="449"/>
      <c r="T20" s="440">
        <v>1.5</v>
      </c>
      <c r="U20" s="449"/>
      <c r="V20" s="439"/>
      <c r="W20" s="449"/>
      <c r="X20" s="439"/>
      <c r="Y20" s="435"/>
      <c r="Z20" s="436"/>
      <c r="AA20" s="2902">
        <f>ROUND(SUM(B20:X20),1)</f>
        <v>16</v>
      </c>
      <c r="AB20" s="435"/>
      <c r="AC20" s="436"/>
      <c r="AD20" s="687">
        <v>16.600000000000001</v>
      </c>
      <c r="AE20" s="439"/>
      <c r="AF20" s="2074"/>
      <c r="AG20" s="2092">
        <f>ROUND(AA20-AD20,1)</f>
        <v>-0.6</v>
      </c>
      <c r="AH20" s="2093"/>
      <c r="AI20" s="2884">
        <f>ROUND(IF(AD20=0,0,AG20/ABS(AD20)),3)</f>
        <v>-3.5999999999999997E-2</v>
      </c>
    </row>
    <row r="21" spans="1:35" ht="17.25" customHeight="1">
      <c r="A21" s="451" t="s">
        <v>222</v>
      </c>
      <c r="B21" s="689">
        <v>180.2</v>
      </c>
      <c r="C21" s="435"/>
      <c r="D21" s="689">
        <v>180.10000000000002</v>
      </c>
      <c r="E21" s="449"/>
      <c r="F21" s="3355">
        <v>156.49999999999994</v>
      </c>
      <c r="G21" s="449"/>
      <c r="H21" s="2920">
        <v>188.1</v>
      </c>
      <c r="I21" s="449"/>
      <c r="J21" s="686">
        <v>186</v>
      </c>
      <c r="K21" s="449"/>
      <c r="L21" s="686">
        <v>150.00000000000011</v>
      </c>
      <c r="M21" s="449"/>
      <c r="N21" s="2920">
        <v>164.79999999999995</v>
      </c>
      <c r="O21" s="449"/>
      <c r="P21" s="686">
        <v>156.20000000000005</v>
      </c>
      <c r="Q21" s="449"/>
      <c r="R21" s="2901">
        <v>167.89999999999986</v>
      </c>
      <c r="S21" s="449"/>
      <c r="T21" s="686">
        <f>1784.6-1529.8</f>
        <v>254.79999999999995</v>
      </c>
      <c r="U21" s="449"/>
      <c r="V21" s="690"/>
      <c r="W21" s="449"/>
      <c r="X21" s="439"/>
      <c r="Y21" s="435"/>
      <c r="Z21" s="436"/>
      <c r="AA21" s="2902">
        <f>ROUND(SUM(B21:X21),1)</f>
        <v>1784.6</v>
      </c>
      <c r="AB21" s="435"/>
      <c r="AC21" s="436"/>
      <c r="AD21" s="687">
        <v>1748.4</v>
      </c>
      <c r="AE21" s="441"/>
      <c r="AF21" s="2075"/>
      <c r="AG21" s="2094">
        <f>ROUND(AA21-AD21,1)</f>
        <v>36.200000000000003</v>
      </c>
      <c r="AH21" s="2093"/>
      <c r="AI21" s="2996">
        <f>ROUND(IF(AD21=0,0,AG21/ABS(AD21)),3)</f>
        <v>2.1000000000000001E-2</v>
      </c>
    </row>
    <row r="22" spans="1:35" ht="16.5" customHeight="1">
      <c r="A22" s="423"/>
      <c r="B22" s="691"/>
      <c r="C22" s="435"/>
      <c r="D22" s="692"/>
      <c r="E22" s="449"/>
      <c r="F22" s="692"/>
      <c r="G22" s="449"/>
      <c r="H22" s="692"/>
      <c r="I22" s="449"/>
      <c r="J22" s="692"/>
      <c r="K22" s="449"/>
      <c r="L22" s="692"/>
      <c r="M22" s="449"/>
      <c r="N22" s="3157"/>
      <c r="O22" s="449"/>
      <c r="P22" s="692"/>
      <c r="Q22" s="449"/>
      <c r="R22" s="692"/>
      <c r="S22" s="449"/>
      <c r="T22" s="692"/>
      <c r="U22" s="449"/>
      <c r="V22" s="444"/>
      <c r="W22" s="449"/>
      <c r="X22" s="692"/>
      <c r="Y22" s="435"/>
      <c r="Z22" s="436"/>
      <c r="AA22" s="2903"/>
      <c r="AB22" s="435"/>
      <c r="AC22" s="436"/>
      <c r="AD22" s="691"/>
      <c r="AE22" s="686"/>
      <c r="AF22" s="2075"/>
      <c r="AG22" s="2095"/>
      <c r="AI22" s="2082"/>
    </row>
    <row r="23" spans="1:35"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04">
        <f>ROUND(SUM(N19:N22),1)</f>
        <v>172.6</v>
      </c>
      <c r="O23" s="450"/>
      <c r="P23" s="450">
        <f>ROUND(SUM(P19:P22),1)</f>
        <v>162.19999999999999</v>
      </c>
      <c r="Q23" s="450"/>
      <c r="R23" s="450">
        <f>ROUND(SUM(R19:R22),1)</f>
        <v>174.6</v>
      </c>
      <c r="S23" s="450"/>
      <c r="T23" s="450">
        <f>ROUND(SUM(T19:T22),1)</f>
        <v>260.39999999999998</v>
      </c>
      <c r="U23" s="450"/>
      <c r="V23" s="450">
        <f>ROUND(SUM(V19:V22),1)</f>
        <v>0</v>
      </c>
      <c r="W23" s="450"/>
      <c r="X23" s="450">
        <f>ROUND(SUM(X19:X22),1)</f>
        <v>0</v>
      </c>
      <c r="Y23" s="437"/>
      <c r="Z23" s="438"/>
      <c r="AA23" s="2904">
        <f>ROUND(SUM(AA19:AA22),1)</f>
        <v>1849.9</v>
      </c>
      <c r="AB23" s="693"/>
      <c r="AC23" s="437"/>
      <c r="AD23" s="450">
        <f>ROUND(SUM(AD19:AD22),1)</f>
        <v>1815.9</v>
      </c>
      <c r="AE23" s="441"/>
      <c r="AF23" s="2075"/>
      <c r="AG23" s="2096">
        <f>ROUND(SUM(AG19:AG21),1)</f>
        <v>34</v>
      </c>
      <c r="AH23" s="2097"/>
      <c r="AI23" s="2098">
        <f>ROUND(IF(AG23=0,0,AG23/ABS(AD23)),3)</f>
        <v>1.9E-2</v>
      </c>
    </row>
    <row r="24" spans="1:35" ht="16.5" customHeight="1">
      <c r="A24" s="423"/>
      <c r="B24" s="691"/>
      <c r="C24" s="435"/>
      <c r="D24" s="692"/>
      <c r="E24" s="449"/>
      <c r="F24" s="692"/>
      <c r="G24" s="449"/>
      <c r="H24" s="692"/>
      <c r="I24" s="449"/>
      <c r="J24" s="692"/>
      <c r="K24" s="449"/>
      <c r="L24" s="692"/>
      <c r="M24" s="449"/>
      <c r="N24" s="3157"/>
      <c r="O24" s="449"/>
      <c r="P24" s="692"/>
      <c r="Q24" s="449"/>
      <c r="R24" s="692"/>
      <c r="S24" s="449"/>
      <c r="T24" s="692"/>
      <c r="U24" s="449"/>
      <c r="V24" s="692"/>
      <c r="W24" s="449"/>
      <c r="X24" s="692"/>
      <c r="Y24" s="435"/>
      <c r="Z24" s="436"/>
      <c r="AA24" s="2903"/>
      <c r="AB24" s="435"/>
      <c r="AC24" s="436"/>
      <c r="AD24" s="691"/>
      <c r="AE24" s="1645"/>
      <c r="AF24" s="2075"/>
      <c r="AG24" s="2095"/>
      <c r="AI24" s="2082"/>
    </row>
    <row r="25" spans="1:35" ht="16.5" customHeight="1">
      <c r="A25" s="423"/>
      <c r="B25" s="435"/>
      <c r="C25" s="435"/>
      <c r="D25" s="449"/>
      <c r="E25" s="449"/>
      <c r="F25" s="449"/>
      <c r="G25" s="449"/>
      <c r="H25" s="449"/>
      <c r="I25" s="449"/>
      <c r="J25" s="449"/>
      <c r="K25" s="449"/>
      <c r="L25" s="449"/>
      <c r="M25" s="449"/>
      <c r="N25" s="3158"/>
      <c r="O25" s="449"/>
      <c r="P25" s="449"/>
      <c r="Q25" s="449"/>
      <c r="R25" s="449"/>
      <c r="S25" s="449"/>
      <c r="T25" s="449"/>
      <c r="U25" s="449"/>
      <c r="V25" s="449"/>
      <c r="W25" s="449"/>
      <c r="X25" s="449"/>
      <c r="Y25" s="435"/>
      <c r="Z25" s="436"/>
      <c r="AA25" s="2902"/>
      <c r="AB25" s="435"/>
      <c r="AC25" s="436"/>
      <c r="AD25" s="435"/>
      <c r="AE25" s="1646"/>
      <c r="AF25" s="2075"/>
      <c r="AG25" s="2095"/>
      <c r="AI25" s="2082"/>
    </row>
    <row r="26" spans="1:35" ht="16.5" customHeight="1">
      <c r="A26" s="423"/>
      <c r="B26" s="435"/>
      <c r="C26" s="435"/>
      <c r="D26" s="449"/>
      <c r="E26" s="449"/>
      <c r="F26" s="449"/>
      <c r="G26" s="449"/>
      <c r="H26" s="449"/>
      <c r="I26" s="449"/>
      <c r="J26" s="449"/>
      <c r="K26" s="449"/>
      <c r="L26" s="449"/>
      <c r="M26" s="449"/>
      <c r="N26" s="3158"/>
      <c r="O26" s="449"/>
      <c r="P26" s="449"/>
      <c r="Q26" s="449"/>
      <c r="R26" s="449"/>
      <c r="S26" s="449"/>
      <c r="T26" s="449"/>
      <c r="U26" s="449"/>
      <c r="V26" s="449"/>
      <c r="W26" s="449"/>
      <c r="X26" s="449"/>
      <c r="Y26" s="435"/>
      <c r="Z26" s="436"/>
      <c r="AA26" s="2902"/>
      <c r="AB26" s="435"/>
      <c r="AC26" s="436"/>
      <c r="AD26" s="435"/>
      <c r="AE26" s="446"/>
      <c r="AF26" s="2074"/>
      <c r="AG26" s="2095"/>
      <c r="AI26" s="2099"/>
    </row>
    <row r="27" spans="1:35" ht="16.5" customHeight="1">
      <c r="A27" s="432" t="s">
        <v>23</v>
      </c>
      <c r="B27" s="435"/>
      <c r="C27" s="435"/>
      <c r="D27" s="449"/>
      <c r="E27" s="449"/>
      <c r="F27" s="449"/>
      <c r="G27" s="449"/>
      <c r="H27" s="449"/>
      <c r="I27" s="449"/>
      <c r="J27" s="449"/>
      <c r="K27" s="449"/>
      <c r="L27" s="449"/>
      <c r="M27" s="449"/>
      <c r="N27" s="3158"/>
      <c r="O27" s="449"/>
      <c r="P27" s="449"/>
      <c r="Q27" s="449"/>
      <c r="R27" s="449"/>
      <c r="S27" s="449"/>
      <c r="T27" s="449"/>
      <c r="U27" s="449"/>
      <c r="V27" s="449"/>
      <c r="W27" s="449"/>
      <c r="X27" s="449"/>
      <c r="Y27" s="435"/>
      <c r="Z27" s="436"/>
      <c r="AA27" s="2902"/>
      <c r="AB27" s="435"/>
      <c r="AC27" s="436"/>
      <c r="AD27" s="435"/>
      <c r="AE27" s="439"/>
      <c r="AF27" s="2074"/>
      <c r="AG27" s="2095"/>
      <c r="AH27" s="2100"/>
      <c r="AI27" s="2099"/>
    </row>
    <row r="28" spans="1:35" ht="16.5" customHeight="1">
      <c r="A28" s="423" t="s">
        <v>156</v>
      </c>
      <c r="B28" s="435"/>
      <c r="C28" s="435"/>
      <c r="D28" s="449"/>
      <c r="E28" s="449"/>
      <c r="F28" s="449"/>
      <c r="G28" s="449"/>
      <c r="H28" s="449"/>
      <c r="I28" s="449"/>
      <c r="J28" s="449"/>
      <c r="K28" s="449"/>
      <c r="L28" s="449"/>
      <c r="M28" s="449"/>
      <c r="N28" s="3158"/>
      <c r="O28" s="449"/>
      <c r="P28" s="449"/>
      <c r="Q28" s="449"/>
      <c r="R28" s="449"/>
      <c r="S28" s="449"/>
      <c r="T28" s="449"/>
      <c r="U28" s="449"/>
      <c r="V28" s="449"/>
      <c r="W28" s="449"/>
      <c r="X28" s="449"/>
      <c r="Y28" s="435"/>
      <c r="Z28" s="436"/>
      <c r="AA28" s="2902"/>
      <c r="AB28" s="435"/>
      <c r="AC28" s="436"/>
      <c r="AD28" s="435"/>
      <c r="AE28" s="1635"/>
      <c r="AF28" s="2075"/>
      <c r="AG28" s="2095"/>
      <c r="AI28" s="2099"/>
    </row>
    <row r="29" spans="1:35" ht="16.5" customHeight="1">
      <c r="A29" s="423" t="s">
        <v>223</v>
      </c>
      <c r="B29" s="435">
        <v>0.3</v>
      </c>
      <c r="C29" s="435"/>
      <c r="D29" s="440">
        <v>0.7</v>
      </c>
      <c r="E29" s="449"/>
      <c r="F29" s="2901">
        <v>0.3</v>
      </c>
      <c r="G29" s="449"/>
      <c r="H29" s="440">
        <v>0.4</v>
      </c>
      <c r="I29" s="449"/>
      <c r="J29" s="440">
        <v>0.4</v>
      </c>
      <c r="K29" s="449"/>
      <c r="L29" s="440">
        <v>0.6</v>
      </c>
      <c r="M29" s="449"/>
      <c r="N29" s="2901">
        <v>2.2000000000000002</v>
      </c>
      <c r="O29" s="449"/>
      <c r="P29" s="439">
        <v>-0.4</v>
      </c>
      <c r="Q29" s="449"/>
      <c r="R29" s="440">
        <v>0.3</v>
      </c>
      <c r="S29" s="449"/>
      <c r="T29" s="440">
        <v>0.3</v>
      </c>
      <c r="U29" s="449"/>
      <c r="V29" s="440"/>
      <c r="W29" s="449"/>
      <c r="X29" s="439"/>
      <c r="Y29" s="435"/>
      <c r="Z29" s="436"/>
      <c r="AA29" s="2902">
        <f>ROUND(SUM(B29:X29),1)</f>
        <v>5.0999999999999996</v>
      </c>
      <c r="AB29" s="435"/>
      <c r="AC29" s="436"/>
      <c r="AD29" s="435">
        <v>4.7</v>
      </c>
      <c r="AE29" s="446"/>
      <c r="AF29" s="2076"/>
      <c r="AG29" s="2095">
        <f>ROUND(SUM(AA29-AD29),1)</f>
        <v>0.4</v>
      </c>
      <c r="AI29" s="2101">
        <f>ROUND(IF(AG29=0,0,AG29/ABS(AD29)),3)</f>
        <v>8.5000000000000006E-2</v>
      </c>
    </row>
    <row r="30" spans="1:35" ht="16.5" customHeight="1">
      <c r="A30" s="423" t="s">
        <v>184</v>
      </c>
      <c r="B30" s="435">
        <v>2.4</v>
      </c>
      <c r="C30" s="435"/>
      <c r="D30" s="440">
        <v>4.5</v>
      </c>
      <c r="E30" s="449"/>
      <c r="F30" s="440">
        <v>3.8</v>
      </c>
      <c r="G30" s="449"/>
      <c r="H30" s="2901">
        <v>3.7</v>
      </c>
      <c r="I30" s="449"/>
      <c r="J30" s="440">
        <v>6.6</v>
      </c>
      <c r="K30" s="449"/>
      <c r="L30" s="440">
        <v>4.9000000000000004</v>
      </c>
      <c r="M30" s="449"/>
      <c r="N30" s="2901">
        <v>5.5</v>
      </c>
      <c r="O30" s="449"/>
      <c r="P30" s="439">
        <v>3.8000000000000043</v>
      </c>
      <c r="Q30" s="449"/>
      <c r="R30" s="440">
        <v>3.8</v>
      </c>
      <c r="S30" s="449"/>
      <c r="T30" s="440">
        <v>3.8</v>
      </c>
      <c r="U30" s="449"/>
      <c r="V30" s="439"/>
      <c r="W30" s="449"/>
      <c r="X30" s="439"/>
      <c r="Y30" s="435"/>
      <c r="Z30" s="436"/>
      <c r="AA30" s="2902">
        <f>ROUND(SUM(B30:X30),1)</f>
        <v>42.8</v>
      </c>
      <c r="AB30" s="435"/>
      <c r="AC30" s="436"/>
      <c r="AD30" s="435">
        <v>42.8</v>
      </c>
      <c r="AE30" s="439"/>
      <c r="AF30" s="2076"/>
      <c r="AG30" s="2095">
        <f>ROUND(SUM(AA30-AD30),1)</f>
        <v>0</v>
      </c>
      <c r="AI30" s="2101">
        <f>ROUND(IF(AG30=0,0,AG30/ABS(AD30)),3)</f>
        <v>0</v>
      </c>
    </row>
    <row r="31" spans="1:35" ht="16.5" customHeight="1">
      <c r="A31" s="423" t="s">
        <v>159</v>
      </c>
      <c r="B31" s="441">
        <v>0</v>
      </c>
      <c r="C31" s="435"/>
      <c r="D31" s="441">
        <v>0.3</v>
      </c>
      <c r="E31" s="449"/>
      <c r="F31" s="440">
        <v>0.2</v>
      </c>
      <c r="G31" s="449"/>
      <c r="H31" s="441">
        <v>0</v>
      </c>
      <c r="I31" s="449"/>
      <c r="J31" s="441">
        <v>0.1</v>
      </c>
      <c r="K31" s="449"/>
      <c r="L31" s="439">
        <v>0</v>
      </c>
      <c r="M31" s="449"/>
      <c r="N31" s="2927">
        <v>0.2</v>
      </c>
      <c r="O31" s="449"/>
      <c r="P31" s="439">
        <v>0</v>
      </c>
      <c r="Q31" s="449"/>
      <c r="R31" s="440">
        <v>0</v>
      </c>
      <c r="S31" s="449"/>
      <c r="T31" s="439">
        <v>0</v>
      </c>
      <c r="U31" s="449"/>
      <c r="V31" s="439"/>
      <c r="W31" s="449"/>
      <c r="X31" s="441"/>
      <c r="Y31" s="435"/>
      <c r="Z31" s="436"/>
      <c r="AA31" s="2902">
        <f>ROUND(SUM(B31:X31),1)</f>
        <v>0.8</v>
      </c>
      <c r="AB31" s="435"/>
      <c r="AC31" s="436"/>
      <c r="AD31" s="435">
        <v>0.6</v>
      </c>
      <c r="AE31" s="441"/>
      <c r="AF31" s="2077"/>
      <c r="AG31" s="2095">
        <f>ROUND(SUM(AA31-AD31),1)</f>
        <v>0.2</v>
      </c>
      <c r="AI31" s="2905">
        <f>ROUND(IF(AG31=0,0,AG31/ABS(AD31)),3)</f>
        <v>0.33300000000000002</v>
      </c>
    </row>
    <row r="32" spans="1:35" ht="16.5" customHeight="1">
      <c r="A32" s="451" t="s">
        <v>224</v>
      </c>
      <c r="B32" s="2902">
        <v>181.5</v>
      </c>
      <c r="C32" s="435"/>
      <c r="D32" s="440">
        <v>181.8</v>
      </c>
      <c r="E32" s="449"/>
      <c r="F32" s="440">
        <f>520.4-363.3</f>
        <v>157.09999999999997</v>
      </c>
      <c r="G32" s="449"/>
      <c r="H32" s="440">
        <v>190</v>
      </c>
      <c r="I32" s="449"/>
      <c r="J32" s="440">
        <v>187.7</v>
      </c>
      <c r="K32" s="449"/>
      <c r="L32" s="440">
        <v>150.99999999999989</v>
      </c>
      <c r="M32" s="449"/>
      <c r="N32" s="2901">
        <v>166.20000000000005</v>
      </c>
      <c r="O32" s="449"/>
      <c r="P32" s="439">
        <v>158.29999999999995</v>
      </c>
      <c r="Q32" s="449"/>
      <c r="R32" s="440">
        <v>170.90000000000009</v>
      </c>
      <c r="S32" s="449"/>
      <c r="T32" s="440">
        <v>256.59999999999991</v>
      </c>
      <c r="U32" s="449"/>
      <c r="V32" s="445"/>
      <c r="W32" s="449"/>
      <c r="X32" s="439"/>
      <c r="Y32" s="435"/>
      <c r="Z32" s="436"/>
      <c r="AA32" s="2902">
        <f>ROUND(SUM(B32:X32),1)</f>
        <v>1801.1</v>
      </c>
      <c r="AB32" s="435"/>
      <c r="AC32" s="436"/>
      <c r="AD32" s="687">
        <v>1809.6</v>
      </c>
      <c r="AE32" s="441"/>
      <c r="AF32" s="2076"/>
      <c r="AG32" s="2102">
        <f>ROUND(SUM(AA32-AD32),1)</f>
        <v>-8.5</v>
      </c>
      <c r="AI32" s="2103">
        <f>ROUND(IF(AG32=0,0,AG32/ABS(AD32)),3)</f>
        <v>-5.0000000000000001E-3</v>
      </c>
    </row>
    <row r="33" spans="1:35" ht="16.5" customHeight="1">
      <c r="A33" s="423"/>
      <c r="B33" s="691"/>
      <c r="C33" s="435"/>
      <c r="D33" s="692"/>
      <c r="E33" s="449"/>
      <c r="F33" s="692"/>
      <c r="G33" s="449"/>
      <c r="H33" s="692"/>
      <c r="I33" s="449"/>
      <c r="J33" s="692"/>
      <c r="K33" s="449"/>
      <c r="L33" s="694"/>
      <c r="M33" s="449"/>
      <c r="N33" s="3157"/>
      <c r="O33" s="449"/>
      <c r="P33" s="692"/>
      <c r="Q33" s="449"/>
      <c r="R33" s="692"/>
      <c r="S33" s="449"/>
      <c r="T33" s="692"/>
      <c r="U33" s="449"/>
      <c r="V33" s="444"/>
      <c r="W33" s="449"/>
      <c r="X33" s="692"/>
      <c r="Y33" s="435"/>
      <c r="Z33" s="436"/>
      <c r="AA33" s="2903"/>
      <c r="AB33" s="435"/>
      <c r="AC33" s="436"/>
      <c r="AD33" s="691"/>
      <c r="AE33" s="1651"/>
      <c r="AF33" s="2077"/>
      <c r="AG33" s="2095"/>
      <c r="AH33" s="2104"/>
      <c r="AI33" s="2099"/>
    </row>
    <row r="34" spans="1:35" ht="16.5" customHeight="1">
      <c r="A34" s="432" t="s">
        <v>160</v>
      </c>
      <c r="B34" s="450">
        <f>ROUND(SUM(B29:B33),1)</f>
        <v>184.2</v>
      </c>
      <c r="C34" s="437"/>
      <c r="D34" s="450">
        <f>ROUND(SUM(D29:D33),1)</f>
        <v>187.3</v>
      </c>
      <c r="E34" s="450"/>
      <c r="F34" s="450">
        <f>ROUND(SUM(F29:F33),1)</f>
        <v>161.4</v>
      </c>
      <c r="G34" s="450"/>
      <c r="H34" s="450">
        <f>ROUND(SUM(H29:H33),1)</f>
        <v>194.1</v>
      </c>
      <c r="I34" s="450"/>
      <c r="J34" s="1680">
        <f>ROUND(SUM(J29:J33),1)</f>
        <v>194.8</v>
      </c>
      <c r="K34" s="695"/>
      <c r="L34" s="450">
        <f>ROUND(SUM(L29:L33),1)</f>
        <v>156.5</v>
      </c>
      <c r="M34" s="450"/>
      <c r="N34" s="2904">
        <f>ROUND(SUM(N29:N33),1)</f>
        <v>174.1</v>
      </c>
      <c r="O34" s="450"/>
      <c r="P34" s="450">
        <f>ROUND(SUM(P29:P33),1)</f>
        <v>161.69999999999999</v>
      </c>
      <c r="Q34" s="450"/>
      <c r="R34" s="450">
        <f>ROUND(SUM(R29:R33),1)</f>
        <v>175</v>
      </c>
      <c r="S34" s="450"/>
      <c r="T34" s="450">
        <f>ROUND(SUM(T29:T33),1)</f>
        <v>260.7</v>
      </c>
      <c r="U34" s="450"/>
      <c r="V34" s="450">
        <f>ROUND(SUM(V29:V33),1)</f>
        <v>0</v>
      </c>
      <c r="W34" s="450"/>
      <c r="X34" s="450">
        <f>ROUND(SUM(X29:X33),1)</f>
        <v>0</v>
      </c>
      <c r="Y34" s="437"/>
      <c r="Z34" s="438"/>
      <c r="AA34" s="2904">
        <f>ROUND(SUM(AA29:AA33),1)</f>
        <v>1849.8</v>
      </c>
      <c r="AB34" s="693"/>
      <c r="AC34" s="437"/>
      <c r="AD34" s="450">
        <f>ROUND(SUM(AD29:AD33),1)</f>
        <v>1857.7</v>
      </c>
      <c r="AE34" s="446"/>
      <c r="AF34" s="2074"/>
      <c r="AG34" s="2096">
        <f>ROUND(SUM(AG29:AG32),1)</f>
        <v>-7.9</v>
      </c>
      <c r="AH34" s="2097"/>
      <c r="AI34" s="2098">
        <f>ROUND(IF(AG34=0,0,AG34/ABS(AD34)),3)</f>
        <v>-4.0000000000000001E-3</v>
      </c>
    </row>
    <row r="35" spans="1:35" ht="16.5" customHeight="1">
      <c r="A35" s="423"/>
      <c r="B35" s="691"/>
      <c r="C35" s="435"/>
      <c r="D35" s="692"/>
      <c r="E35" s="449"/>
      <c r="F35" s="692"/>
      <c r="G35" s="449"/>
      <c r="H35" s="692"/>
      <c r="I35" s="449"/>
      <c r="J35" s="444"/>
      <c r="K35" s="449"/>
      <c r="L35" s="692"/>
      <c r="M35" s="449"/>
      <c r="N35" s="3157"/>
      <c r="O35" s="449"/>
      <c r="P35" s="692"/>
      <c r="Q35" s="449"/>
      <c r="R35" s="692"/>
      <c r="S35" s="449"/>
      <c r="T35" s="692"/>
      <c r="U35" s="449"/>
      <c r="V35" s="692"/>
      <c r="W35" s="449"/>
      <c r="X35" s="692"/>
      <c r="Y35" s="435"/>
      <c r="Z35" s="436"/>
      <c r="AA35" s="691"/>
      <c r="AB35" s="443"/>
      <c r="AC35" s="436"/>
      <c r="AD35" s="691"/>
      <c r="AE35" s="439"/>
      <c r="AF35" s="2074"/>
      <c r="AG35" s="2095"/>
      <c r="AI35" s="2082"/>
    </row>
    <row r="36" spans="1:35" ht="16.5" customHeight="1">
      <c r="A36" s="423"/>
      <c r="B36" s="435"/>
      <c r="C36" s="435"/>
      <c r="D36" s="449"/>
      <c r="E36" s="449"/>
      <c r="F36" s="449"/>
      <c r="G36" s="449"/>
      <c r="H36" s="449"/>
      <c r="I36" s="449"/>
      <c r="J36" s="449"/>
      <c r="K36" s="449"/>
      <c r="L36" s="449"/>
      <c r="M36" s="449"/>
      <c r="N36" s="3158"/>
      <c r="O36" s="449"/>
      <c r="P36" s="449"/>
      <c r="Q36" s="449"/>
      <c r="R36" s="449"/>
      <c r="S36" s="449"/>
      <c r="T36" s="449"/>
      <c r="U36" s="449"/>
      <c r="V36" s="449"/>
      <c r="W36" s="449"/>
      <c r="X36" s="449"/>
      <c r="Y36" s="435"/>
      <c r="Z36" s="436"/>
      <c r="AA36" s="435"/>
      <c r="AB36" s="443"/>
      <c r="AC36" s="436"/>
      <c r="AD36" s="435"/>
      <c r="AE36" s="727"/>
      <c r="AF36" s="2078"/>
      <c r="AG36" s="2095"/>
      <c r="AH36" s="2100"/>
      <c r="AI36" s="2099"/>
    </row>
    <row r="37" spans="1:35" ht="16.5" customHeight="1">
      <c r="A37" s="423"/>
      <c r="B37" s="435"/>
      <c r="C37" s="435"/>
      <c r="D37" s="449"/>
      <c r="E37" s="449"/>
      <c r="F37" s="449"/>
      <c r="G37" s="449"/>
      <c r="H37" s="449"/>
      <c r="I37" s="449"/>
      <c r="J37" s="449"/>
      <c r="K37" s="449"/>
      <c r="L37" s="449"/>
      <c r="M37" s="449"/>
      <c r="N37" s="3158"/>
      <c r="O37" s="449"/>
      <c r="P37" s="449"/>
      <c r="Q37" s="449"/>
      <c r="R37" s="449"/>
      <c r="S37" s="449"/>
      <c r="T37" s="449"/>
      <c r="U37" s="449"/>
      <c r="V37" s="449"/>
      <c r="W37" s="449"/>
      <c r="X37" s="449"/>
      <c r="Y37" s="435"/>
      <c r="Z37" s="436"/>
      <c r="AA37" s="435"/>
      <c r="AB37" s="443"/>
      <c r="AC37" s="436"/>
      <c r="AD37" s="435"/>
      <c r="AE37" s="1635"/>
      <c r="AF37" s="2079"/>
      <c r="AG37" s="2095"/>
      <c r="AH37" s="2100"/>
      <c r="AI37" s="2099"/>
    </row>
    <row r="38" spans="1:35" ht="16.5" customHeight="1">
      <c r="A38" s="432" t="s">
        <v>161</v>
      </c>
      <c r="B38" s="435"/>
      <c r="C38" s="435"/>
      <c r="D38" s="449"/>
      <c r="E38" s="449"/>
      <c r="F38" s="449"/>
      <c r="G38" s="449"/>
      <c r="H38" s="449"/>
      <c r="I38" s="449"/>
      <c r="J38" s="449"/>
      <c r="K38" s="449"/>
      <c r="L38" s="449"/>
      <c r="M38" s="449"/>
      <c r="N38" s="3158"/>
      <c r="O38" s="449"/>
      <c r="P38" s="449"/>
      <c r="Q38" s="449"/>
      <c r="R38" s="449"/>
      <c r="S38" s="449"/>
      <c r="T38" s="449"/>
      <c r="U38" s="449"/>
      <c r="V38" s="449"/>
      <c r="W38" s="449"/>
      <c r="X38" s="449"/>
      <c r="Y38" s="435"/>
      <c r="Z38" s="436"/>
      <c r="AA38" s="435"/>
      <c r="AB38" s="443"/>
      <c r="AC38" s="436"/>
      <c r="AD38" s="435"/>
      <c r="AE38" s="712"/>
      <c r="AF38" s="2080"/>
      <c r="AG38" s="2095"/>
      <c r="AH38" s="2100"/>
      <c r="AI38" s="2099"/>
    </row>
    <row r="39" spans="1:35"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04">
        <f>ROUND(N23-N34,1)</f>
        <v>-1.5</v>
      </c>
      <c r="O39" s="450"/>
      <c r="P39" s="450">
        <f>ROUND(P23-P34,1)</f>
        <v>0.5</v>
      </c>
      <c r="Q39" s="450"/>
      <c r="R39" s="450">
        <f>ROUND(R23-R34,1)</f>
        <v>-0.4</v>
      </c>
      <c r="S39" s="450"/>
      <c r="T39" s="450">
        <f>ROUND(T23-T34,1)</f>
        <v>-0.3</v>
      </c>
      <c r="U39" s="450"/>
      <c r="V39" s="450">
        <f>ROUND(V23-V34,1)</f>
        <v>0</v>
      </c>
      <c r="W39" s="450"/>
      <c r="X39" s="450">
        <f>ROUND(X23-X34,1)</f>
        <v>0</v>
      </c>
      <c r="Y39" s="437"/>
      <c r="Z39" s="438"/>
      <c r="AA39" s="450">
        <f>ROUND(AA23-AA34,1)</f>
        <v>0.1</v>
      </c>
      <c r="AB39" s="693"/>
      <c r="AC39" s="437"/>
      <c r="AD39" s="450">
        <f>ROUND(AD23-AD34,1)</f>
        <v>-41.8</v>
      </c>
      <c r="AE39" s="1642"/>
      <c r="AF39" s="2078"/>
      <c r="AG39" s="2096">
        <f>ROUND(SUM(AG23-AG34),1)</f>
        <v>41.9</v>
      </c>
      <c r="AH39" s="2097"/>
      <c r="AI39" s="2098">
        <f>ROUND(IF(AG39=0,0,AG39/ABS(AD39)),3)</f>
        <v>1.002</v>
      </c>
    </row>
    <row r="40" spans="1:35" ht="16.5" customHeight="1">
      <c r="A40" s="423"/>
      <c r="B40" s="691"/>
      <c r="C40" s="435"/>
      <c r="D40" s="692"/>
      <c r="E40" s="449"/>
      <c r="F40" s="692"/>
      <c r="G40" s="449"/>
      <c r="H40" s="692"/>
      <c r="I40" s="449"/>
      <c r="J40" s="692"/>
      <c r="K40" s="449"/>
      <c r="L40" s="692"/>
      <c r="M40" s="449"/>
      <c r="N40" s="3157"/>
      <c r="O40" s="449"/>
      <c r="P40" s="692"/>
      <c r="Q40" s="449"/>
      <c r="R40" s="692"/>
      <c r="S40" s="449"/>
      <c r="T40" s="692"/>
      <c r="U40" s="449"/>
      <c r="V40" s="692"/>
      <c r="W40" s="449"/>
      <c r="X40" s="692"/>
      <c r="Y40" s="435"/>
      <c r="Z40" s="436"/>
      <c r="AA40" s="691"/>
      <c r="AB40" s="443"/>
      <c r="AC40" s="436"/>
      <c r="AD40" s="691"/>
      <c r="AE40" s="252"/>
      <c r="AF40" s="2078"/>
      <c r="AG40" s="2095"/>
      <c r="AI40" s="2082"/>
    </row>
    <row r="41" spans="1:35" ht="16.5" customHeight="1">
      <c r="A41" s="423"/>
      <c r="B41" s="435"/>
      <c r="C41" s="435"/>
      <c r="D41" s="449"/>
      <c r="E41" s="449"/>
      <c r="F41" s="449"/>
      <c r="G41" s="449"/>
      <c r="H41" s="449"/>
      <c r="I41" s="449"/>
      <c r="J41" s="449"/>
      <c r="K41" s="449"/>
      <c r="L41" s="449"/>
      <c r="M41" s="449"/>
      <c r="N41" s="3158"/>
      <c r="O41" s="449"/>
      <c r="P41" s="449"/>
      <c r="Q41" s="449"/>
      <c r="R41" s="449"/>
      <c r="S41" s="449"/>
      <c r="T41" s="449"/>
      <c r="U41" s="449"/>
      <c r="V41" s="449"/>
      <c r="W41" s="449"/>
      <c r="X41" s="449"/>
      <c r="Y41" s="435"/>
      <c r="Z41" s="436"/>
      <c r="AA41" s="435"/>
      <c r="AB41" s="435"/>
      <c r="AC41" s="436"/>
      <c r="AD41" s="435"/>
      <c r="AE41" s="365"/>
      <c r="AF41" s="2078"/>
      <c r="AG41" s="2095"/>
      <c r="AI41" s="2082"/>
    </row>
    <row r="42" spans="1:35" ht="16.5" customHeight="1">
      <c r="A42" s="423"/>
      <c r="B42" s="435"/>
      <c r="C42" s="435"/>
      <c r="D42" s="449"/>
      <c r="E42" s="449"/>
      <c r="F42" s="449"/>
      <c r="G42" s="449"/>
      <c r="H42" s="449"/>
      <c r="I42" s="449"/>
      <c r="J42" s="449"/>
      <c r="K42" s="449"/>
      <c r="L42" s="449"/>
      <c r="M42" s="449"/>
      <c r="N42" s="3158"/>
      <c r="O42" s="449"/>
      <c r="P42" s="449"/>
      <c r="Q42" s="449"/>
      <c r="R42" s="449"/>
      <c r="S42" s="449"/>
      <c r="T42" s="449"/>
      <c r="U42" s="449"/>
      <c r="V42" s="449"/>
      <c r="W42" s="449"/>
      <c r="X42" s="449"/>
      <c r="Y42" s="435"/>
      <c r="Z42" s="436"/>
      <c r="AA42" s="435"/>
      <c r="AB42" s="435"/>
      <c r="AC42" s="436"/>
      <c r="AD42" s="435"/>
      <c r="AF42" s="2075"/>
      <c r="AG42" s="2095"/>
      <c r="AI42" s="2099"/>
    </row>
    <row r="43" spans="1:35" ht="16.5" customHeight="1">
      <c r="A43" s="432" t="s">
        <v>46</v>
      </c>
      <c r="B43" s="435"/>
      <c r="C43" s="435"/>
      <c r="D43" s="449"/>
      <c r="E43" s="449"/>
      <c r="F43" s="449"/>
      <c r="G43" s="449"/>
      <c r="H43" s="449"/>
      <c r="I43" s="449"/>
      <c r="J43" s="696"/>
      <c r="K43" s="449"/>
      <c r="L43" s="449"/>
      <c r="M43" s="449"/>
      <c r="N43" s="3158"/>
      <c r="O43" s="449"/>
      <c r="P43" s="439"/>
      <c r="Q43" s="449"/>
      <c r="R43" s="449"/>
      <c r="S43" s="449"/>
      <c r="T43" s="449"/>
      <c r="U43" s="449"/>
      <c r="V43" s="449"/>
      <c r="W43" s="449"/>
      <c r="X43" s="449"/>
      <c r="Y43" s="435"/>
      <c r="Z43" s="436"/>
      <c r="AA43" s="435"/>
      <c r="AB43" s="435"/>
      <c r="AC43" s="436"/>
      <c r="AD43" s="435"/>
      <c r="AE43" s="365"/>
      <c r="AF43" s="2078"/>
      <c r="AG43" s="2105"/>
      <c r="AH43" s="2106"/>
      <c r="AI43" s="2099"/>
    </row>
    <row r="44" spans="1:35" ht="16.5" customHeight="1">
      <c r="A44" s="423" t="s">
        <v>186</v>
      </c>
      <c r="B44" s="447">
        <v>0</v>
      </c>
      <c r="C44" s="435"/>
      <c r="D44" s="447">
        <v>0</v>
      </c>
      <c r="E44" s="449"/>
      <c r="F44" s="447">
        <v>0</v>
      </c>
      <c r="G44" s="440"/>
      <c r="H44" s="447">
        <v>0</v>
      </c>
      <c r="I44" s="449"/>
      <c r="J44" s="447">
        <v>0</v>
      </c>
      <c r="K44" s="449"/>
      <c r="L44" s="447">
        <v>0</v>
      </c>
      <c r="M44" s="449"/>
      <c r="N44" s="3159">
        <v>0</v>
      </c>
      <c r="O44" s="449"/>
      <c r="P44" s="447">
        <v>0</v>
      </c>
      <c r="Q44" s="449"/>
      <c r="R44" s="447">
        <v>0</v>
      </c>
      <c r="S44" s="449"/>
      <c r="T44" s="447">
        <v>0</v>
      </c>
      <c r="U44" s="449"/>
      <c r="V44" s="447"/>
      <c r="W44" s="449"/>
      <c r="X44" s="447"/>
      <c r="Y44" s="435"/>
      <c r="Z44" s="436"/>
      <c r="AA44" s="435">
        <f>ROUND(SUM(B44:X44),1)</f>
        <v>0</v>
      </c>
      <c r="AB44" s="435"/>
      <c r="AC44" s="436"/>
      <c r="AD44" s="448">
        <v>0</v>
      </c>
      <c r="AE44" s="365"/>
      <c r="AF44" s="2078"/>
      <c r="AG44" s="2095">
        <f>ROUND(SUM(AA44-AD44),1)</f>
        <v>0</v>
      </c>
      <c r="AI44" s="2545">
        <f>ROUND(IF(AG44=0,0,AG44/ABS(AD44)),3)</f>
        <v>0</v>
      </c>
    </row>
    <row r="45" spans="1:35" ht="16.5" customHeight="1">
      <c r="A45" s="423" t="s">
        <v>187</v>
      </c>
      <c r="B45" s="447">
        <v>0</v>
      </c>
      <c r="C45" s="435"/>
      <c r="D45" s="447">
        <v>0</v>
      </c>
      <c r="E45" s="449"/>
      <c r="F45" s="447">
        <v>0</v>
      </c>
      <c r="G45" s="440"/>
      <c r="H45" s="447">
        <v>0</v>
      </c>
      <c r="I45" s="449"/>
      <c r="J45" s="447">
        <v>0</v>
      </c>
      <c r="K45" s="449"/>
      <c r="L45" s="447">
        <v>0</v>
      </c>
      <c r="M45" s="449"/>
      <c r="N45" s="3159">
        <v>0</v>
      </c>
      <c r="O45" s="449"/>
      <c r="P45" s="447">
        <v>0</v>
      </c>
      <c r="Q45" s="449"/>
      <c r="R45" s="447">
        <v>0</v>
      </c>
      <c r="S45" s="449"/>
      <c r="T45" s="447">
        <v>0</v>
      </c>
      <c r="U45" s="449"/>
      <c r="V45" s="447"/>
      <c r="W45" s="449"/>
      <c r="X45" s="447"/>
      <c r="Y45" s="435"/>
      <c r="Z45" s="436"/>
      <c r="AA45" s="435">
        <f>ROUND(SUM(B45:X45),1)</f>
        <v>0</v>
      </c>
      <c r="AB45" s="435"/>
      <c r="AC45" s="436"/>
      <c r="AD45" s="448">
        <v>0</v>
      </c>
      <c r="AE45" s="365"/>
      <c r="AF45" s="2078"/>
      <c r="AG45" s="2547">
        <f>-ROUND(SUM(AA45-AD45),1)</f>
        <v>0</v>
      </c>
      <c r="AI45" s="2797">
        <f>ROUND(IF(AG45=0,0,AG45/ABS(AD45)),3)</f>
        <v>0</v>
      </c>
    </row>
    <row r="46" spans="1:35" ht="16.5" customHeight="1">
      <c r="A46" s="423"/>
      <c r="B46" s="691"/>
      <c r="C46" s="435"/>
      <c r="D46" s="691"/>
      <c r="E46" s="449"/>
      <c r="F46" s="691"/>
      <c r="G46" s="449"/>
      <c r="H46" s="691"/>
      <c r="I46" s="449"/>
      <c r="J46" s="691"/>
      <c r="K46" s="449"/>
      <c r="L46" s="691"/>
      <c r="M46" s="449"/>
      <c r="N46" s="2903"/>
      <c r="O46" s="449"/>
      <c r="P46" s="691"/>
      <c r="Q46" s="449"/>
      <c r="R46" s="691"/>
      <c r="S46" s="449"/>
      <c r="T46" s="692"/>
      <c r="U46" s="449"/>
      <c r="V46" s="692"/>
      <c r="W46" s="449"/>
      <c r="X46" s="692"/>
      <c r="Y46" s="435"/>
      <c r="Z46" s="436"/>
      <c r="AA46" s="691"/>
      <c r="AB46" s="435"/>
      <c r="AC46" s="436"/>
      <c r="AD46" s="691"/>
      <c r="AE46" s="365"/>
      <c r="AF46" s="2078"/>
      <c r="AG46" s="2091"/>
      <c r="AI46" s="2621"/>
    </row>
    <row r="47" spans="1:35" ht="16.5" customHeight="1">
      <c r="A47" s="432" t="s">
        <v>213</v>
      </c>
      <c r="B47" s="697">
        <f>ROUND(SUM(B44:B46),1)</f>
        <v>0</v>
      </c>
      <c r="C47" s="437"/>
      <c r="D47" s="697">
        <f>ROUND(SUM(D44:D46),1)</f>
        <v>0</v>
      </c>
      <c r="E47" s="450"/>
      <c r="F47" s="697">
        <f>ROUND(SUM(F44:F46),1)</f>
        <v>0</v>
      </c>
      <c r="G47" s="450"/>
      <c r="H47" s="697">
        <f>ROUND(SUM(H44:H46),1)</f>
        <v>0</v>
      </c>
      <c r="I47" s="450"/>
      <c r="J47" s="697">
        <f>ROUND(SUM(J44:J46),1)</f>
        <v>0</v>
      </c>
      <c r="K47" s="450"/>
      <c r="L47" s="697">
        <f>ROUND(SUM(L44:L46),1)</f>
        <v>0</v>
      </c>
      <c r="M47" s="450"/>
      <c r="N47" s="3160">
        <f>ROUND(SUM(N44:N46),1)</f>
        <v>0</v>
      </c>
      <c r="O47" s="450"/>
      <c r="P47" s="697">
        <f>ROUND(SUM(P44:P46),1)</f>
        <v>0</v>
      </c>
      <c r="Q47" s="450"/>
      <c r="R47" s="697">
        <f>ROUND(SUM(R44:R46),1)</f>
        <v>0</v>
      </c>
      <c r="S47" s="450"/>
      <c r="T47" s="697">
        <f>ROUND(SUM(T44:T46),1)</f>
        <v>0</v>
      </c>
      <c r="U47" s="450"/>
      <c r="V47" s="697">
        <f>ROUND(SUM(V44:V46),1)</f>
        <v>0</v>
      </c>
      <c r="W47" s="450"/>
      <c r="X47" s="697">
        <f>ROUND(SUM(X44:X46),1)</f>
        <v>0</v>
      </c>
      <c r="Y47" s="437"/>
      <c r="Z47" s="438"/>
      <c r="AA47" s="2546">
        <f>ROUND(SUM(AA44+AA45),1)</f>
        <v>0</v>
      </c>
      <c r="AB47" s="693"/>
      <c r="AC47" s="437"/>
      <c r="AD47" s="2546">
        <f>ROUND(SUM(AD44+AD45),1)</f>
        <v>0</v>
      </c>
      <c r="AE47" s="223"/>
      <c r="AF47" s="2075"/>
      <c r="AG47" s="2096">
        <f>ROUND(SUM(AG44:AG45),1)</f>
        <v>0</v>
      </c>
      <c r="AH47" s="2107"/>
      <c r="AI47" s="2098">
        <f>ROUND(IF(AG47=0,0,AG47/ABS(AD47)),3)</f>
        <v>0</v>
      </c>
    </row>
    <row r="48" spans="1:35" ht="16.5" customHeight="1">
      <c r="A48" s="423"/>
      <c r="B48" s="691"/>
      <c r="C48" s="435"/>
      <c r="D48" s="692"/>
      <c r="E48" s="449"/>
      <c r="F48" s="692"/>
      <c r="G48" s="449"/>
      <c r="H48" s="692"/>
      <c r="I48" s="449"/>
      <c r="J48" s="692"/>
      <c r="K48" s="449"/>
      <c r="L48" s="692"/>
      <c r="M48" s="449"/>
      <c r="N48" s="3157"/>
      <c r="O48" s="449"/>
      <c r="P48" s="692"/>
      <c r="Q48" s="449"/>
      <c r="R48" s="692"/>
      <c r="S48" s="449"/>
      <c r="T48" s="692"/>
      <c r="U48" s="449"/>
      <c r="V48" s="692"/>
      <c r="W48" s="449"/>
      <c r="X48" s="692"/>
      <c r="Y48" s="435"/>
      <c r="Z48" s="436"/>
      <c r="AA48" s="691"/>
      <c r="AB48" s="435"/>
      <c r="AC48" s="436"/>
      <c r="AD48" s="691"/>
      <c r="AF48" s="2075"/>
      <c r="AG48" s="2091"/>
    </row>
    <row r="49" spans="1:35" ht="16.5" customHeight="1">
      <c r="A49" s="423"/>
      <c r="B49" s="435"/>
      <c r="C49" s="435"/>
      <c r="D49" s="449"/>
      <c r="E49" s="449"/>
      <c r="F49" s="449"/>
      <c r="G49" s="449"/>
      <c r="H49" s="449"/>
      <c r="I49" s="449"/>
      <c r="J49" s="449"/>
      <c r="K49" s="449"/>
      <c r="L49" s="449"/>
      <c r="M49" s="449"/>
      <c r="N49" s="3158"/>
      <c r="O49" s="449"/>
      <c r="P49" s="449"/>
      <c r="Q49" s="449"/>
      <c r="R49" s="449"/>
      <c r="S49" s="449"/>
      <c r="T49" s="449"/>
      <c r="U49" s="449"/>
      <c r="V49" s="449"/>
      <c r="W49" s="449"/>
      <c r="X49" s="449"/>
      <c r="Y49" s="435"/>
      <c r="Z49" s="436"/>
      <c r="AA49" s="435"/>
      <c r="AB49" s="435"/>
      <c r="AC49" s="436"/>
      <c r="AD49" s="435"/>
      <c r="AF49" s="2075"/>
      <c r="AG49" s="2091"/>
    </row>
    <row r="50" spans="1:35" ht="16.5" customHeight="1">
      <c r="A50" s="423"/>
      <c r="B50" s="435"/>
      <c r="C50" s="435"/>
      <c r="D50" s="449"/>
      <c r="E50" s="449"/>
      <c r="F50" s="449"/>
      <c r="G50" s="449"/>
      <c r="H50" s="449"/>
      <c r="I50" s="449"/>
      <c r="J50" s="449"/>
      <c r="K50" s="449"/>
      <c r="L50" s="449"/>
      <c r="M50" s="449"/>
      <c r="N50" s="3158"/>
      <c r="O50" s="449"/>
      <c r="P50" s="449"/>
      <c r="Q50" s="449"/>
      <c r="R50" s="449"/>
      <c r="S50" s="449"/>
      <c r="T50" s="449"/>
      <c r="U50" s="449"/>
      <c r="V50" s="449"/>
      <c r="W50" s="449"/>
      <c r="X50" s="449"/>
      <c r="Y50" s="435"/>
      <c r="Z50" s="436"/>
      <c r="AA50" s="435"/>
      <c r="AB50" s="435"/>
      <c r="AC50" s="436"/>
      <c r="AD50" s="435"/>
      <c r="AF50" s="2075"/>
    </row>
    <row r="51" spans="1:35" ht="16.5" customHeight="1">
      <c r="A51" s="432" t="s">
        <v>170</v>
      </c>
      <c r="B51" s="435"/>
      <c r="C51" s="435"/>
      <c r="D51" s="449"/>
      <c r="E51" s="449"/>
      <c r="F51" s="449"/>
      <c r="G51" s="449"/>
      <c r="H51" s="449"/>
      <c r="I51" s="449"/>
      <c r="J51" s="449"/>
      <c r="K51" s="449"/>
      <c r="L51" s="449"/>
      <c r="M51" s="449"/>
      <c r="N51" s="3158"/>
      <c r="O51" s="449"/>
      <c r="P51" s="449"/>
      <c r="Q51" s="449"/>
      <c r="R51" s="449"/>
      <c r="S51" s="449"/>
      <c r="T51" s="449"/>
      <c r="U51" s="449"/>
      <c r="V51" s="449"/>
      <c r="W51" s="449"/>
      <c r="X51" s="449"/>
      <c r="Y51" s="435"/>
      <c r="Z51" s="436"/>
      <c r="AA51" s="435"/>
      <c r="AB51" s="435"/>
      <c r="AC51" s="436"/>
      <c r="AD51" s="435"/>
      <c r="AF51" s="2075"/>
    </row>
    <row r="52" spans="1:35" ht="16.5" customHeight="1">
      <c r="A52" s="432" t="s">
        <v>231</v>
      </c>
      <c r="B52" s="435"/>
      <c r="C52" s="435"/>
      <c r="D52" s="449"/>
      <c r="E52" s="449"/>
      <c r="F52" s="449"/>
      <c r="G52" s="449"/>
      <c r="H52" s="449"/>
      <c r="I52" s="449"/>
      <c r="J52" s="698"/>
      <c r="K52" s="449"/>
      <c r="L52" s="449"/>
      <c r="M52" s="449"/>
      <c r="N52" s="3158"/>
      <c r="O52" s="449"/>
      <c r="P52" s="449"/>
      <c r="Q52" s="449"/>
      <c r="R52" s="449"/>
      <c r="S52" s="449"/>
      <c r="T52" s="449"/>
      <c r="U52" s="449"/>
      <c r="V52" s="449"/>
      <c r="W52" s="449"/>
      <c r="X52" s="449"/>
      <c r="Y52" s="435"/>
      <c r="Z52" s="436"/>
      <c r="AA52" s="435"/>
      <c r="AB52" s="435"/>
      <c r="AC52" s="436"/>
      <c r="AD52" s="435"/>
      <c r="AF52" s="2075"/>
    </row>
    <row r="53" spans="1:35" ht="16.5" customHeight="1">
      <c r="A53" s="432" t="s">
        <v>172</v>
      </c>
      <c r="B53" s="450">
        <f>ROUND(B39+B47,1)</f>
        <v>1.7</v>
      </c>
      <c r="C53" s="437"/>
      <c r="D53" s="450">
        <f>ROUND(D39+D47,1)</f>
        <v>-1.1000000000000001</v>
      </c>
      <c r="E53" s="450"/>
      <c r="F53" s="450">
        <f>ROUND(F39+F47,1)</f>
        <v>0.9</v>
      </c>
      <c r="G53" s="450"/>
      <c r="H53" s="450">
        <f>ROUND(H39+H47,1)</f>
        <v>0.2</v>
      </c>
      <c r="I53" s="450"/>
      <c r="J53" s="1680">
        <f>ROUND(J39+J47,1)</f>
        <v>-0.4</v>
      </c>
      <c r="K53" s="450"/>
      <c r="L53" s="450">
        <f>ROUND(L39+L47,1)</f>
        <v>0.5</v>
      </c>
      <c r="M53" s="450"/>
      <c r="N53" s="2904">
        <f>ROUND(N39+N47,1)</f>
        <v>-1.5</v>
      </c>
      <c r="O53" s="450"/>
      <c r="P53" s="450">
        <f>ROUND(P39+P47,1)</f>
        <v>0.5</v>
      </c>
      <c r="Q53" s="450"/>
      <c r="R53" s="450">
        <f>ROUND(R39+R47,1)</f>
        <v>-0.4</v>
      </c>
      <c r="S53" s="450"/>
      <c r="T53" s="450">
        <f>ROUND(T39+T47,1)</f>
        <v>-0.3</v>
      </c>
      <c r="U53" s="450"/>
      <c r="V53" s="450">
        <f>ROUND(V39+V47,1)</f>
        <v>0</v>
      </c>
      <c r="W53" s="450"/>
      <c r="X53" s="450">
        <f>ROUND(X39+X47,1)</f>
        <v>0</v>
      </c>
      <c r="Y53" s="437"/>
      <c r="Z53" s="438"/>
      <c r="AA53" s="450">
        <f>ROUND(AA39+AA47,1)</f>
        <v>0.1</v>
      </c>
      <c r="AB53" s="693"/>
      <c r="AC53" s="437"/>
      <c r="AD53" s="450">
        <f>ROUND(AD39+AD47,1)</f>
        <v>-41.8</v>
      </c>
      <c r="AF53" s="2075"/>
      <c r="AG53" s="2096">
        <f>ROUND(SUM(AG39+AG47),1)</f>
        <v>41.9</v>
      </c>
      <c r="AH53" s="2071"/>
      <c r="AI53" s="2098">
        <f>ROUND(IF(AG53=0,0,AG53/ABS(AD53)),3)</f>
        <v>1.002</v>
      </c>
    </row>
    <row r="54" spans="1:35" ht="16.5" customHeight="1">
      <c r="A54" s="423"/>
      <c r="B54" s="699"/>
      <c r="C54" s="432"/>
      <c r="D54" s="700"/>
      <c r="E54" s="701"/>
      <c r="F54" s="700"/>
      <c r="G54" s="701"/>
      <c r="H54" s="700"/>
      <c r="I54" s="701"/>
      <c r="J54" s="702"/>
      <c r="K54" s="701"/>
      <c r="L54" s="700"/>
      <c r="M54" s="701"/>
      <c r="N54" s="3161"/>
      <c r="O54" s="701"/>
      <c r="P54" s="700"/>
      <c r="Q54" s="701"/>
      <c r="R54" s="700"/>
      <c r="S54" s="701"/>
      <c r="T54" s="700"/>
      <c r="U54" s="701"/>
      <c r="V54" s="700"/>
      <c r="W54" s="701"/>
      <c r="X54" s="700"/>
      <c r="Y54" s="432"/>
      <c r="Z54" s="703"/>
      <c r="AA54" s="699"/>
      <c r="AB54" s="432"/>
      <c r="AC54" s="703"/>
      <c r="AD54" s="699"/>
      <c r="AF54" s="2075"/>
      <c r="AI54" s="2082"/>
    </row>
    <row r="55" spans="1:35" ht="16.5" customHeight="1" thickBot="1">
      <c r="A55" s="432" t="s">
        <v>144</v>
      </c>
      <c r="B55" s="430">
        <f>ROUND(B16+B53,1)</f>
        <v>25.3</v>
      </c>
      <c r="C55" s="430"/>
      <c r="D55" s="430">
        <f>ROUND(D16+D53,1)</f>
        <v>24.2</v>
      </c>
      <c r="E55" s="685"/>
      <c r="F55" s="430">
        <f>ROUND(F16+F53,1)</f>
        <v>25.1</v>
      </c>
      <c r="G55" s="685"/>
      <c r="H55" s="1682">
        <f>ROUND(H16+H53,1)</f>
        <v>25.3</v>
      </c>
      <c r="I55" s="704"/>
      <c r="J55" s="430">
        <f>ROUND(J16+J53,1)</f>
        <v>24.9</v>
      </c>
      <c r="K55" s="704"/>
      <c r="L55" s="430">
        <f>ROUND(L16+L53,1)</f>
        <v>25.4</v>
      </c>
      <c r="M55" s="685"/>
      <c r="N55" s="3155">
        <f>ROUND(N16+N53,1)</f>
        <v>23.9</v>
      </c>
      <c r="O55" s="685"/>
      <c r="P55" s="430">
        <f>ROUND(P16+P53,1)</f>
        <v>24.4</v>
      </c>
      <c r="Q55" s="685"/>
      <c r="R55" s="430">
        <f>ROUND(R16+R53,1)</f>
        <v>24</v>
      </c>
      <c r="S55" s="685"/>
      <c r="T55" s="430">
        <f>ROUND(T16+T53,1)</f>
        <v>23.7</v>
      </c>
      <c r="U55" s="685"/>
      <c r="V55" s="430">
        <f>ROUND(V16+V53,1)</f>
        <v>0</v>
      </c>
      <c r="W55" s="685"/>
      <c r="X55" s="430">
        <f>ROUND(X16+X53,1)</f>
        <v>0</v>
      </c>
      <c r="Y55" s="430"/>
      <c r="Z55" s="431"/>
      <c r="AA55" s="430">
        <f>ROUND(AA16+AA53,1)</f>
        <v>23.7</v>
      </c>
      <c r="AB55" s="430"/>
      <c r="AC55" s="431"/>
      <c r="AD55" s="430">
        <f>ROUND(AD16+AD53,1)</f>
        <v>24.3</v>
      </c>
      <c r="AF55" s="2075"/>
      <c r="AG55" s="2108">
        <f>ROUND(SUM(AA55-AD55),1)</f>
        <v>-0.6</v>
      </c>
      <c r="AH55" s="2106"/>
      <c r="AI55" s="2109">
        <f>ROUND(IF(AG55=0,0,AG55/ABS(AD55)),3)</f>
        <v>-2.5000000000000001E-2</v>
      </c>
    </row>
    <row r="56" spans="1:35" ht="16.5" customHeight="1" thickTop="1">
      <c r="A56" s="425"/>
      <c r="B56" s="705"/>
      <c r="C56" s="425"/>
      <c r="D56" s="705"/>
      <c r="E56" s="425"/>
      <c r="F56" s="705"/>
      <c r="G56" s="425"/>
      <c r="H56" s="442"/>
      <c r="I56" s="442"/>
      <c r="J56" s="705"/>
      <c r="K56" s="442"/>
      <c r="L56" s="705"/>
      <c r="M56" s="425"/>
      <c r="N56" s="3162"/>
      <c r="O56" s="425"/>
      <c r="P56" s="705"/>
      <c r="Q56" s="425"/>
      <c r="R56" s="705"/>
      <c r="S56" s="425"/>
      <c r="T56" s="705"/>
      <c r="U56" s="425"/>
      <c r="V56" s="705"/>
      <c r="W56" s="425"/>
      <c r="X56" s="705"/>
      <c r="Y56" s="425"/>
      <c r="Z56" s="425"/>
      <c r="AA56" s="705"/>
      <c r="AB56" s="425"/>
      <c r="AC56" s="425"/>
      <c r="AD56" s="705"/>
    </row>
    <row r="57" spans="1:35" ht="16.5" customHeight="1">
      <c r="A57"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79"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2" customWidth="1"/>
    <col min="32" max="32" width="2.453125" style="2081" customWidth="1"/>
    <col min="33" max="33" width="10.36328125" style="2082" bestFit="1" customWidth="1"/>
    <col min="34" max="34" width="1.6328125" style="2082" customWidth="1"/>
    <col min="35" max="35" width="11.08984375" style="2081" customWidth="1"/>
    <col min="36" max="16384" width="8.90625" style="408"/>
  </cols>
  <sheetData>
    <row r="1" spans="1:251" ht="16.5" customHeight="1">
      <c r="A1" s="1124" t="s">
        <v>1066</v>
      </c>
    </row>
    <row r="2" spans="1:251" ht="16.5" customHeight="1">
      <c r="A2" s="1577"/>
    </row>
    <row r="3" spans="1:251" ht="20.25" customHeight="1">
      <c r="A3" s="1824" t="s">
        <v>0</v>
      </c>
      <c r="B3" s="634"/>
      <c r="C3" s="706"/>
      <c r="D3" s="706"/>
      <c r="E3" s="706"/>
      <c r="F3" s="706"/>
      <c r="G3" s="706"/>
      <c r="H3" s="706"/>
      <c r="I3" s="706"/>
      <c r="J3" s="706"/>
      <c r="K3" s="706"/>
      <c r="L3" s="706"/>
      <c r="M3" s="706"/>
      <c r="N3" s="3140"/>
      <c r="O3" s="706"/>
      <c r="P3" s="706"/>
      <c r="Q3" s="706"/>
      <c r="R3" s="706"/>
      <c r="S3" s="706"/>
      <c r="T3" s="706"/>
      <c r="U3" s="706"/>
      <c r="V3" s="706"/>
      <c r="W3" s="706"/>
      <c r="X3" s="706"/>
      <c r="Y3" s="706"/>
      <c r="Z3" s="706"/>
      <c r="AA3" s="706"/>
      <c r="AB3" s="706"/>
      <c r="AC3" s="706"/>
      <c r="AD3" s="706"/>
      <c r="AE3" s="223"/>
      <c r="AI3" s="2132" t="s">
        <v>227</v>
      </c>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row>
    <row r="4" spans="1:251" ht="22.5" customHeight="1">
      <c r="A4" s="1824" t="s">
        <v>225</v>
      </c>
      <c r="B4" s="634"/>
      <c r="C4" s="706"/>
      <c r="D4" s="706"/>
      <c r="E4" s="706"/>
      <c r="F4" s="706"/>
      <c r="G4" s="706"/>
      <c r="H4" s="634" t="s">
        <v>15</v>
      </c>
      <c r="I4" s="706"/>
      <c r="J4" s="706"/>
      <c r="K4" s="706"/>
      <c r="L4" s="706"/>
      <c r="M4" s="706"/>
      <c r="N4" s="3140"/>
      <c r="O4" s="706"/>
      <c r="P4" s="706"/>
      <c r="Q4" s="706"/>
      <c r="R4" s="706"/>
      <c r="S4" s="706"/>
      <c r="T4" s="706"/>
      <c r="U4" s="706"/>
      <c r="V4" s="706"/>
      <c r="W4" s="706"/>
      <c r="X4" s="706" t="s">
        <v>15</v>
      </c>
      <c r="Y4" s="706"/>
      <c r="Z4" s="706"/>
      <c r="AA4" s="706"/>
      <c r="AB4" s="706"/>
      <c r="AC4" s="706"/>
      <c r="AD4" s="706"/>
      <c r="AE4" s="223"/>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row>
    <row r="5" spans="1:251" ht="20.25" customHeight="1">
      <c r="A5" s="1824" t="s">
        <v>226</v>
      </c>
      <c r="B5" s="634"/>
      <c r="C5" s="706"/>
      <c r="D5" s="706"/>
      <c r="E5" s="706"/>
      <c r="F5" s="706"/>
      <c r="G5" s="706"/>
      <c r="H5" s="706"/>
      <c r="I5" s="706"/>
      <c r="J5" s="706"/>
      <c r="K5" s="706"/>
      <c r="L5" s="706"/>
      <c r="M5" s="706"/>
      <c r="N5" s="3140"/>
      <c r="O5" s="706"/>
      <c r="P5" s="706"/>
      <c r="Q5" s="706"/>
      <c r="R5" s="706"/>
      <c r="S5" s="706"/>
      <c r="T5" s="706"/>
      <c r="U5" s="706"/>
      <c r="V5" s="706"/>
      <c r="W5" s="706"/>
      <c r="X5" s="706"/>
      <c r="Y5" s="706"/>
      <c r="Z5" s="706"/>
      <c r="AB5" s="1815"/>
      <c r="AC5" s="1815"/>
      <c r="AD5" s="1815"/>
      <c r="AE5" s="1585"/>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row>
    <row r="6" spans="1:251" ht="20.25" customHeight="1">
      <c r="A6" s="1825" t="s">
        <v>1437</v>
      </c>
      <c r="B6" s="634"/>
      <c r="C6" s="706"/>
      <c r="D6" s="706"/>
      <c r="E6" s="706"/>
      <c r="F6" s="706"/>
      <c r="G6" s="706"/>
      <c r="H6" s="706"/>
      <c r="I6" s="706"/>
      <c r="J6" s="706"/>
      <c r="K6" s="706"/>
      <c r="L6" s="706"/>
      <c r="M6" s="706"/>
      <c r="N6" s="3140"/>
      <c r="O6" s="706"/>
      <c r="P6" s="706"/>
      <c r="Q6" s="706"/>
      <c r="R6" s="706"/>
      <c r="S6" s="706"/>
      <c r="T6" s="706"/>
      <c r="U6" s="706"/>
      <c r="V6" s="706"/>
      <c r="W6" s="706"/>
      <c r="X6" s="706"/>
      <c r="Y6" s="706"/>
      <c r="Z6" s="706"/>
      <c r="AA6" s="706"/>
      <c r="AB6" s="706"/>
      <c r="AC6" s="706"/>
      <c r="AD6" s="706"/>
      <c r="AE6" s="223"/>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row>
    <row r="7" spans="1:251" ht="20.25" customHeight="1">
      <c r="A7" s="1824" t="s">
        <v>958</v>
      </c>
      <c r="B7" s="634"/>
      <c r="C7" s="706"/>
      <c r="D7" s="706"/>
      <c r="E7" s="706"/>
      <c r="F7" s="706"/>
      <c r="G7" s="706"/>
      <c r="H7" s="706"/>
      <c r="I7" s="706"/>
      <c r="J7" s="706"/>
      <c r="K7" s="706"/>
      <c r="L7" s="706"/>
      <c r="M7" s="706"/>
      <c r="N7" s="3140"/>
      <c r="O7" s="706"/>
      <c r="P7" s="706"/>
      <c r="Q7" s="706"/>
      <c r="R7" s="706"/>
      <c r="S7" s="706"/>
      <c r="T7" s="706"/>
      <c r="U7" s="706"/>
      <c r="V7" s="706"/>
      <c r="W7" s="706"/>
      <c r="X7" s="706"/>
      <c r="Y7" s="706"/>
      <c r="Z7" s="706"/>
      <c r="AA7" s="706"/>
      <c r="AB7" s="706"/>
      <c r="AC7" s="706"/>
      <c r="AD7" s="706"/>
      <c r="AE7" s="223"/>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c r="IK7" s="706"/>
      <c r="IL7" s="706"/>
      <c r="IM7" s="706"/>
      <c r="IN7" s="706"/>
      <c r="IO7" s="706"/>
      <c r="IP7" s="706"/>
      <c r="IQ7" s="706"/>
    </row>
    <row r="8" spans="1:251" ht="16.5" customHeight="1">
      <c r="AE8" s="223"/>
    </row>
    <row r="9" spans="1:251" ht="16.5" customHeight="1">
      <c r="A9" s="707"/>
      <c r="B9" s="419"/>
      <c r="C9" s="419"/>
      <c r="D9" s="419"/>
      <c r="E9" s="419"/>
      <c r="F9" s="419"/>
      <c r="G9" s="419"/>
      <c r="H9" s="498"/>
      <c r="I9" s="498"/>
      <c r="J9" s="498"/>
      <c r="K9" s="419"/>
      <c r="L9" s="419"/>
      <c r="M9" s="419"/>
      <c r="N9" s="3141"/>
      <c r="O9" s="419"/>
      <c r="P9" s="419"/>
      <c r="Q9" s="419"/>
      <c r="R9" s="419"/>
      <c r="S9" s="419"/>
      <c r="T9" s="419"/>
      <c r="U9" s="419"/>
      <c r="V9" s="419"/>
      <c r="W9" s="419"/>
      <c r="X9" s="419"/>
      <c r="Y9" s="419"/>
      <c r="Z9" s="419"/>
      <c r="AA9" s="419"/>
      <c r="AB9" s="419"/>
      <c r="AC9" s="419"/>
      <c r="AD9" s="419"/>
      <c r="AE9" s="408"/>
      <c r="AF9" s="2083"/>
      <c r="AG9" s="2083"/>
      <c r="AH9" s="2083"/>
      <c r="AI9" s="2083"/>
    </row>
    <row r="10" spans="1:251" ht="16.5" customHeight="1">
      <c r="A10" s="452"/>
      <c r="B10" s="457"/>
      <c r="C10" s="457"/>
      <c r="D10" s="457"/>
      <c r="E10" s="457"/>
      <c r="F10" s="457"/>
      <c r="G10" s="457"/>
      <c r="H10" s="457"/>
      <c r="I10" s="457"/>
      <c r="J10" s="457"/>
      <c r="K10" s="457"/>
      <c r="L10" s="457"/>
      <c r="M10" s="457"/>
      <c r="N10" s="3142"/>
      <c r="O10" s="457"/>
      <c r="P10" s="457"/>
      <c r="Q10" s="457"/>
      <c r="R10" s="457"/>
      <c r="S10" s="457"/>
      <c r="T10" s="457"/>
      <c r="U10" s="457"/>
      <c r="V10" s="457"/>
      <c r="W10" s="457"/>
      <c r="X10" s="457"/>
      <c r="Y10" s="457"/>
      <c r="Z10" s="1437"/>
      <c r="AA10" s="3552" t="s">
        <v>1556</v>
      </c>
      <c r="AB10" s="3552"/>
      <c r="AC10" s="3552"/>
      <c r="AD10" s="3552"/>
      <c r="AE10" s="3552"/>
      <c r="AF10" s="3552"/>
      <c r="AG10" s="3552"/>
      <c r="AH10" s="3552"/>
      <c r="AI10" s="3552"/>
    </row>
    <row r="11" spans="1:251" ht="16.5" customHeight="1">
      <c r="A11" s="452"/>
      <c r="B11" s="1436">
        <v>2017</v>
      </c>
      <c r="C11" s="458"/>
      <c r="D11" s="458"/>
      <c r="E11" s="458"/>
      <c r="F11" s="458"/>
      <c r="G11" s="458"/>
      <c r="H11" s="458"/>
      <c r="I11" s="458"/>
      <c r="J11" s="458"/>
      <c r="K11" s="458"/>
      <c r="L11" s="458"/>
      <c r="M11" s="458"/>
      <c r="N11" s="3110"/>
      <c r="O11" s="458"/>
      <c r="P11" s="458"/>
      <c r="Q11" s="458"/>
      <c r="R11" s="458"/>
      <c r="S11" s="458"/>
      <c r="T11" s="1436">
        <v>2018</v>
      </c>
      <c r="U11" s="458"/>
      <c r="V11" s="458"/>
      <c r="W11" s="458"/>
      <c r="X11" s="458"/>
      <c r="Y11" s="458"/>
      <c r="Z11" s="1437"/>
      <c r="AA11" s="1437"/>
      <c r="AB11" s="1437"/>
      <c r="AC11" s="1437"/>
      <c r="AD11" s="1437"/>
      <c r="AE11" s="1821"/>
      <c r="AF11" s="2071"/>
      <c r="AG11" s="2085" t="s">
        <v>8</v>
      </c>
      <c r="AH11" s="2085"/>
      <c r="AI11" s="2086" t="s">
        <v>9</v>
      </c>
    </row>
    <row r="12" spans="1:251" ht="16.5" customHeight="1">
      <c r="A12" s="452"/>
      <c r="B12" s="1438" t="s">
        <v>127</v>
      </c>
      <c r="C12" s="458"/>
      <c r="D12" s="1438" t="s">
        <v>128</v>
      </c>
      <c r="E12" s="458"/>
      <c r="F12" s="1438" t="s">
        <v>129</v>
      </c>
      <c r="G12" s="458"/>
      <c r="H12" s="1438" t="s">
        <v>130</v>
      </c>
      <c r="I12" s="458"/>
      <c r="J12" s="1438" t="s">
        <v>131</v>
      </c>
      <c r="K12" s="458"/>
      <c r="L12" s="1436" t="s">
        <v>146</v>
      </c>
      <c r="M12" s="458"/>
      <c r="N12" s="3143" t="s">
        <v>147</v>
      </c>
      <c r="O12" s="458"/>
      <c r="P12" s="1438" t="s">
        <v>134</v>
      </c>
      <c r="Q12" s="458"/>
      <c r="R12" s="1438" t="s">
        <v>135</v>
      </c>
      <c r="S12" s="458"/>
      <c r="T12" s="1438" t="s">
        <v>136</v>
      </c>
      <c r="U12" s="458"/>
      <c r="V12" s="1438" t="s">
        <v>137</v>
      </c>
      <c r="W12" s="458"/>
      <c r="X12" s="1436" t="s">
        <v>190</v>
      </c>
      <c r="Y12" s="458"/>
      <c r="Z12" s="458"/>
      <c r="AA12" s="1438">
        <v>2018</v>
      </c>
      <c r="AB12" s="458" t="s">
        <v>15</v>
      </c>
      <c r="AC12" s="458"/>
      <c r="AD12" s="1438">
        <v>2017</v>
      </c>
      <c r="AE12" s="1595"/>
      <c r="AF12" s="2107"/>
      <c r="AG12" s="2087" t="s">
        <v>12</v>
      </c>
      <c r="AH12" s="2088"/>
      <c r="AI12" s="2087" t="s">
        <v>13</v>
      </c>
    </row>
    <row r="13" spans="1:251" ht="4.5" customHeight="1">
      <c r="A13" s="452"/>
      <c r="B13" s="708"/>
      <c r="C13" s="452"/>
      <c r="D13" s="708"/>
      <c r="E13" s="452"/>
      <c r="F13" s="708"/>
      <c r="G13" s="452"/>
      <c r="H13" s="708"/>
      <c r="I13" s="452"/>
      <c r="J13" s="708"/>
      <c r="K13" s="452"/>
      <c r="L13" s="708"/>
      <c r="M13" s="452"/>
      <c r="N13" s="3144"/>
      <c r="O13" s="452"/>
      <c r="P13" s="708"/>
      <c r="Q13" s="452"/>
      <c r="R13" s="708"/>
      <c r="S13" s="452"/>
      <c r="T13" s="708"/>
      <c r="U13" s="452"/>
      <c r="V13" s="708"/>
      <c r="W13" s="452"/>
      <c r="X13" s="708"/>
      <c r="Y13" s="452"/>
      <c r="Z13" s="452"/>
      <c r="AA13" s="708"/>
      <c r="AB13" s="452"/>
      <c r="AC13" s="452"/>
      <c r="AD13" s="708"/>
      <c r="AE13" s="1822"/>
      <c r="AF13" s="2110"/>
    </row>
    <row r="14" spans="1:251" ht="16.5" customHeight="1">
      <c r="A14" s="635" t="s">
        <v>139</v>
      </c>
      <c r="B14" s="709">
        <v>-200.4</v>
      </c>
      <c r="C14" s="709"/>
      <c r="D14" s="709">
        <f>B50</f>
        <v>-261.3</v>
      </c>
      <c r="E14" s="709"/>
      <c r="F14" s="709">
        <f>D50</f>
        <v>-254.6</v>
      </c>
      <c r="G14" s="709"/>
      <c r="H14" s="709">
        <f>F50</f>
        <v>-247.9</v>
      </c>
      <c r="I14" s="709"/>
      <c r="J14" s="709">
        <f>H50</f>
        <v>-250.8</v>
      </c>
      <c r="K14" s="709"/>
      <c r="L14" s="709">
        <f>J50</f>
        <v>-262.8</v>
      </c>
      <c r="M14" s="709"/>
      <c r="N14" s="3145">
        <f>L50</f>
        <v>-273.60000000000002</v>
      </c>
      <c r="O14" s="709"/>
      <c r="P14" s="709">
        <f>N50</f>
        <v>-274.3</v>
      </c>
      <c r="Q14" s="709"/>
      <c r="R14" s="709">
        <f>P50</f>
        <v>-281.89999999999998</v>
      </c>
      <c r="S14" s="709"/>
      <c r="T14" s="709">
        <f>R50</f>
        <v>-273.8</v>
      </c>
      <c r="U14" s="709"/>
      <c r="V14" s="709"/>
      <c r="W14" s="709"/>
      <c r="X14" s="709"/>
      <c r="Y14" s="709"/>
      <c r="Z14" s="710"/>
      <c r="AA14" s="709">
        <f>B14</f>
        <v>-200.4</v>
      </c>
      <c r="AB14" s="711"/>
      <c r="AC14" s="712"/>
      <c r="AD14" s="709">
        <v>-127.2</v>
      </c>
      <c r="AE14" s="713"/>
      <c r="AF14" s="2111"/>
      <c r="AG14" s="2089">
        <f>ROUND(SUM(AA14-AD14),1)</f>
        <v>-73.2</v>
      </c>
      <c r="AI14" s="2471">
        <f>-ROUND(IF(AG14=0,0,AG14/(AD14)),3)</f>
        <v>-0.57499999999999996</v>
      </c>
    </row>
    <row r="15" spans="1:251" ht="16.5" customHeight="1">
      <c r="A15" s="349"/>
      <c r="B15" s="713"/>
      <c r="C15" s="713"/>
      <c r="D15" s="713"/>
      <c r="E15" s="713"/>
      <c r="F15" s="713"/>
      <c r="G15" s="713"/>
      <c r="H15" s="713"/>
      <c r="I15" s="713"/>
      <c r="J15" s="713"/>
      <c r="K15" s="713"/>
      <c r="L15" s="713"/>
      <c r="M15" s="713"/>
      <c r="N15" s="3146"/>
      <c r="O15" s="713"/>
      <c r="P15" s="713"/>
      <c r="Q15" s="713"/>
      <c r="R15" s="713"/>
      <c r="S15" s="713"/>
      <c r="T15" s="713"/>
      <c r="U15" s="713"/>
      <c r="V15" s="713"/>
      <c r="W15" s="713"/>
      <c r="X15" s="713"/>
      <c r="Y15" s="713"/>
      <c r="Z15" s="714"/>
      <c r="AA15" s="713"/>
      <c r="AB15" s="715"/>
      <c r="AC15" s="716"/>
      <c r="AD15" s="713"/>
      <c r="AE15" s="713"/>
      <c r="AF15" s="2111"/>
      <c r="AG15" s="2091"/>
      <c r="AI15" s="2082"/>
    </row>
    <row r="16" spans="1:251" ht="16.5" customHeight="1">
      <c r="A16" s="458" t="s">
        <v>14</v>
      </c>
      <c r="B16" s="713"/>
      <c r="C16" s="713"/>
      <c r="D16" s="713"/>
      <c r="E16" s="713"/>
      <c r="F16" s="713"/>
      <c r="G16" s="713"/>
      <c r="H16" s="713"/>
      <c r="I16" s="713"/>
      <c r="J16" s="713"/>
      <c r="K16" s="713"/>
      <c r="L16" s="713"/>
      <c r="M16" s="713"/>
      <c r="N16" s="3146"/>
      <c r="O16" s="713"/>
      <c r="P16" s="713"/>
      <c r="Q16" s="713"/>
      <c r="R16" s="713"/>
      <c r="S16" s="713"/>
      <c r="T16" s="713"/>
      <c r="U16" s="713"/>
      <c r="V16" s="713"/>
      <c r="W16" s="713"/>
      <c r="X16" s="713"/>
      <c r="Y16" s="713"/>
      <c r="Z16" s="714"/>
      <c r="AA16" s="713"/>
      <c r="AB16" s="715"/>
      <c r="AC16" s="716"/>
      <c r="AD16" s="713"/>
      <c r="AE16" s="1623"/>
      <c r="AF16" s="2074"/>
      <c r="AG16" s="2095"/>
      <c r="AI16" s="2099"/>
    </row>
    <row r="17" spans="1:35" ht="16.5" customHeight="1">
      <c r="A17" s="349" t="s">
        <v>183</v>
      </c>
      <c r="B17" s="439">
        <v>28.1</v>
      </c>
      <c r="C17" s="439"/>
      <c r="D17" s="717">
        <v>51.699999999999996</v>
      </c>
      <c r="E17" s="439"/>
      <c r="F17" s="717">
        <v>59.000000000000014</v>
      </c>
      <c r="G17" s="439"/>
      <c r="H17" s="717">
        <v>31.799999999999983</v>
      </c>
      <c r="I17" s="439"/>
      <c r="J17" s="717">
        <v>49.099999999999994</v>
      </c>
      <c r="K17" s="439"/>
      <c r="L17" s="717">
        <v>38.400000000000034</v>
      </c>
      <c r="M17" s="439"/>
      <c r="N17" s="2937">
        <v>36.799999999999955</v>
      </c>
      <c r="O17" s="439"/>
      <c r="P17" s="717">
        <v>42.600000000000023</v>
      </c>
      <c r="Q17" s="439"/>
      <c r="R17" s="717">
        <v>33.899999999999977</v>
      </c>
      <c r="S17" s="439"/>
      <c r="T17" s="717">
        <v>46.2</v>
      </c>
      <c r="U17" s="439"/>
      <c r="V17" s="686"/>
      <c r="W17" s="439"/>
      <c r="X17" s="686"/>
      <c r="Y17" s="439"/>
      <c r="Z17" s="718"/>
      <c r="AA17" s="439">
        <f>ROUND(SUM(B17:X17),1)</f>
        <v>417.6</v>
      </c>
      <c r="AB17" s="719"/>
      <c r="AC17" s="446"/>
      <c r="AD17" s="439">
        <v>319.8</v>
      </c>
      <c r="AE17" s="1625"/>
      <c r="AF17" s="2074"/>
      <c r="AG17" s="2102">
        <f>ROUND(SUM(AA17-AD17),1)</f>
        <v>97.8</v>
      </c>
      <c r="AI17" s="2103">
        <f>ROUND(IF(AG17=0,0,AG17/ABS(AD17)),3)</f>
        <v>0.30599999999999999</v>
      </c>
    </row>
    <row r="18" spans="1:35" ht="16.5" customHeight="1">
      <c r="A18" s="349"/>
      <c r="B18" s="720"/>
      <c r="C18" s="439"/>
      <c r="D18" s="720"/>
      <c r="E18" s="439"/>
      <c r="F18" s="720"/>
      <c r="G18" s="439"/>
      <c r="H18" s="720"/>
      <c r="I18" s="439"/>
      <c r="J18" s="720"/>
      <c r="K18" s="439"/>
      <c r="L18" s="720"/>
      <c r="M18" s="439"/>
      <c r="N18" s="2928"/>
      <c r="O18" s="439"/>
      <c r="P18" s="720"/>
      <c r="Q18" s="439"/>
      <c r="R18" s="720"/>
      <c r="S18" s="439"/>
      <c r="T18" s="720"/>
      <c r="U18" s="439"/>
      <c r="V18" s="720"/>
      <c r="W18" s="439"/>
      <c r="X18" s="720"/>
      <c r="Y18" s="439"/>
      <c r="Z18" s="718"/>
      <c r="AA18" s="720"/>
      <c r="AB18" s="719"/>
      <c r="AC18" s="446"/>
      <c r="AD18" s="720"/>
      <c r="AE18" s="446"/>
      <c r="AF18" s="2074"/>
      <c r="AG18" s="2095"/>
      <c r="AI18" s="2082"/>
    </row>
    <row r="19" spans="1:35" ht="16.5" customHeight="1">
      <c r="A19" s="458" t="s">
        <v>154</v>
      </c>
      <c r="B19" s="721">
        <f>ROUND(SUM(B17),1)</f>
        <v>28.1</v>
      </c>
      <c r="C19" s="721"/>
      <c r="D19" s="721">
        <f>ROUND(SUM(D17),1)</f>
        <v>51.7</v>
      </c>
      <c r="E19" s="721"/>
      <c r="F19" s="721">
        <f>ROUND(SUM(F17),1)</f>
        <v>59</v>
      </c>
      <c r="G19" s="721"/>
      <c r="H19" s="721">
        <f>ROUND(SUM(H17),1)</f>
        <v>31.8</v>
      </c>
      <c r="I19" s="721"/>
      <c r="J19" s="721">
        <f>ROUND(SUM(J17),1)</f>
        <v>49.1</v>
      </c>
      <c r="K19" s="721"/>
      <c r="L19" s="721">
        <f>ROUND(SUM(L17),1)</f>
        <v>38.4</v>
      </c>
      <c r="M19" s="721"/>
      <c r="N19" s="2929">
        <f>ROUND(SUM(N17),1)</f>
        <v>36.799999999999997</v>
      </c>
      <c r="O19" s="721"/>
      <c r="P19" s="721">
        <f>ROUND(SUM(P17),1)</f>
        <v>42.6</v>
      </c>
      <c r="Q19" s="721"/>
      <c r="R19" s="721">
        <f>ROUND(SUM(R17),1)</f>
        <v>33.9</v>
      </c>
      <c r="S19" s="721"/>
      <c r="T19" s="721">
        <f>ROUND(SUM(T17),1)</f>
        <v>46.2</v>
      </c>
      <c r="U19" s="721"/>
      <c r="V19" s="721">
        <f>ROUND(SUM(V17),1)</f>
        <v>0</v>
      </c>
      <c r="W19" s="721"/>
      <c r="X19" s="721">
        <f>ROUND(SUM(X17),1)</f>
        <v>0</v>
      </c>
      <c r="Y19" s="721"/>
      <c r="Z19" s="722"/>
      <c r="AA19" s="721">
        <f>ROUND(SUM(AA17),1)</f>
        <v>417.6</v>
      </c>
      <c r="AB19" s="723"/>
      <c r="AC19" s="724"/>
      <c r="AD19" s="721">
        <f>ROUND(SUM(AD17),1)</f>
        <v>319.8</v>
      </c>
      <c r="AE19" s="439"/>
      <c r="AF19" s="2074"/>
      <c r="AG19" s="2096">
        <f>ROUND(SUM(AG17),1)</f>
        <v>97.8</v>
      </c>
      <c r="AH19" s="2097"/>
      <c r="AI19" s="2098">
        <f>ROUND(IF(AG19=0,0,AG19/ABS(AD19)),3)</f>
        <v>0.30599999999999999</v>
      </c>
    </row>
    <row r="20" spans="1:35" ht="16.5" customHeight="1">
      <c r="A20" s="349"/>
      <c r="B20" s="720"/>
      <c r="C20" s="439"/>
      <c r="D20" s="720"/>
      <c r="E20" s="439"/>
      <c r="F20" s="720"/>
      <c r="G20" s="439"/>
      <c r="H20" s="720"/>
      <c r="I20" s="439"/>
      <c r="J20" s="720"/>
      <c r="K20" s="439"/>
      <c r="L20" s="720"/>
      <c r="M20" s="439"/>
      <c r="N20" s="2928"/>
      <c r="O20" s="439"/>
      <c r="P20" s="720"/>
      <c r="Q20" s="439"/>
      <c r="R20" s="720"/>
      <c r="S20" s="439"/>
      <c r="T20" s="720"/>
      <c r="U20" s="439"/>
      <c r="V20" s="720"/>
      <c r="W20" s="439"/>
      <c r="X20" s="720"/>
      <c r="Y20" s="439"/>
      <c r="Z20" s="718"/>
      <c r="AA20" s="720"/>
      <c r="AB20" s="719"/>
      <c r="AC20" s="446"/>
      <c r="AD20" s="720"/>
      <c r="AE20" s="439"/>
      <c r="AF20" s="2074"/>
      <c r="AG20" s="2095"/>
      <c r="AI20" s="2082"/>
    </row>
    <row r="21" spans="1:35" ht="16.5" customHeight="1">
      <c r="A21" s="349"/>
      <c r="B21" s="439"/>
      <c r="C21" s="439"/>
      <c r="D21" s="439"/>
      <c r="E21" s="439"/>
      <c r="F21" s="439"/>
      <c r="G21" s="439"/>
      <c r="H21" s="439"/>
      <c r="I21" s="439"/>
      <c r="J21" s="439"/>
      <c r="K21" s="439"/>
      <c r="L21" s="439"/>
      <c r="M21" s="439"/>
      <c r="N21" s="2927"/>
      <c r="O21" s="439"/>
      <c r="P21" s="439"/>
      <c r="Q21" s="439"/>
      <c r="R21" s="439"/>
      <c r="S21" s="439"/>
      <c r="T21" s="439"/>
      <c r="U21" s="439"/>
      <c r="V21" s="439"/>
      <c r="W21" s="439"/>
      <c r="X21" s="439"/>
      <c r="Y21" s="439"/>
      <c r="Z21" s="718"/>
      <c r="AA21" s="439"/>
      <c r="AB21" s="719"/>
      <c r="AC21" s="446"/>
      <c r="AD21" s="439"/>
      <c r="AE21" s="441"/>
      <c r="AF21" s="2075"/>
      <c r="AG21" s="2095"/>
      <c r="AI21" s="2082"/>
    </row>
    <row r="22" spans="1:35" ht="16.5" customHeight="1">
      <c r="A22" s="349"/>
      <c r="B22" s="439"/>
      <c r="C22" s="439"/>
      <c r="D22" s="439"/>
      <c r="E22" s="439"/>
      <c r="F22" s="439"/>
      <c r="G22" s="439"/>
      <c r="H22" s="439"/>
      <c r="I22" s="439"/>
      <c r="J22" s="439"/>
      <c r="K22" s="439"/>
      <c r="L22" s="439"/>
      <c r="M22" s="439"/>
      <c r="N22" s="2927"/>
      <c r="O22" s="439"/>
      <c r="P22" s="439"/>
      <c r="Q22" s="439"/>
      <c r="R22" s="439"/>
      <c r="S22" s="439"/>
      <c r="T22" s="439"/>
      <c r="U22" s="439"/>
      <c r="V22" s="439"/>
      <c r="W22" s="439"/>
      <c r="X22" s="439"/>
      <c r="Y22" s="439"/>
      <c r="Z22" s="718"/>
      <c r="AA22" s="439"/>
      <c r="AB22" s="719"/>
      <c r="AC22" s="446"/>
      <c r="AD22" s="439"/>
      <c r="AE22" s="686"/>
      <c r="AF22" s="2075"/>
      <c r="AG22" s="2095"/>
      <c r="AI22" s="2099"/>
    </row>
    <row r="23" spans="1:35" ht="16.5" customHeight="1">
      <c r="A23" s="458" t="s">
        <v>23</v>
      </c>
      <c r="B23" s="439"/>
      <c r="C23" s="439"/>
      <c r="D23" s="439"/>
      <c r="E23" s="439"/>
      <c r="F23" s="439"/>
      <c r="G23" s="439"/>
      <c r="H23" s="439"/>
      <c r="I23" s="439"/>
      <c r="J23" s="439"/>
      <c r="K23" s="439"/>
      <c r="L23" s="439"/>
      <c r="M23" s="439"/>
      <c r="N23" s="2927"/>
      <c r="O23" s="439"/>
      <c r="P23" s="439"/>
      <c r="Q23" s="439"/>
      <c r="R23" s="439"/>
      <c r="S23" s="439"/>
      <c r="T23" s="439"/>
      <c r="U23" s="439"/>
      <c r="V23" s="439"/>
      <c r="W23" s="439"/>
      <c r="X23" s="439"/>
      <c r="Y23" s="439"/>
      <c r="Z23" s="718"/>
      <c r="AA23" s="439"/>
      <c r="AB23" s="719"/>
      <c r="AC23" s="446"/>
      <c r="AD23" s="439"/>
      <c r="AE23" s="441"/>
      <c r="AF23" s="2075"/>
      <c r="AG23" s="2095"/>
      <c r="AH23" s="2100"/>
      <c r="AI23" s="2099"/>
    </row>
    <row r="24" spans="1:35" ht="16.5" customHeight="1">
      <c r="A24" s="349" t="s">
        <v>156</v>
      </c>
      <c r="B24" s="439"/>
      <c r="C24" s="439"/>
      <c r="D24" s="439"/>
      <c r="E24" s="439"/>
      <c r="F24" s="439"/>
      <c r="G24" s="439"/>
      <c r="H24" s="439"/>
      <c r="I24" s="439"/>
      <c r="J24" s="439"/>
      <c r="K24" s="439"/>
      <c r="L24" s="439"/>
      <c r="M24" s="439"/>
      <c r="N24" s="2927"/>
      <c r="O24" s="439"/>
      <c r="P24" s="439"/>
      <c r="Q24" s="439"/>
      <c r="R24" s="439"/>
      <c r="S24" s="439"/>
      <c r="T24" s="439"/>
      <c r="U24" s="439"/>
      <c r="V24" s="439"/>
      <c r="W24" s="439"/>
      <c r="X24" s="439"/>
      <c r="Y24" s="439"/>
      <c r="Z24" s="718"/>
      <c r="AA24" s="439"/>
      <c r="AB24" s="719"/>
      <c r="AC24" s="446"/>
      <c r="AD24" s="441"/>
      <c r="AE24" s="1645"/>
      <c r="AF24" s="2075"/>
      <c r="AG24" s="2095"/>
      <c r="AI24" s="2099"/>
    </row>
    <row r="25" spans="1:35" ht="16.5" customHeight="1">
      <c r="A25" s="349" t="s">
        <v>223</v>
      </c>
      <c r="B25" s="439">
        <v>7.6</v>
      </c>
      <c r="C25" s="439"/>
      <c r="D25" s="717">
        <v>11.9</v>
      </c>
      <c r="E25" s="439"/>
      <c r="F25" s="717">
        <v>9</v>
      </c>
      <c r="G25" s="439"/>
      <c r="H25" s="717">
        <v>7.4</v>
      </c>
      <c r="I25" s="439"/>
      <c r="J25" s="717">
        <v>8.1</v>
      </c>
      <c r="K25" s="439"/>
      <c r="L25" s="717">
        <v>7.6</v>
      </c>
      <c r="M25" s="439"/>
      <c r="N25" s="2937">
        <v>8.6999999999999957</v>
      </c>
      <c r="O25" s="439"/>
      <c r="P25" s="717">
        <v>12.6</v>
      </c>
      <c r="Q25" s="439"/>
      <c r="R25" s="717">
        <v>7.8</v>
      </c>
      <c r="S25" s="439"/>
      <c r="T25" s="717">
        <v>7.4</v>
      </c>
      <c r="U25" s="439"/>
      <c r="V25" s="686"/>
      <c r="W25" s="439"/>
      <c r="X25" s="686"/>
      <c r="Y25" s="439"/>
      <c r="Z25" s="718"/>
      <c r="AA25" s="2927">
        <f>ROUND(SUM(B25:X25),1)</f>
        <v>88.1</v>
      </c>
      <c r="AB25" s="719"/>
      <c r="AC25" s="446"/>
      <c r="AD25" s="439">
        <v>79.8</v>
      </c>
      <c r="AE25" s="1646"/>
      <c r="AF25" s="2075"/>
      <c r="AG25" s="2095">
        <f>ROUND(SUM(AA25-AD25),1)</f>
        <v>8.3000000000000007</v>
      </c>
      <c r="AI25" s="2101">
        <f>ROUND(IF(AG25=0,0,AG25/ABS(AD25)),3)</f>
        <v>0.104</v>
      </c>
    </row>
    <row r="26" spans="1:35" ht="16.5" customHeight="1">
      <c r="A26" s="349" t="s">
        <v>184</v>
      </c>
      <c r="B26" s="439">
        <v>83.2</v>
      </c>
      <c r="C26" s="439"/>
      <c r="D26" s="717">
        <v>27.5</v>
      </c>
      <c r="E26" s="439"/>
      <c r="F26" s="717">
        <v>39</v>
      </c>
      <c r="G26" s="439"/>
      <c r="H26" s="717">
        <v>27.5</v>
      </c>
      <c r="I26" s="439"/>
      <c r="J26" s="717">
        <v>46.200000000000017</v>
      </c>
      <c r="K26" s="439"/>
      <c r="L26" s="717">
        <v>34.599999999999994</v>
      </c>
      <c r="M26" s="439"/>
      <c r="N26" s="2937">
        <v>30.199999999999989</v>
      </c>
      <c r="O26" s="439"/>
      <c r="P26" s="717">
        <v>48.5</v>
      </c>
      <c r="Q26" s="439"/>
      <c r="R26" s="717">
        <v>19.199999999999989</v>
      </c>
      <c r="S26" s="439"/>
      <c r="T26" s="717">
        <v>46.3</v>
      </c>
      <c r="U26" s="439"/>
      <c r="V26" s="686"/>
      <c r="W26" s="439"/>
      <c r="X26" s="686"/>
      <c r="Y26" s="439"/>
      <c r="Z26" s="718"/>
      <c r="AA26" s="2927">
        <f>ROUND(SUM(B26:X26),1)</f>
        <v>402.2</v>
      </c>
      <c r="AB26" s="719"/>
      <c r="AC26" s="446"/>
      <c r="AD26" s="439">
        <v>344.4</v>
      </c>
      <c r="AE26" s="446"/>
      <c r="AF26" s="2074"/>
      <c r="AG26" s="2095">
        <f>ROUND(SUM(AA26-AD26),1)</f>
        <v>57.8</v>
      </c>
      <c r="AI26" s="2101">
        <f>ROUND(IF(AG26=0,0,AG26/ABS(AD26)),3)</f>
        <v>0.16800000000000001</v>
      </c>
    </row>
    <row r="27" spans="1:35" ht="16.5" customHeight="1">
      <c r="A27" s="349" t="s">
        <v>159</v>
      </c>
      <c r="B27" s="439">
        <v>0</v>
      </c>
      <c r="C27" s="439"/>
      <c r="D27" s="717">
        <v>7.8</v>
      </c>
      <c r="E27" s="439"/>
      <c r="F27" s="717">
        <v>5.6</v>
      </c>
      <c r="G27" s="439"/>
      <c r="H27" s="441">
        <v>2.2000000000000002</v>
      </c>
      <c r="I27" s="439"/>
      <c r="J27" s="717">
        <v>9.2999999999999989</v>
      </c>
      <c r="K27" s="439"/>
      <c r="L27" s="717">
        <v>4.9000000000000004</v>
      </c>
      <c r="M27" s="439"/>
      <c r="N27" s="2937">
        <v>5.1999999999999993</v>
      </c>
      <c r="O27" s="439"/>
      <c r="P27" s="717">
        <v>2.7000000000000028</v>
      </c>
      <c r="Q27" s="439"/>
      <c r="R27" s="441">
        <v>6</v>
      </c>
      <c r="S27" s="439"/>
      <c r="T27" s="717">
        <v>2.4</v>
      </c>
      <c r="U27" s="439"/>
      <c r="V27" s="686"/>
      <c r="W27" s="439"/>
      <c r="X27" s="686"/>
      <c r="Y27" s="439"/>
      <c r="Z27" s="718"/>
      <c r="AA27" s="2927">
        <f>ROUND(SUM(B27:X27),1)</f>
        <v>46.1</v>
      </c>
      <c r="AB27" s="719"/>
      <c r="AC27" s="446"/>
      <c r="AD27" s="686">
        <v>37.4</v>
      </c>
      <c r="AE27" s="439"/>
      <c r="AF27" s="2074"/>
      <c r="AG27" s="2102">
        <f>ROUND(SUM(AA27-AD27),1)</f>
        <v>8.6999999999999993</v>
      </c>
      <c r="AI27" s="2103">
        <f>ROUND(IF(AG27=0,0,AG27/ABS(AD27)),3)</f>
        <v>0.23300000000000001</v>
      </c>
    </row>
    <row r="28" spans="1:35" ht="16.5" customHeight="1">
      <c r="A28" s="349"/>
      <c r="B28" s="720"/>
      <c r="C28" s="439"/>
      <c r="D28" s="720"/>
      <c r="E28" s="439"/>
      <c r="F28" s="720"/>
      <c r="G28" s="439"/>
      <c r="H28" s="720"/>
      <c r="I28" s="439"/>
      <c r="J28" s="720"/>
      <c r="K28" s="439"/>
      <c r="L28" s="720"/>
      <c r="M28" s="439"/>
      <c r="N28" s="2928"/>
      <c r="O28" s="439"/>
      <c r="P28" s="720"/>
      <c r="Q28" s="439"/>
      <c r="R28" s="720"/>
      <c r="S28" s="439"/>
      <c r="T28" s="720"/>
      <c r="U28" s="439"/>
      <c r="V28" s="720"/>
      <c r="W28" s="439"/>
      <c r="X28" s="720"/>
      <c r="Y28" s="439"/>
      <c r="Z28" s="718"/>
      <c r="AA28" s="2928"/>
      <c r="AB28" s="719"/>
      <c r="AC28" s="446"/>
      <c r="AD28" s="720"/>
      <c r="AE28" s="1635"/>
      <c r="AF28" s="2075"/>
      <c r="AG28" s="2095"/>
      <c r="AH28" s="2104"/>
      <c r="AI28" s="2099"/>
    </row>
    <row r="29" spans="1:35" ht="16.5" customHeight="1">
      <c r="A29" s="458" t="s">
        <v>160</v>
      </c>
      <c r="B29" s="721">
        <f>ROUND(SUM(B25:B28),1)</f>
        <v>90.8</v>
      </c>
      <c r="C29" s="721"/>
      <c r="D29" s="721">
        <f>ROUND(SUM(D25:D28),1)</f>
        <v>47.2</v>
      </c>
      <c r="E29" s="721"/>
      <c r="F29" s="721">
        <f>ROUND(SUM(F25:F28),1)</f>
        <v>53.6</v>
      </c>
      <c r="G29" s="721"/>
      <c r="H29" s="721">
        <f>ROUND(SUM(H25:H28),1)</f>
        <v>37.1</v>
      </c>
      <c r="I29" s="721"/>
      <c r="J29" s="721">
        <f>ROUND(SUM(J25:J28),1)</f>
        <v>63.6</v>
      </c>
      <c r="K29" s="721"/>
      <c r="L29" s="721">
        <f>ROUND(SUM(L25:L28),1)</f>
        <v>47.1</v>
      </c>
      <c r="M29" s="721"/>
      <c r="N29" s="2929">
        <f>ROUND(SUM(N25:N28),1)</f>
        <v>44.1</v>
      </c>
      <c r="O29" s="721"/>
      <c r="P29" s="721">
        <f>ROUND(SUM(P25:P28),1)</f>
        <v>63.8</v>
      </c>
      <c r="Q29" s="721"/>
      <c r="R29" s="721">
        <f>ROUND(SUM(R25:R28),1)</f>
        <v>33</v>
      </c>
      <c r="S29" s="721"/>
      <c r="T29" s="721">
        <f>ROUND(SUM(T25:T28),1)</f>
        <v>56.1</v>
      </c>
      <c r="U29" s="721"/>
      <c r="V29" s="721">
        <f>ROUND(SUM(V25:V28),1)</f>
        <v>0</v>
      </c>
      <c r="W29" s="721">
        <f>SUM(W25:W28)</f>
        <v>0</v>
      </c>
      <c r="X29" s="721">
        <f>ROUND(SUM(X25:X27),1)</f>
        <v>0</v>
      </c>
      <c r="Y29" s="721"/>
      <c r="Z29" s="722"/>
      <c r="AA29" s="2929">
        <f>ROUND(SUM(AA24:AA27),1)</f>
        <v>536.4</v>
      </c>
      <c r="AB29" s="723"/>
      <c r="AC29" s="724"/>
      <c r="AD29" s="721">
        <f>ROUND(SUM(AD24:AD27),1)</f>
        <v>461.6</v>
      </c>
      <c r="AE29" s="446"/>
      <c r="AF29" s="2076"/>
      <c r="AG29" s="2096">
        <f>ROUND(SUM(AG25:AG27),1)</f>
        <v>74.8</v>
      </c>
      <c r="AH29" s="2097"/>
      <c r="AI29" s="2098">
        <f>ROUND(IF(AG29=0,0,AG29/ABS(AD29)),3)</f>
        <v>0.16200000000000001</v>
      </c>
    </row>
    <row r="30" spans="1:35" ht="16.5" customHeight="1">
      <c r="A30" s="349"/>
      <c r="B30" s="720"/>
      <c r="C30" s="439"/>
      <c r="D30" s="720"/>
      <c r="E30" s="439"/>
      <c r="F30" s="720"/>
      <c r="G30" s="439"/>
      <c r="H30" s="720"/>
      <c r="I30" s="439"/>
      <c r="J30" s="720"/>
      <c r="K30" s="439"/>
      <c r="L30" s="720"/>
      <c r="M30" s="439"/>
      <c r="N30" s="2928"/>
      <c r="O30" s="439"/>
      <c r="P30" s="720"/>
      <c r="Q30" s="439"/>
      <c r="R30" s="720"/>
      <c r="S30" s="439"/>
      <c r="T30" s="720"/>
      <c r="U30" s="439"/>
      <c r="V30" s="720"/>
      <c r="W30" s="439"/>
      <c r="X30" s="720"/>
      <c r="Y30" s="439"/>
      <c r="Z30" s="718"/>
      <c r="AA30" s="2928"/>
      <c r="AB30" s="719"/>
      <c r="AC30" s="446"/>
      <c r="AD30" s="720"/>
      <c r="AE30" s="439"/>
      <c r="AF30" s="2076"/>
      <c r="AG30" s="2095"/>
      <c r="AI30" s="2082"/>
    </row>
    <row r="31" spans="1:35" ht="16.5" customHeight="1">
      <c r="A31" s="349"/>
      <c r="B31" s="439"/>
      <c r="C31" s="439"/>
      <c r="D31" s="439"/>
      <c r="E31" s="439"/>
      <c r="F31" s="439"/>
      <c r="G31" s="439"/>
      <c r="H31" s="439"/>
      <c r="I31" s="439"/>
      <c r="J31" s="439"/>
      <c r="K31" s="439"/>
      <c r="L31" s="439"/>
      <c r="M31" s="439"/>
      <c r="N31" s="2927"/>
      <c r="O31" s="439"/>
      <c r="P31" s="439"/>
      <c r="Q31" s="439"/>
      <c r="R31" s="439"/>
      <c r="S31" s="439"/>
      <c r="T31" s="439"/>
      <c r="U31" s="439"/>
      <c r="V31" s="439"/>
      <c r="W31" s="439"/>
      <c r="X31" s="439"/>
      <c r="Y31" s="439"/>
      <c r="Z31" s="718"/>
      <c r="AA31" s="2927"/>
      <c r="AB31" s="719"/>
      <c r="AC31" s="446"/>
      <c r="AD31" s="439"/>
      <c r="AE31" s="441"/>
      <c r="AF31" s="2077"/>
      <c r="AG31" s="2095"/>
      <c r="AH31" s="2100"/>
      <c r="AI31" s="2099"/>
    </row>
    <row r="32" spans="1:35" ht="16.5" customHeight="1">
      <c r="A32" s="349"/>
      <c r="B32" s="439"/>
      <c r="C32" s="439"/>
      <c r="D32" s="439"/>
      <c r="E32" s="439"/>
      <c r="F32" s="439"/>
      <c r="G32" s="439"/>
      <c r="H32" s="439"/>
      <c r="I32" s="439"/>
      <c r="J32" s="439"/>
      <c r="K32" s="439"/>
      <c r="L32" s="439"/>
      <c r="M32" s="439"/>
      <c r="N32" s="2927"/>
      <c r="O32" s="439"/>
      <c r="P32" s="439"/>
      <c r="Q32" s="439"/>
      <c r="R32" s="439"/>
      <c r="S32" s="439"/>
      <c r="T32" s="439"/>
      <c r="U32" s="439"/>
      <c r="V32" s="439"/>
      <c r="W32" s="439"/>
      <c r="X32" s="439"/>
      <c r="Y32" s="439"/>
      <c r="Z32" s="718"/>
      <c r="AA32" s="2927"/>
      <c r="AB32" s="719"/>
      <c r="AC32" s="446"/>
      <c r="AD32" s="439"/>
      <c r="AE32" s="441"/>
      <c r="AF32" s="2076"/>
      <c r="AG32" s="2095"/>
      <c r="AH32" s="2100"/>
      <c r="AI32" s="2099"/>
    </row>
    <row r="33" spans="1:35" ht="16.5" customHeight="1">
      <c r="A33" s="458" t="s">
        <v>161</v>
      </c>
      <c r="B33" s="439"/>
      <c r="C33" s="439"/>
      <c r="D33" s="439"/>
      <c r="E33" s="439"/>
      <c r="F33" s="439"/>
      <c r="G33" s="439"/>
      <c r="H33" s="439"/>
      <c r="I33" s="439"/>
      <c r="J33" s="439"/>
      <c r="K33" s="439"/>
      <c r="L33" s="439"/>
      <c r="M33" s="439"/>
      <c r="N33" s="2927"/>
      <c r="O33" s="439"/>
      <c r="P33" s="439"/>
      <c r="Q33" s="439"/>
      <c r="R33" s="439"/>
      <c r="S33" s="439"/>
      <c r="T33" s="439"/>
      <c r="U33" s="439"/>
      <c r="V33" s="439"/>
      <c r="W33" s="439"/>
      <c r="X33" s="439"/>
      <c r="Y33" s="439"/>
      <c r="Z33" s="718"/>
      <c r="AA33" s="2927"/>
      <c r="AB33" s="719"/>
      <c r="AC33" s="446"/>
      <c r="AD33" s="439"/>
      <c r="AE33" s="1651"/>
      <c r="AF33" s="2077"/>
      <c r="AG33" s="2095"/>
      <c r="AH33" s="2100"/>
      <c r="AI33" s="2099"/>
    </row>
    <row r="34" spans="1:35" ht="16.5" customHeight="1">
      <c r="A34" s="458" t="s">
        <v>45</v>
      </c>
      <c r="B34" s="721">
        <f>ROUND(B19-B29,1)</f>
        <v>-62.7</v>
      </c>
      <c r="C34" s="721"/>
      <c r="D34" s="721">
        <f>ROUND(D19-D29,1)</f>
        <v>4.5</v>
      </c>
      <c r="E34" s="721"/>
      <c r="F34" s="721">
        <f>ROUND(F19-F29,1)</f>
        <v>5.4</v>
      </c>
      <c r="G34" s="721"/>
      <c r="H34" s="721">
        <f>ROUND(H19-H29,1)</f>
        <v>-5.3</v>
      </c>
      <c r="I34" s="721"/>
      <c r="J34" s="721">
        <f>ROUND(J19-J29,1)</f>
        <v>-14.5</v>
      </c>
      <c r="K34" s="721"/>
      <c r="L34" s="721">
        <f>ROUND(L19-L29,1)</f>
        <v>-8.6999999999999993</v>
      </c>
      <c r="M34" s="721"/>
      <c r="N34" s="2929">
        <f>ROUND(N19-N29,1)</f>
        <v>-7.3</v>
      </c>
      <c r="O34" s="721"/>
      <c r="P34" s="721">
        <f>ROUND(P19-P29,1)</f>
        <v>-21.2</v>
      </c>
      <c r="Q34" s="721"/>
      <c r="R34" s="721">
        <f>ROUND(R19-R29,1)</f>
        <v>0.9</v>
      </c>
      <c r="S34" s="721"/>
      <c r="T34" s="721">
        <f>ROUND(T19-T29,1)</f>
        <v>-9.9</v>
      </c>
      <c r="U34" s="721"/>
      <c r="V34" s="721">
        <f>ROUND(V19-V29,1)</f>
        <v>0</v>
      </c>
      <c r="W34" s="721"/>
      <c r="X34" s="721">
        <f>ROUND(X19-X29,1)</f>
        <v>0</v>
      </c>
      <c r="Y34" s="721"/>
      <c r="Z34" s="722"/>
      <c r="AA34" s="2929">
        <f>ROUND(AA19-AA29,1)</f>
        <v>-118.8</v>
      </c>
      <c r="AB34" s="723"/>
      <c r="AC34" s="724"/>
      <c r="AD34" s="721">
        <f>ROUND(AD19-AD29,1)</f>
        <v>-141.80000000000001</v>
      </c>
      <c r="AE34" s="446"/>
      <c r="AF34" s="2074"/>
      <c r="AG34" s="2096">
        <f>ROUND(SUM(AG19-AG29),1)</f>
        <v>23</v>
      </c>
      <c r="AH34" s="2097"/>
      <c r="AI34" s="3173">
        <f>ROUND(IF(AG34=0,0,AG34/ABS(AD34)),3)</f>
        <v>0.16200000000000001</v>
      </c>
    </row>
    <row r="35" spans="1:35" ht="16.5" customHeight="1">
      <c r="A35" s="349"/>
      <c r="B35" s="720"/>
      <c r="C35" s="439"/>
      <c r="D35" s="720"/>
      <c r="E35" s="439"/>
      <c r="F35" s="720"/>
      <c r="G35" s="439"/>
      <c r="H35" s="720"/>
      <c r="I35" s="439"/>
      <c r="J35" s="720"/>
      <c r="K35" s="439"/>
      <c r="L35" s="720"/>
      <c r="M35" s="439"/>
      <c r="N35" s="2928"/>
      <c r="O35" s="439"/>
      <c r="P35" s="720"/>
      <c r="Q35" s="439"/>
      <c r="R35" s="720"/>
      <c r="S35" s="439"/>
      <c r="T35" s="720"/>
      <c r="U35" s="439"/>
      <c r="V35" s="720"/>
      <c r="W35" s="439"/>
      <c r="X35" s="720"/>
      <c r="Y35" s="439"/>
      <c r="Z35" s="718"/>
      <c r="AA35" s="2928"/>
      <c r="AB35" s="719"/>
      <c r="AC35" s="446"/>
      <c r="AD35" s="720"/>
      <c r="AE35" s="439"/>
      <c r="AF35" s="2074"/>
      <c r="AG35" s="2095"/>
      <c r="AI35" s="2082"/>
    </row>
    <row r="36" spans="1:35" ht="16.5" customHeight="1">
      <c r="A36" s="349"/>
      <c r="B36" s="439"/>
      <c r="C36" s="439"/>
      <c r="D36" s="439"/>
      <c r="E36" s="439"/>
      <c r="F36" s="439"/>
      <c r="G36" s="439"/>
      <c r="H36" s="439"/>
      <c r="I36" s="439"/>
      <c r="J36" s="439"/>
      <c r="K36" s="439"/>
      <c r="L36" s="439"/>
      <c r="M36" s="439"/>
      <c r="N36" s="2927"/>
      <c r="O36" s="439"/>
      <c r="P36" s="439"/>
      <c r="Q36" s="439"/>
      <c r="R36" s="439"/>
      <c r="S36" s="439"/>
      <c r="T36" s="439"/>
      <c r="U36" s="439"/>
      <c r="V36" s="439"/>
      <c r="W36" s="439"/>
      <c r="X36" s="439"/>
      <c r="Y36" s="439"/>
      <c r="Z36" s="718"/>
      <c r="AA36" s="2927"/>
      <c r="AB36" s="719"/>
      <c r="AC36" s="446"/>
      <c r="AD36" s="439"/>
      <c r="AE36" s="727"/>
      <c r="AF36" s="2078"/>
      <c r="AG36" s="2095"/>
      <c r="AI36" s="2082"/>
    </row>
    <row r="37" spans="1:35" ht="16.5" customHeight="1">
      <c r="A37" s="349"/>
      <c r="B37" s="439"/>
      <c r="C37" s="439"/>
      <c r="D37" s="439"/>
      <c r="E37" s="439"/>
      <c r="F37" s="439"/>
      <c r="G37" s="439"/>
      <c r="H37" s="439"/>
      <c r="I37" s="439"/>
      <c r="J37" s="439"/>
      <c r="K37" s="439"/>
      <c r="L37" s="439"/>
      <c r="M37" s="439"/>
      <c r="N37" s="2927"/>
      <c r="O37" s="439"/>
      <c r="P37" s="439"/>
      <c r="Q37" s="439"/>
      <c r="R37" s="439"/>
      <c r="S37" s="439"/>
      <c r="T37" s="439"/>
      <c r="U37" s="439"/>
      <c r="V37" s="439"/>
      <c r="W37" s="439"/>
      <c r="X37" s="439"/>
      <c r="Y37" s="439"/>
      <c r="Z37" s="718"/>
      <c r="AA37" s="2927"/>
      <c r="AB37" s="719"/>
      <c r="AC37" s="446"/>
      <c r="AD37" s="439"/>
      <c r="AE37" s="1635"/>
      <c r="AF37" s="2079"/>
      <c r="AG37" s="2095"/>
      <c r="AI37" s="2099"/>
    </row>
    <row r="38" spans="1:35" ht="16.5" customHeight="1">
      <c r="A38" s="458" t="s">
        <v>46</v>
      </c>
      <c r="B38" s="439"/>
      <c r="C38" s="439"/>
      <c r="D38" s="439"/>
      <c r="E38" s="439"/>
      <c r="F38" s="439"/>
      <c r="G38" s="439"/>
      <c r="H38" s="439"/>
      <c r="I38" s="439"/>
      <c r="J38" s="439"/>
      <c r="K38" s="439"/>
      <c r="L38" s="439"/>
      <c r="M38" s="439"/>
      <c r="N38" s="2927"/>
      <c r="O38" s="439"/>
      <c r="P38" s="439"/>
      <c r="Q38" s="439"/>
      <c r="R38" s="439"/>
      <c r="S38" s="439"/>
      <c r="T38" s="439"/>
      <c r="U38" s="439"/>
      <c r="V38" s="439"/>
      <c r="W38" s="439"/>
      <c r="X38" s="439"/>
      <c r="Y38" s="439"/>
      <c r="Z38" s="718"/>
      <c r="AA38" s="2927"/>
      <c r="AB38" s="719"/>
      <c r="AC38" s="446"/>
      <c r="AD38" s="439"/>
      <c r="AE38" s="712"/>
      <c r="AF38" s="2080"/>
      <c r="AG38" s="2105"/>
      <c r="AH38" s="2106"/>
      <c r="AI38" s="2099"/>
    </row>
    <row r="39" spans="1:35" ht="16.5" customHeight="1">
      <c r="A39" s="349" t="s">
        <v>186</v>
      </c>
      <c r="B39" s="686">
        <v>1.8</v>
      </c>
      <c r="C39" s="439"/>
      <c r="D39" s="717">
        <v>2.2000000000000002</v>
      </c>
      <c r="E39" s="439"/>
      <c r="F39" s="717">
        <v>1.3</v>
      </c>
      <c r="G39" s="439"/>
      <c r="H39" s="717">
        <v>2.4</v>
      </c>
      <c r="I39" s="439"/>
      <c r="J39" s="717">
        <v>2.7</v>
      </c>
      <c r="K39" s="439"/>
      <c r="L39" s="717">
        <v>5</v>
      </c>
      <c r="M39" s="439"/>
      <c r="N39" s="2937">
        <v>6.6</v>
      </c>
      <c r="O39" s="439"/>
      <c r="P39" s="717">
        <v>13.7</v>
      </c>
      <c r="Q39" s="439"/>
      <c r="R39" s="717">
        <v>10.1</v>
      </c>
      <c r="S39" s="439"/>
      <c r="T39" s="717">
        <v>3</v>
      </c>
      <c r="U39" s="439"/>
      <c r="V39" s="686"/>
      <c r="W39" s="439"/>
      <c r="X39" s="686"/>
      <c r="Y39" s="439"/>
      <c r="Z39" s="718"/>
      <c r="AA39" s="2927">
        <f>ROUND(SUM(B39:X39),1)</f>
        <v>48.8</v>
      </c>
      <c r="AB39" s="719"/>
      <c r="AC39" s="446"/>
      <c r="AD39" s="725">
        <v>31.6</v>
      </c>
      <c r="AE39" s="1642"/>
      <c r="AF39" s="2078"/>
      <c r="AG39" s="2095">
        <f>ROUND(SUM(AA39-AD39),1)</f>
        <v>17.2</v>
      </c>
      <c r="AH39" s="2100"/>
      <c r="AI39" s="2101">
        <f>ROUND(IF(AG39=0,0,AG39/ABS(AD39)),3)</f>
        <v>0.54400000000000004</v>
      </c>
    </row>
    <row r="40" spans="1:35" ht="16.5" customHeight="1">
      <c r="A40" s="349" t="s">
        <v>187</v>
      </c>
      <c r="B40" s="447">
        <v>0</v>
      </c>
      <c r="C40" s="439"/>
      <c r="D40" s="441">
        <v>0</v>
      </c>
      <c r="E40" s="439"/>
      <c r="F40" s="441">
        <v>0</v>
      </c>
      <c r="G40" s="439"/>
      <c r="H40" s="686">
        <v>0</v>
      </c>
      <c r="I40" s="439"/>
      <c r="J40" s="441">
        <v>-0.2</v>
      </c>
      <c r="K40" s="439"/>
      <c r="L40" s="717">
        <v>-7.1</v>
      </c>
      <c r="M40" s="439"/>
      <c r="N40" s="3120">
        <v>0</v>
      </c>
      <c r="O40" s="439"/>
      <c r="P40" s="441">
        <v>-0.1</v>
      </c>
      <c r="Q40" s="439"/>
      <c r="R40" s="441">
        <v>-2.9</v>
      </c>
      <c r="S40" s="439"/>
      <c r="T40" s="441">
        <v>-0.1</v>
      </c>
      <c r="U40" s="439"/>
      <c r="V40" s="717"/>
      <c r="W40" s="439"/>
      <c r="X40" s="686"/>
      <c r="Y40" s="439"/>
      <c r="Z40" s="718"/>
      <c r="AA40" s="2927">
        <f>ROUND(SUM(B40:X40),1)</f>
        <v>-10.4</v>
      </c>
      <c r="AB40" s="719"/>
      <c r="AC40" s="446"/>
      <c r="AD40" s="439">
        <v>-10.6</v>
      </c>
      <c r="AE40" s="252"/>
      <c r="AF40" s="2078"/>
      <c r="AG40" s="3513">
        <f>ROUND(SUM(AA40-AD40),1)*-1</f>
        <v>-0.2</v>
      </c>
      <c r="AH40" s="2100"/>
      <c r="AI40" s="2433">
        <f>ROUND(IF(AG40=0,0,AG40/ABS(AD40)),3)</f>
        <v>-1.9E-2</v>
      </c>
    </row>
    <row r="41" spans="1:35" ht="16.5" customHeight="1">
      <c r="A41" s="349"/>
      <c r="B41" s="720"/>
      <c r="C41" s="439"/>
      <c r="D41" s="720"/>
      <c r="E41" s="439"/>
      <c r="F41" s="720"/>
      <c r="G41" s="439"/>
      <c r="H41" s="720"/>
      <c r="I41" s="439"/>
      <c r="J41" s="720"/>
      <c r="K41" s="439"/>
      <c r="L41" s="720"/>
      <c r="M41" s="439"/>
      <c r="N41" s="2928"/>
      <c r="O41" s="439"/>
      <c r="P41" s="720"/>
      <c r="Q41" s="439"/>
      <c r="R41" s="720"/>
      <c r="S41" s="439"/>
      <c r="T41" s="720"/>
      <c r="U41" s="439"/>
      <c r="V41" s="720"/>
      <c r="W41" s="439"/>
      <c r="X41" s="720"/>
      <c r="Y41" s="439"/>
      <c r="Z41" s="718"/>
      <c r="AA41" s="726"/>
      <c r="AB41" s="719"/>
      <c r="AC41" s="446"/>
      <c r="AD41" s="726"/>
      <c r="AE41" s="365"/>
      <c r="AF41" s="2078"/>
      <c r="AG41" s="2091"/>
    </row>
    <row r="42" spans="1:35" ht="16.5" customHeight="1">
      <c r="A42" s="458" t="s">
        <v>213</v>
      </c>
      <c r="B42" s="721">
        <f>ROUND(SUM(B39:B41),1)</f>
        <v>1.8</v>
      </c>
      <c r="C42" s="721"/>
      <c r="D42" s="721">
        <f>ROUND(SUM(D39:D41),1)</f>
        <v>2.2000000000000002</v>
      </c>
      <c r="E42" s="721"/>
      <c r="F42" s="721">
        <f>ROUND(SUM(F39:F41),1)</f>
        <v>1.3</v>
      </c>
      <c r="G42" s="721"/>
      <c r="H42" s="721">
        <f>ROUND(SUM(H39:H41),1)</f>
        <v>2.4</v>
      </c>
      <c r="I42" s="721"/>
      <c r="J42" s="721">
        <f>ROUND(SUM(J39:J41),1)</f>
        <v>2.5</v>
      </c>
      <c r="K42" s="721"/>
      <c r="L42" s="721">
        <f>ROUND(SUM(L39:L41),1)</f>
        <v>-2.1</v>
      </c>
      <c r="M42" s="721"/>
      <c r="N42" s="2929">
        <f>ROUND(SUM(N39:N41),1)</f>
        <v>6.6</v>
      </c>
      <c r="O42" s="721"/>
      <c r="P42" s="721">
        <f>ROUND(SUM(P39:P41),1)</f>
        <v>13.6</v>
      </c>
      <c r="Q42" s="721"/>
      <c r="R42" s="721">
        <f>ROUND(SUM(R39:R41),1)</f>
        <v>7.2</v>
      </c>
      <c r="S42" s="721"/>
      <c r="T42" s="721">
        <f>ROUND(SUM(T39:T41),1)</f>
        <v>2.9</v>
      </c>
      <c r="U42" s="721"/>
      <c r="V42" s="721">
        <f>ROUND(SUM(V39:V41),1)</f>
        <v>0</v>
      </c>
      <c r="W42" s="721"/>
      <c r="X42" s="721">
        <f>ROUND(SUM(X39:X41),1)</f>
        <v>0</v>
      </c>
      <c r="Y42" s="721"/>
      <c r="Z42" s="722"/>
      <c r="AA42" s="721">
        <f>ROUND(SUM(AA39:AA41),1)</f>
        <v>38.4</v>
      </c>
      <c r="AB42" s="723"/>
      <c r="AC42" s="724"/>
      <c r="AD42" s="721">
        <f>ROUND(SUM(AD39:AD41),1)</f>
        <v>21</v>
      </c>
      <c r="AF42" s="2075"/>
      <c r="AG42" s="2096">
        <f>AA42-AD42</f>
        <v>17.399999999999999</v>
      </c>
      <c r="AH42" s="2107"/>
      <c r="AI42" s="2098">
        <f>ROUND(IF(AG42=0,0,AG42/ABS(AD42)),3)</f>
        <v>0.82899999999999996</v>
      </c>
    </row>
    <row r="43" spans="1:35" ht="16.5" customHeight="1">
      <c r="A43" s="349"/>
      <c r="B43" s="720"/>
      <c r="C43" s="439"/>
      <c r="D43" s="720"/>
      <c r="E43" s="439"/>
      <c r="F43" s="720"/>
      <c r="G43" s="439"/>
      <c r="H43" s="720"/>
      <c r="I43" s="439"/>
      <c r="J43" s="720"/>
      <c r="K43" s="439"/>
      <c r="L43" s="720"/>
      <c r="M43" s="439"/>
      <c r="N43" s="2928"/>
      <c r="O43" s="439"/>
      <c r="P43" s="720"/>
      <c r="Q43" s="439"/>
      <c r="R43" s="720"/>
      <c r="S43" s="439"/>
      <c r="T43" s="720"/>
      <c r="U43" s="439"/>
      <c r="V43" s="720"/>
      <c r="W43" s="439"/>
      <c r="X43" s="720"/>
      <c r="Y43" s="439"/>
      <c r="Z43" s="718"/>
      <c r="AA43" s="720"/>
      <c r="AB43" s="719"/>
      <c r="AC43" s="446"/>
      <c r="AD43" s="720"/>
      <c r="AE43" s="365"/>
      <c r="AF43" s="2078"/>
      <c r="AG43" s="2091"/>
    </row>
    <row r="44" spans="1:35" ht="16.5" customHeight="1">
      <c r="A44" s="349"/>
      <c r="B44" s="439"/>
      <c r="C44" s="439"/>
      <c r="D44" s="439"/>
      <c r="E44" s="439"/>
      <c r="F44" s="439"/>
      <c r="G44" s="439"/>
      <c r="H44" s="439"/>
      <c r="I44" s="439"/>
      <c r="J44" s="439"/>
      <c r="K44" s="439"/>
      <c r="L44" s="439"/>
      <c r="M44" s="439"/>
      <c r="N44" s="2927"/>
      <c r="O44" s="439"/>
      <c r="P44" s="439"/>
      <c r="Q44" s="439"/>
      <c r="R44" s="439"/>
      <c r="S44" s="439"/>
      <c r="T44" s="439"/>
      <c r="U44" s="439"/>
      <c r="V44" s="439"/>
      <c r="W44" s="439"/>
      <c r="X44" s="439"/>
      <c r="Y44" s="439"/>
      <c r="Z44" s="718"/>
      <c r="AA44" s="439"/>
      <c r="AB44" s="719"/>
      <c r="AC44" s="446"/>
      <c r="AD44" s="439"/>
      <c r="AE44" s="365"/>
      <c r="AF44" s="2078"/>
      <c r="AG44" s="2091"/>
    </row>
    <row r="45" spans="1:35" ht="16.5" customHeight="1">
      <c r="A45" s="349"/>
      <c r="B45" s="439"/>
      <c r="C45" s="439"/>
      <c r="D45" s="439"/>
      <c r="E45" s="439"/>
      <c r="F45" s="439"/>
      <c r="G45" s="439"/>
      <c r="H45" s="439"/>
      <c r="I45" s="439"/>
      <c r="J45" s="439"/>
      <c r="K45" s="439"/>
      <c r="L45" s="439"/>
      <c r="M45" s="439"/>
      <c r="N45" s="2927"/>
      <c r="O45" s="439"/>
      <c r="P45" s="439"/>
      <c r="Q45" s="439"/>
      <c r="R45" s="439"/>
      <c r="S45" s="439"/>
      <c r="T45" s="439"/>
      <c r="U45" s="439"/>
      <c r="V45" s="439"/>
      <c r="W45" s="439"/>
      <c r="X45" s="439"/>
      <c r="Y45" s="439"/>
      <c r="Z45" s="718"/>
      <c r="AA45" s="439"/>
      <c r="AB45" s="719"/>
      <c r="AC45" s="446"/>
      <c r="AD45" s="439"/>
      <c r="AE45" s="365"/>
      <c r="AF45" s="2078"/>
    </row>
    <row r="46" spans="1:35" ht="16.5" customHeight="1">
      <c r="A46" s="458" t="s">
        <v>170</v>
      </c>
      <c r="B46" s="439"/>
      <c r="C46" s="439"/>
      <c r="D46" s="439"/>
      <c r="E46" s="439"/>
      <c r="F46" s="439"/>
      <c r="G46" s="439"/>
      <c r="H46" s="439"/>
      <c r="I46" s="439"/>
      <c r="J46" s="439"/>
      <c r="K46" s="439"/>
      <c r="L46" s="439"/>
      <c r="M46" s="439"/>
      <c r="N46" s="2927"/>
      <c r="O46" s="439"/>
      <c r="P46" s="439"/>
      <c r="Q46" s="439"/>
      <c r="R46" s="439"/>
      <c r="S46" s="439"/>
      <c r="T46" s="439"/>
      <c r="U46" s="439"/>
      <c r="V46" s="439"/>
      <c r="W46" s="439"/>
      <c r="X46" s="439"/>
      <c r="Y46" s="439"/>
      <c r="Z46" s="718"/>
      <c r="AA46" s="439"/>
      <c r="AB46" s="719"/>
      <c r="AC46" s="446"/>
      <c r="AD46" s="439"/>
      <c r="AE46" s="365"/>
      <c r="AF46" s="2078"/>
    </row>
    <row r="47" spans="1:35" ht="16.5" customHeight="1">
      <c r="A47" s="458" t="s">
        <v>231</v>
      </c>
      <c r="B47" s="439"/>
      <c r="C47" s="439"/>
      <c r="D47" s="439"/>
      <c r="E47" s="439"/>
      <c r="F47" s="439"/>
      <c r="G47" s="439"/>
      <c r="H47" s="439"/>
      <c r="I47" s="439"/>
      <c r="J47" s="439"/>
      <c r="K47" s="439"/>
      <c r="L47" s="439"/>
      <c r="M47" s="439"/>
      <c r="N47" s="2927"/>
      <c r="O47" s="439"/>
      <c r="P47" s="439"/>
      <c r="Q47" s="439"/>
      <c r="R47" s="439"/>
      <c r="S47" s="439"/>
      <c r="T47" s="439"/>
      <c r="U47" s="439"/>
      <c r="V47" s="439"/>
      <c r="W47" s="439"/>
      <c r="X47" s="439"/>
      <c r="Y47" s="439"/>
      <c r="Z47" s="718"/>
      <c r="AA47" s="439"/>
      <c r="AB47" s="719"/>
      <c r="AC47" s="446"/>
      <c r="AD47" s="439"/>
      <c r="AE47" s="223"/>
      <c r="AF47" s="2075"/>
    </row>
    <row r="48" spans="1:35" s="419" customFormat="1" ht="16.5" customHeight="1">
      <c r="A48" s="458" t="s">
        <v>172</v>
      </c>
      <c r="B48" s="721">
        <f>ROUND(SUM(B34,B42),1)</f>
        <v>-60.9</v>
      </c>
      <c r="C48" s="721"/>
      <c r="D48" s="721">
        <f>ROUND(SUM(D34,D42),1)</f>
        <v>6.7</v>
      </c>
      <c r="E48" s="721"/>
      <c r="F48" s="721">
        <f>ROUND(SUM(F34,F42),1)</f>
        <v>6.7</v>
      </c>
      <c r="G48" s="721"/>
      <c r="H48" s="721">
        <f>ROUND(SUM(H34,H42),1)</f>
        <v>-2.9</v>
      </c>
      <c r="I48" s="721"/>
      <c r="J48" s="721">
        <f>ROUND(SUM(J34,J42),1)</f>
        <v>-12</v>
      </c>
      <c r="K48" s="721"/>
      <c r="L48" s="721">
        <f>ROUND(SUM(L34,L42),1)</f>
        <v>-10.8</v>
      </c>
      <c r="M48" s="721"/>
      <c r="N48" s="2929">
        <f>ROUND(SUM(N34,N42),1)</f>
        <v>-0.7</v>
      </c>
      <c r="O48" s="721"/>
      <c r="P48" s="721">
        <f>ROUND(SUM(P34,P42),1)</f>
        <v>-7.6</v>
      </c>
      <c r="Q48" s="721"/>
      <c r="R48" s="721">
        <f>ROUND(SUM(R34,R42),1)</f>
        <v>8.1</v>
      </c>
      <c r="S48" s="721"/>
      <c r="T48" s="721">
        <f>ROUND(SUM(T34,T42),1)</f>
        <v>-7</v>
      </c>
      <c r="U48" s="721"/>
      <c r="V48" s="721">
        <f>ROUND(SUM(V34,V42),1)</f>
        <v>0</v>
      </c>
      <c r="W48" s="721"/>
      <c r="X48" s="721">
        <f>ROUND(SUM(X34,X42),1)</f>
        <v>0</v>
      </c>
      <c r="Y48" s="721"/>
      <c r="Z48" s="722"/>
      <c r="AA48" s="727">
        <f>ROUND(AA34+AA42,1)</f>
        <v>-80.400000000000006</v>
      </c>
      <c r="AB48" s="723"/>
      <c r="AC48" s="724"/>
      <c r="AD48" s="727">
        <f>ROUND(AD34+AD42,1)</f>
        <v>-120.8</v>
      </c>
      <c r="AE48" s="732"/>
      <c r="AF48" s="2075"/>
      <c r="AG48" s="2096">
        <f>ROUND(SUM(AG34+AG42),1)</f>
        <v>40.4</v>
      </c>
      <c r="AH48" s="2071"/>
      <c r="AI48" s="2098">
        <f>ROUND(IF(AG48=0,0,AG48/ABS(AD48)),3)</f>
        <v>0.33400000000000002</v>
      </c>
    </row>
    <row r="49" spans="1:35" ht="16.5" customHeight="1">
      <c r="A49" s="349"/>
      <c r="B49" s="728"/>
      <c r="C49" s="713"/>
      <c r="D49" s="728"/>
      <c r="E49" s="713"/>
      <c r="F49" s="728"/>
      <c r="G49" s="713"/>
      <c r="H49" s="728"/>
      <c r="I49" s="713"/>
      <c r="J49" s="728"/>
      <c r="K49" s="713"/>
      <c r="L49" s="728"/>
      <c r="M49" s="713"/>
      <c r="N49" s="3147"/>
      <c r="O49" s="713"/>
      <c r="P49" s="728"/>
      <c r="Q49" s="713"/>
      <c r="R49" s="728"/>
      <c r="S49" s="713"/>
      <c r="T49" s="728"/>
      <c r="U49" s="713"/>
      <c r="V49" s="728"/>
      <c r="W49" s="713"/>
      <c r="X49" s="728"/>
      <c r="Y49" s="713"/>
      <c r="Z49" s="714"/>
      <c r="AA49" s="728"/>
      <c r="AB49" s="715"/>
      <c r="AC49" s="716"/>
      <c r="AD49" s="728"/>
      <c r="AF49" s="2075"/>
      <c r="AI49" s="2082"/>
    </row>
    <row r="50" spans="1:35" ht="16.5" customHeight="1" thickBot="1">
      <c r="A50" s="635" t="s">
        <v>144</v>
      </c>
      <c r="B50" s="709">
        <f>ROUND(SUM(B14,B48),1)</f>
        <v>-261.3</v>
      </c>
      <c r="C50" s="709"/>
      <c r="D50" s="709">
        <f>ROUND(SUM(D14,D48),1)</f>
        <v>-254.6</v>
      </c>
      <c r="E50" s="709"/>
      <c r="F50" s="709">
        <f>ROUND(SUM(F14,F48),1)</f>
        <v>-247.9</v>
      </c>
      <c r="G50" s="709"/>
      <c r="H50" s="709">
        <f>ROUND(SUM(H14,H48),1)</f>
        <v>-250.8</v>
      </c>
      <c r="I50" s="709"/>
      <c r="J50" s="709">
        <f>ROUND(SUM(J14,J48),1)</f>
        <v>-262.8</v>
      </c>
      <c r="K50" s="709"/>
      <c r="L50" s="709">
        <f>ROUND(SUM(L14,L48),1)</f>
        <v>-273.60000000000002</v>
      </c>
      <c r="M50" s="709"/>
      <c r="N50" s="3145">
        <f>ROUND(SUM(N14,N48),1)</f>
        <v>-274.3</v>
      </c>
      <c r="O50" s="709"/>
      <c r="P50" s="709">
        <f>ROUND(SUM(P14,P48),1)</f>
        <v>-281.89999999999998</v>
      </c>
      <c r="Q50" s="709"/>
      <c r="R50" s="729">
        <f>ROUND(SUM(R14,R48),1)</f>
        <v>-273.8</v>
      </c>
      <c r="S50" s="709"/>
      <c r="T50" s="709">
        <f>ROUND(SUM(T14,T48),1)</f>
        <v>-280.8</v>
      </c>
      <c r="U50" s="709"/>
      <c r="V50" s="709">
        <f>ROUND(SUM(V14,V48),1)</f>
        <v>0</v>
      </c>
      <c r="W50" s="709"/>
      <c r="X50" s="709">
        <f>ROUND(SUM(X14,X48),1)</f>
        <v>0</v>
      </c>
      <c r="Y50" s="709"/>
      <c r="Z50" s="710"/>
      <c r="AA50" s="709">
        <f>ROUND(SUM(AA14,AA48),1)</f>
        <v>-280.8</v>
      </c>
      <c r="AB50" s="711"/>
      <c r="AC50" s="712"/>
      <c r="AD50" s="709">
        <f>ROUND(SUM(AD14,AD48),1)</f>
        <v>-248</v>
      </c>
      <c r="AF50" s="2075"/>
      <c r="AG50" s="2108">
        <f>ROUND(SUM(AA50-AD50),1)</f>
        <v>-32.799999999999997</v>
      </c>
      <c r="AH50" s="2106"/>
      <c r="AI50" s="2109">
        <f>ROUND(IF(AG50=0,0,AG50/ABS(AD50)),3)</f>
        <v>-0.13200000000000001</v>
      </c>
    </row>
    <row r="51" spans="1:35" ht="16.5" customHeight="1" thickTop="1">
      <c r="A51" s="349"/>
      <c r="B51" s="730"/>
      <c r="C51" s="713"/>
      <c r="D51" s="730"/>
      <c r="E51" s="713"/>
      <c r="F51" s="730"/>
      <c r="G51" s="713"/>
      <c r="H51" s="730"/>
      <c r="I51" s="713"/>
      <c r="J51" s="730"/>
      <c r="K51" s="713"/>
      <c r="L51" s="730"/>
      <c r="M51" s="713"/>
      <c r="N51" s="3148"/>
      <c r="O51" s="713"/>
      <c r="P51" s="730"/>
      <c r="Q51" s="713"/>
      <c r="R51" s="716"/>
      <c r="S51" s="713"/>
      <c r="T51" s="730"/>
      <c r="U51" s="713"/>
      <c r="V51" s="730"/>
      <c r="W51" s="713"/>
      <c r="X51" s="730"/>
      <c r="Y51" s="713"/>
      <c r="Z51" s="713"/>
      <c r="AA51" s="730"/>
      <c r="AB51" s="713"/>
      <c r="AC51" s="713"/>
      <c r="AD51" s="730"/>
    </row>
    <row r="53" spans="1:35" ht="16.5" customHeight="1">
      <c r="A53" s="731"/>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0.6328125" style="732" customWidth="1"/>
    <col min="11" max="11" width="1.6328125" style="732" customWidth="1"/>
    <col min="12" max="12" width="13" style="732" customWidth="1"/>
    <col min="13" max="13" width="1.6328125" style="732" customWidth="1"/>
    <col min="14" max="14" width="12" style="3109" bestFit="1" customWidth="1"/>
    <col min="15" max="15" width="1.6328125" style="732" customWidth="1"/>
    <col min="16" max="16" width="12.81640625" style="732" customWidth="1"/>
    <col min="17" max="17" width="1.6328125" style="732" customWidth="1"/>
    <col min="18" max="18" width="13.1796875" style="732" customWidth="1"/>
    <col min="19" max="19" width="1.6328125" style="732" customWidth="1"/>
    <col min="20" max="20" width="11" style="732" bestFit="1" customWidth="1"/>
    <col min="21" max="21" width="1.6328125" style="732" customWidth="1"/>
    <col min="22" max="22" width="12.816406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1592" customWidth="1"/>
    <col min="31" max="31" width="1.81640625" style="2081" customWidth="1"/>
    <col min="32" max="32" width="2.453125" style="2081" customWidth="1"/>
    <col min="33" max="33" width="10.36328125" style="2082" bestFit="1" customWidth="1"/>
    <col min="34" max="34" width="1.6328125" style="2082" customWidth="1"/>
    <col min="35" max="35" width="11.08984375" style="2081" customWidth="1"/>
    <col min="36" max="16384" width="8.90625" style="732"/>
  </cols>
  <sheetData>
    <row r="1" spans="1:35">
      <c r="A1" s="1124" t="s">
        <v>1066</v>
      </c>
    </row>
    <row r="2" spans="1:35">
      <c r="A2" s="1577"/>
    </row>
    <row r="3" spans="1:35" ht="20.25" customHeight="1">
      <c r="A3" s="1586"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32" t="s">
        <v>229</v>
      </c>
    </row>
    <row r="4" spans="1:35" ht="20.25" customHeight="1">
      <c r="A4" s="1587"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88"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2112"/>
    </row>
    <row r="6" spans="1:35" ht="20.25" customHeight="1">
      <c r="A6" s="1588" t="s">
        <v>1437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86"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81"/>
      <c r="AF8" s="2081"/>
      <c r="AG8" s="2082"/>
      <c r="AH8" s="2082"/>
      <c r="AI8" s="2081"/>
    </row>
    <row r="9" spans="1:35" s="734" customFormat="1" ht="18.899999999999999" customHeight="1">
      <c r="A9" s="1279"/>
      <c r="B9" s="1279"/>
      <c r="C9" s="1279"/>
      <c r="D9" s="1279"/>
      <c r="E9" s="1279"/>
      <c r="F9" s="1279"/>
      <c r="G9" s="1279"/>
      <c r="H9" s="221"/>
      <c r="I9" s="221"/>
      <c r="J9" s="221"/>
      <c r="K9" s="1279"/>
      <c r="L9" s="1279"/>
      <c r="M9" s="1279"/>
      <c r="N9" s="1845"/>
      <c r="O9" s="1279"/>
      <c r="P9" s="1279"/>
      <c r="Q9" s="1279"/>
      <c r="R9" s="1279"/>
      <c r="S9" s="1279"/>
      <c r="T9" s="1279"/>
      <c r="U9" s="1279"/>
      <c r="V9" s="1279"/>
      <c r="W9" s="1279"/>
      <c r="X9" s="1279"/>
      <c r="Y9" s="1279"/>
      <c r="Z9" s="349"/>
      <c r="AA9" s="349"/>
      <c r="AB9" s="349"/>
      <c r="AC9" s="3553"/>
      <c r="AD9" s="3554"/>
      <c r="AE9" s="3554"/>
      <c r="AF9" s="3554"/>
      <c r="AG9" s="3554"/>
      <c r="AH9" s="3554"/>
      <c r="AI9" s="3554"/>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89"/>
      <c r="W10" s="1590"/>
      <c r="X10" s="1591"/>
      <c r="Y10" s="1592"/>
      <c r="Z10" s="3555" t="s">
        <v>1556</v>
      </c>
      <c r="AA10" s="3555"/>
      <c r="AB10" s="3555"/>
      <c r="AC10" s="3555"/>
      <c r="AD10" s="3555"/>
      <c r="AE10" s="3555"/>
      <c r="AF10" s="3555"/>
      <c r="AG10" s="3555"/>
      <c r="AH10" s="3555"/>
      <c r="AI10" s="3555"/>
    </row>
    <row r="11" spans="1:35" s="734" customFormat="1" ht="18.899999999999999" customHeight="1">
      <c r="A11" s="349"/>
      <c r="B11" s="1436">
        <v>2017</v>
      </c>
      <c r="C11" s="458"/>
      <c r="D11" s="458"/>
      <c r="E11" s="458"/>
      <c r="F11" s="458"/>
      <c r="G11" s="458"/>
      <c r="H11" s="458"/>
      <c r="I11" s="458"/>
      <c r="J11" s="458"/>
      <c r="K11" s="458"/>
      <c r="L11" s="458"/>
      <c r="M11" s="458"/>
      <c r="N11" s="3110"/>
      <c r="O11" s="458"/>
      <c r="P11" s="458"/>
      <c r="Q11" s="458"/>
      <c r="R11" s="458"/>
      <c r="S11" s="458"/>
      <c r="T11" s="1436">
        <v>2018</v>
      </c>
      <c r="U11" s="458"/>
      <c r="V11" s="458"/>
      <c r="W11" s="458"/>
      <c r="X11" s="458"/>
      <c r="Y11" s="458"/>
      <c r="Z11" s="1437"/>
      <c r="AA11" s="1437"/>
      <c r="AB11" s="1437"/>
      <c r="AC11" s="1437"/>
      <c r="AD11" s="1821"/>
      <c r="AE11" s="2113"/>
      <c r="AF11" s="2071"/>
      <c r="AG11" s="2085" t="s">
        <v>8</v>
      </c>
      <c r="AH11" s="2085"/>
      <c r="AI11" s="2086" t="s">
        <v>9</v>
      </c>
    </row>
    <row r="12" spans="1:35" s="734" customFormat="1" ht="18.899999999999999" customHeight="1">
      <c r="A12" s="349"/>
      <c r="B12" s="1593" t="s">
        <v>127</v>
      </c>
      <c r="C12" s="458"/>
      <c r="D12" s="1593" t="s">
        <v>128</v>
      </c>
      <c r="E12" s="458"/>
      <c r="F12" s="1593" t="s">
        <v>129</v>
      </c>
      <c r="G12" s="458"/>
      <c r="H12" s="1593" t="s">
        <v>130</v>
      </c>
      <c r="I12" s="458"/>
      <c r="J12" s="1594" t="s">
        <v>230</v>
      </c>
      <c r="K12" s="458"/>
      <c r="L12" s="1594" t="s">
        <v>146</v>
      </c>
      <c r="M12" s="458"/>
      <c r="N12" s="3111" t="s">
        <v>147</v>
      </c>
      <c r="O12" s="458"/>
      <c r="P12" s="1593" t="s">
        <v>134</v>
      </c>
      <c r="Q12" s="458"/>
      <c r="R12" s="1593" t="s">
        <v>135</v>
      </c>
      <c r="S12" s="458"/>
      <c r="T12" s="1594" t="s">
        <v>136</v>
      </c>
      <c r="U12" s="458"/>
      <c r="V12" s="1593" t="s">
        <v>137</v>
      </c>
      <c r="W12" s="458"/>
      <c r="X12" s="1594" t="s">
        <v>190</v>
      </c>
      <c r="Y12" s="458"/>
      <c r="Z12" s="458"/>
      <c r="AA12" s="1438">
        <v>2018</v>
      </c>
      <c r="AB12" s="1438"/>
      <c r="AC12" s="1595"/>
      <c r="AD12" s="1593">
        <v>2017</v>
      </c>
      <c r="AE12" s="2107"/>
      <c r="AF12" s="2107"/>
      <c r="AG12" s="2087" t="s">
        <v>12</v>
      </c>
      <c r="AH12" s="2088"/>
      <c r="AI12" s="2087" t="s">
        <v>13</v>
      </c>
    </row>
    <row r="13" spans="1:35" s="734" customFormat="1" ht="18.899999999999999" customHeight="1">
      <c r="A13" s="458" t="s">
        <v>139</v>
      </c>
      <c r="B13" s="1596">
        <v>-1.9</v>
      </c>
      <c r="C13" s="709"/>
      <c r="D13" s="1596">
        <f>B38</f>
        <v>-0.3</v>
      </c>
      <c r="E13" s="709"/>
      <c r="F13" s="1596">
        <f>D38</f>
        <v>-2.2000000000000002</v>
      </c>
      <c r="G13" s="1597"/>
      <c r="H13" s="1597">
        <f>F38</f>
        <v>-7.9</v>
      </c>
      <c r="I13" s="1597"/>
      <c r="J13" s="1597">
        <f>H38</f>
        <v>-19.600000000000001</v>
      </c>
      <c r="K13" s="1597"/>
      <c r="L13" s="1597">
        <f>J38</f>
        <v>-20.5</v>
      </c>
      <c r="M13" s="1597"/>
      <c r="N13" s="3112">
        <f>L38</f>
        <v>-21.4</v>
      </c>
      <c r="O13" s="1597"/>
      <c r="P13" s="1598">
        <f>N38</f>
        <v>-22.7</v>
      </c>
      <c r="Q13" s="1597"/>
      <c r="R13" s="1597">
        <f>P38</f>
        <v>0.4</v>
      </c>
      <c r="S13" s="1597"/>
      <c r="T13" s="1596">
        <f>R38</f>
        <v>-10</v>
      </c>
      <c r="U13" s="1597"/>
      <c r="V13" s="1596"/>
      <c r="W13" s="1597"/>
      <c r="X13" s="1597"/>
      <c r="Y13" s="1599"/>
      <c r="Z13" s="1600"/>
      <c r="AA13" s="1598">
        <f>+B13</f>
        <v>-1.9</v>
      </c>
      <c r="AB13" s="1599"/>
      <c r="AC13" s="1601"/>
      <c r="AD13" s="1598">
        <v>0.1</v>
      </c>
      <c r="AE13" s="2114"/>
      <c r="AF13" s="2110"/>
      <c r="AG13" s="2089">
        <f>ROUND(SUM(AA13-AD13),1)</f>
        <v>-2</v>
      </c>
      <c r="AH13" s="2082"/>
      <c r="AI13" s="2471">
        <f>ROUND(IF(AG13=0,0,AG13/(AD13)),3)</f>
        <v>-20</v>
      </c>
    </row>
    <row r="14" spans="1:35" s="734" customFormat="1" ht="18.899999999999999" customHeight="1">
      <c r="A14" s="349"/>
      <c r="B14" s="713"/>
      <c r="C14" s="713"/>
      <c r="D14" s="713"/>
      <c r="E14" s="713"/>
      <c r="F14" s="1602"/>
      <c r="G14" s="1602"/>
      <c r="H14" s="1603"/>
      <c r="I14" s="1603"/>
      <c r="J14" s="1603"/>
      <c r="K14" s="1602"/>
      <c r="L14" s="1603"/>
      <c r="M14" s="1603"/>
      <c r="N14" s="3113"/>
      <c r="O14" s="1603"/>
      <c r="P14" s="1603"/>
      <c r="Q14" s="1603"/>
      <c r="R14" s="1603"/>
      <c r="S14" s="1603"/>
      <c r="T14" s="1603"/>
      <c r="U14" s="1603"/>
      <c r="V14" s="1603"/>
      <c r="W14" s="1603"/>
      <c r="X14" s="1603"/>
      <c r="Y14" s="1604"/>
      <c r="Z14" s="1605"/>
      <c r="AA14" s="713"/>
      <c r="AB14" s="1604"/>
      <c r="AC14" s="1606"/>
      <c r="AD14" s="713"/>
      <c r="AE14" s="2115"/>
      <c r="AF14" s="2111"/>
      <c r="AG14" s="2091"/>
      <c r="AH14" s="2082"/>
      <c r="AI14" s="2081"/>
    </row>
    <row r="15" spans="1:35" s="734" customFormat="1" ht="18.899999999999999" customHeight="1">
      <c r="A15" s="458" t="s">
        <v>14</v>
      </c>
      <c r="B15" s="713"/>
      <c r="C15" s="713"/>
      <c r="D15" s="713"/>
      <c r="E15" s="713"/>
      <c r="F15" s="1602"/>
      <c r="G15" s="1602"/>
      <c r="H15" s="1603"/>
      <c r="I15" s="1603"/>
      <c r="J15" s="1603"/>
      <c r="K15" s="1602"/>
      <c r="L15" s="1603"/>
      <c r="M15" s="1603"/>
      <c r="N15" s="3113"/>
      <c r="O15" s="1603"/>
      <c r="P15" s="1603"/>
      <c r="Q15" s="1603"/>
      <c r="R15" s="1603"/>
      <c r="S15" s="1603"/>
      <c r="T15" s="1603"/>
      <c r="U15" s="1603"/>
      <c r="V15" s="1603"/>
      <c r="W15" s="1603"/>
      <c r="X15" s="1603"/>
      <c r="Y15" s="1604"/>
      <c r="Z15" s="1605"/>
      <c r="AA15" s="713"/>
      <c r="AB15" s="1604"/>
      <c r="AC15" s="1606"/>
      <c r="AD15" s="713"/>
      <c r="AE15" s="2115"/>
      <c r="AF15" s="2111"/>
      <c r="AG15" s="2091"/>
      <c r="AH15" s="2082"/>
      <c r="AI15" s="2081"/>
    </row>
    <row r="16" spans="1:35" s="734" customFormat="1" ht="18.899999999999999" customHeight="1">
      <c r="A16" s="1607" t="s">
        <v>183</v>
      </c>
      <c r="B16" s="1608">
        <v>5.6</v>
      </c>
      <c r="C16" s="439"/>
      <c r="D16" s="717">
        <v>7.7</v>
      </c>
      <c r="E16" s="439"/>
      <c r="F16" s="2937">
        <v>5</v>
      </c>
      <c r="G16" s="439"/>
      <c r="H16" s="717">
        <v>4.9000000000000004</v>
      </c>
      <c r="I16" s="1609"/>
      <c r="J16" s="717">
        <v>5</v>
      </c>
      <c r="K16" s="439"/>
      <c r="L16" s="717">
        <v>5</v>
      </c>
      <c r="M16" s="1610"/>
      <c r="N16" s="2937">
        <v>5.8</v>
      </c>
      <c r="O16" s="1610"/>
      <c r="P16" s="717">
        <v>28.6</v>
      </c>
      <c r="Q16" s="1610"/>
      <c r="R16" s="717">
        <v>5.2</v>
      </c>
      <c r="S16" s="1610"/>
      <c r="T16" s="717">
        <v>5</v>
      </c>
      <c r="U16" s="1610"/>
      <c r="V16" s="717"/>
      <c r="W16" s="1610"/>
      <c r="X16" s="717"/>
      <c r="Y16" s="1611"/>
      <c r="Z16" s="1612"/>
      <c r="AA16" s="1644">
        <f>ROUND(SUM(B16:X16),1)</f>
        <v>77.8</v>
      </c>
      <c r="AB16" s="1611"/>
      <c r="AC16" s="1610"/>
      <c r="AD16" s="1608">
        <v>71.8</v>
      </c>
      <c r="AE16" s="2116"/>
      <c r="AF16" s="2074"/>
      <c r="AG16" s="2095">
        <f>ROUND(SUM(AA16-AD16),1)</f>
        <v>6</v>
      </c>
      <c r="AH16" s="2082"/>
      <c r="AI16" s="2101">
        <f>ROUND(IF(AG16=0,0,AG16/ABS(AD16)),3)</f>
        <v>8.4000000000000005E-2</v>
      </c>
    </row>
    <row r="17" spans="1:35" s="734" customFormat="1" ht="24" customHeight="1">
      <c r="A17" s="458" t="s">
        <v>154</v>
      </c>
      <c r="B17" s="1613">
        <f>ROUND(SUM(B16),1)</f>
        <v>5.6</v>
      </c>
      <c r="C17" s="721"/>
      <c r="D17" s="1613">
        <f>ROUND(SUM(D16),1)</f>
        <v>7.7</v>
      </c>
      <c r="E17" s="721"/>
      <c r="F17" s="1613">
        <f>ROUND(SUM(F16),1)</f>
        <v>5</v>
      </c>
      <c r="G17" s="721"/>
      <c r="H17" s="1613">
        <f>ROUND(SUM(H16),1)</f>
        <v>4.9000000000000004</v>
      </c>
      <c r="I17" s="1614"/>
      <c r="J17" s="1613">
        <f>ROUND(SUM(J16),1)</f>
        <v>5</v>
      </c>
      <c r="K17" s="721"/>
      <c r="L17" s="1613">
        <f>ROUND(SUM(L16),1)</f>
        <v>5</v>
      </c>
      <c r="M17" s="1615"/>
      <c r="N17" s="3114">
        <f>ROUND(SUM(N16),1)</f>
        <v>5.8</v>
      </c>
      <c r="O17" s="1615"/>
      <c r="P17" s="1613">
        <f>ROUND(SUM(P16),1)</f>
        <v>28.6</v>
      </c>
      <c r="Q17" s="1615"/>
      <c r="R17" s="1613">
        <f>ROUND(SUM(R16),1)</f>
        <v>5.2</v>
      </c>
      <c r="S17" s="1615"/>
      <c r="T17" s="1613">
        <f>ROUND(SUM(T16),1)</f>
        <v>5</v>
      </c>
      <c r="U17" s="1615"/>
      <c r="V17" s="1613">
        <f>ROUND(SUM(V16),1)</f>
        <v>0</v>
      </c>
      <c r="W17" s="1615"/>
      <c r="X17" s="1613">
        <f>ROUND(SUM(X16),1)</f>
        <v>0</v>
      </c>
      <c r="Y17" s="1616"/>
      <c r="Z17" s="1617"/>
      <c r="AA17" s="1625">
        <f>ROUND(SUM(AA16),1)</f>
        <v>77.8</v>
      </c>
      <c r="AB17" s="1616"/>
      <c r="AC17" s="1617"/>
      <c r="AD17" s="1625">
        <f>ROUND(SUM(AD16),1)</f>
        <v>71.8</v>
      </c>
      <c r="AE17" s="2117"/>
      <c r="AF17" s="2074"/>
      <c r="AG17" s="2126">
        <f>ROUND(SUM(AG16),1)</f>
        <v>6</v>
      </c>
      <c r="AH17" s="2127"/>
      <c r="AI17" s="2128">
        <f>ROUND(IF(AG17=0,0,AG17/ABS(AD17)),3)</f>
        <v>8.4000000000000005E-2</v>
      </c>
    </row>
    <row r="18" spans="1:35" s="734" customFormat="1" ht="18.899999999999999" customHeight="1">
      <c r="A18" s="349"/>
      <c r="B18" s="720"/>
      <c r="C18" s="439"/>
      <c r="D18" s="720" t="s">
        <v>15</v>
      </c>
      <c r="E18" s="439"/>
      <c r="F18" s="720"/>
      <c r="G18" s="439"/>
      <c r="H18" s="1618"/>
      <c r="I18" s="1610"/>
      <c r="J18" s="1618"/>
      <c r="K18" s="439"/>
      <c r="L18" s="1619"/>
      <c r="M18" s="1610"/>
      <c r="N18" s="3115"/>
      <c r="O18" s="1610"/>
      <c r="P18" s="1618"/>
      <c r="Q18" s="1610"/>
      <c r="R18" s="1618"/>
      <c r="S18" s="1610"/>
      <c r="T18" s="1618"/>
      <c r="U18" s="1610"/>
      <c r="V18" s="1618"/>
      <c r="W18" s="1610"/>
      <c r="X18" s="1618"/>
      <c r="Y18" s="1611"/>
      <c r="Z18" s="1612"/>
      <c r="AA18" s="720"/>
      <c r="AB18" s="1611"/>
      <c r="AC18" s="1609"/>
      <c r="AD18" s="720"/>
      <c r="AE18" s="2095"/>
      <c r="AF18" s="2074"/>
      <c r="AG18" s="2095"/>
      <c r="AH18" s="2082"/>
      <c r="AI18" s="2081"/>
    </row>
    <row r="19" spans="1:35" s="734" customFormat="1" ht="18.899999999999999" customHeight="1">
      <c r="A19" s="349"/>
      <c r="B19" s="439"/>
      <c r="C19" s="439"/>
      <c r="D19" s="439" t="s">
        <v>15</v>
      </c>
      <c r="E19" s="439"/>
      <c r="F19" s="439"/>
      <c r="G19" s="439"/>
      <c r="H19" s="1610"/>
      <c r="I19" s="1610"/>
      <c r="J19" s="1610"/>
      <c r="K19" s="439"/>
      <c r="L19" s="1620"/>
      <c r="M19" s="1610"/>
      <c r="N19" s="3116"/>
      <c r="O19" s="1610"/>
      <c r="P19" s="1610"/>
      <c r="Q19" s="1610"/>
      <c r="R19" s="1610"/>
      <c r="S19" s="1610"/>
      <c r="T19" s="1610"/>
      <c r="U19" s="1610"/>
      <c r="V19" s="1610"/>
      <c r="W19" s="1610"/>
      <c r="X19" s="1610"/>
      <c r="Y19" s="1611"/>
      <c r="Z19" s="1612"/>
      <c r="AA19" s="439"/>
      <c r="AB19" s="1611"/>
      <c r="AC19" s="1610"/>
      <c r="AD19" s="439"/>
      <c r="AE19" s="2118"/>
      <c r="AF19" s="2074"/>
      <c r="AG19" s="2095"/>
      <c r="AH19" s="2082"/>
      <c r="AI19" s="2081"/>
    </row>
    <row r="20" spans="1:35" s="734" customFormat="1" ht="18.899999999999999" customHeight="1">
      <c r="A20" s="458" t="s">
        <v>23</v>
      </c>
      <c r="B20" s="439"/>
      <c r="C20" s="439"/>
      <c r="D20" s="439" t="s">
        <v>15</v>
      </c>
      <c r="E20" s="439"/>
      <c r="F20" s="439"/>
      <c r="G20" s="439"/>
      <c r="H20" s="1610"/>
      <c r="I20" s="1610"/>
      <c r="J20" s="1610"/>
      <c r="K20" s="439"/>
      <c r="L20" s="1620"/>
      <c r="M20" s="1610"/>
      <c r="N20" s="3116"/>
      <c r="O20" s="1610"/>
      <c r="P20" s="1610"/>
      <c r="Q20" s="1610"/>
      <c r="R20" s="1610"/>
      <c r="S20" s="1610"/>
      <c r="T20" s="1610"/>
      <c r="U20" s="1610"/>
      <c r="V20" s="1610"/>
      <c r="W20" s="1610"/>
      <c r="X20" s="1610"/>
      <c r="Y20" s="1611"/>
      <c r="Z20" s="1612"/>
      <c r="AA20" s="439"/>
      <c r="AB20" s="1611"/>
      <c r="AC20" s="1610"/>
      <c r="AD20" s="439"/>
      <c r="AE20" s="2118"/>
      <c r="AF20" s="2074"/>
      <c r="AG20" s="2095"/>
      <c r="AH20" s="2082"/>
      <c r="AI20" s="2081"/>
    </row>
    <row r="21" spans="1:35" s="734" customFormat="1" ht="18.899999999999999" customHeight="1">
      <c r="A21" s="349" t="s">
        <v>156</v>
      </c>
      <c r="B21" s="441"/>
      <c r="C21" s="439"/>
      <c r="D21" s="439"/>
      <c r="E21" s="439"/>
      <c r="F21" s="439"/>
      <c r="G21" s="439"/>
      <c r="H21" s="1610"/>
      <c r="I21" s="1610"/>
      <c r="J21" s="1610"/>
      <c r="K21" s="439"/>
      <c r="L21" s="1620"/>
      <c r="M21" s="1610"/>
      <c r="N21" s="3116"/>
      <c r="O21" s="1610"/>
      <c r="P21" s="1610"/>
      <c r="Q21" s="1610"/>
      <c r="R21" s="1610"/>
      <c r="S21" s="1610"/>
      <c r="T21" s="1610"/>
      <c r="U21" s="1610"/>
      <c r="V21" s="1610"/>
      <c r="W21" s="1610"/>
      <c r="X21" s="1610"/>
      <c r="Y21" s="1611"/>
      <c r="Z21" s="1612"/>
      <c r="AA21" s="441"/>
      <c r="AB21" s="1621"/>
      <c r="AC21" s="1622"/>
      <c r="AD21" s="441"/>
      <c r="AE21" s="2119"/>
      <c r="AF21" s="2075"/>
      <c r="AG21" s="2095"/>
      <c r="AH21" s="2082"/>
      <c r="AI21" s="2081"/>
    </row>
    <row r="22" spans="1:35" s="734" customFormat="1" ht="18.899999999999999" customHeight="1">
      <c r="A22" s="349" t="s">
        <v>223</v>
      </c>
      <c r="B22" s="1623">
        <v>3.6</v>
      </c>
      <c r="C22" s="439"/>
      <c r="D22" s="1623">
        <v>7.7</v>
      </c>
      <c r="E22" s="439"/>
      <c r="F22" s="717">
        <v>5.0999999999999996</v>
      </c>
      <c r="G22" s="439"/>
      <c r="H22" s="717">
        <v>4.9000000000000004</v>
      </c>
      <c r="I22" s="1610"/>
      <c r="J22" s="717">
        <v>5</v>
      </c>
      <c r="K22" s="439"/>
      <c r="L22" s="717">
        <v>5</v>
      </c>
      <c r="M22" s="1610"/>
      <c r="N22" s="2937">
        <v>5.8</v>
      </c>
      <c r="O22" s="1610"/>
      <c r="P22" s="717">
        <v>3.2</v>
      </c>
      <c r="Q22" s="1610"/>
      <c r="R22" s="717">
        <v>5.2</v>
      </c>
      <c r="S22" s="1610"/>
      <c r="T22" s="717">
        <v>5</v>
      </c>
      <c r="U22" s="1610"/>
      <c r="V22" s="717"/>
      <c r="W22" s="1610"/>
      <c r="X22" s="717"/>
      <c r="Y22" s="1611"/>
      <c r="Z22" s="1612"/>
      <c r="AA22" s="1645">
        <f>ROUND(SUM(B22:X22),1)</f>
        <v>50.5</v>
      </c>
      <c r="AB22" s="1611"/>
      <c r="AC22" s="1610"/>
      <c r="AD22" s="686">
        <v>48.6</v>
      </c>
      <c r="AE22" s="2120"/>
      <c r="AF22" s="2075"/>
      <c r="AG22" s="2095">
        <f>ROUND(SUM(AA22-AD22),1)</f>
        <v>1.9</v>
      </c>
      <c r="AH22" s="2082"/>
      <c r="AI22" s="2101">
        <f>ROUND(IF(AG22=0,0,AG22/ABS(AD22)),3)</f>
        <v>3.9E-2</v>
      </c>
    </row>
    <row r="23" spans="1:35" s="734" customFormat="1" ht="18.899999999999999" customHeight="1">
      <c r="A23" s="1607" t="s">
        <v>175</v>
      </c>
      <c r="B23" s="1623">
        <v>0.4</v>
      </c>
      <c r="C23" s="439"/>
      <c r="D23" s="1623">
        <v>1.3</v>
      </c>
      <c r="E23" s="439"/>
      <c r="F23" s="717">
        <v>1.3</v>
      </c>
      <c r="G23" s="439"/>
      <c r="H23" s="717">
        <v>1.7</v>
      </c>
      <c r="I23" s="1610"/>
      <c r="J23" s="717">
        <v>0.9</v>
      </c>
      <c r="K23" s="439"/>
      <c r="L23" s="717">
        <v>0.9</v>
      </c>
      <c r="M23" s="1610"/>
      <c r="N23" s="2937">
        <v>1.3</v>
      </c>
      <c r="O23" s="1610"/>
      <c r="P23" s="717">
        <v>2.2999999999999998</v>
      </c>
      <c r="Q23" s="1610"/>
      <c r="R23" s="717">
        <v>1.2</v>
      </c>
      <c r="S23" s="1610"/>
      <c r="T23" s="717">
        <v>9.8000000000000007</v>
      </c>
      <c r="U23" s="1610"/>
      <c r="V23" s="717"/>
      <c r="W23" s="1610"/>
      <c r="X23" s="717"/>
      <c r="Y23" s="1611"/>
      <c r="Z23" s="1612"/>
      <c r="AA23" s="2938">
        <f>ROUND(SUM(B23:X23),1)</f>
        <v>21.1</v>
      </c>
      <c r="AB23" s="1611"/>
      <c r="AC23" s="1610"/>
      <c r="AD23" s="441">
        <v>19.7</v>
      </c>
      <c r="AE23" s="2119"/>
      <c r="AF23" s="2075"/>
      <c r="AG23" s="2095">
        <f>ROUND(SUM(AA23-AD23),1)</f>
        <v>1.4</v>
      </c>
      <c r="AH23" s="2100"/>
      <c r="AI23" s="2101">
        <f>ROUND(IF(AG23=0,0,AG23/ABS(AD23)),3)</f>
        <v>7.0999999999999994E-2</v>
      </c>
    </row>
    <row r="24" spans="1:35" s="734" customFormat="1" ht="18.899999999999999" customHeight="1">
      <c r="A24" s="349" t="s">
        <v>159</v>
      </c>
      <c r="B24" s="1624">
        <v>0</v>
      </c>
      <c r="C24" s="439"/>
      <c r="D24" s="1608">
        <v>0.6</v>
      </c>
      <c r="E24" s="439"/>
      <c r="F24" s="1608">
        <v>4.3</v>
      </c>
      <c r="G24" s="439"/>
      <c r="H24" s="1624">
        <v>10</v>
      </c>
      <c r="I24" s="1610"/>
      <c r="J24" s="690">
        <v>0</v>
      </c>
      <c r="K24" s="439"/>
      <c r="L24" s="1624">
        <v>0</v>
      </c>
      <c r="M24" s="1610"/>
      <c r="N24" s="3117">
        <v>0</v>
      </c>
      <c r="O24" s="1610"/>
      <c r="P24" s="1608">
        <v>0</v>
      </c>
      <c r="Q24" s="1610"/>
      <c r="R24" s="1624">
        <v>9.1999999999999993</v>
      </c>
      <c r="S24" s="1610"/>
      <c r="T24" s="690">
        <v>8.6</v>
      </c>
      <c r="U24" s="1610"/>
      <c r="V24" s="1624"/>
      <c r="W24" s="1610"/>
      <c r="X24" s="1608"/>
      <c r="Y24" s="1611"/>
      <c r="Z24" s="1612"/>
      <c r="AA24" s="1644">
        <f>ROUND(SUM(B24:X24),1)</f>
        <v>32.700000000000003</v>
      </c>
      <c r="AB24" s="1611"/>
      <c r="AC24" s="1610"/>
      <c r="AD24" s="1644">
        <v>29.6</v>
      </c>
      <c r="AE24" s="2121"/>
      <c r="AF24" s="2075"/>
      <c r="AG24" s="2095">
        <f>ROUND(SUM(AA24-AD24),1)</f>
        <v>3.1</v>
      </c>
      <c r="AH24" s="2082"/>
      <c r="AI24" s="2101">
        <f>ROUND(IF(AD24=0,1,AG24/ABS(AD24)),3)</f>
        <v>0.105</v>
      </c>
    </row>
    <row r="25" spans="1:35" s="734" customFormat="1" ht="22.5" customHeight="1">
      <c r="A25" s="458" t="s">
        <v>160</v>
      </c>
      <c r="B25" s="1625">
        <f>ROUND(SUM(B22)+SUM(B23)+SUM(B24),1)</f>
        <v>4</v>
      </c>
      <c r="C25" s="721"/>
      <c r="D25" s="1625">
        <f>ROUND(SUM(D22)+SUM(D23)+SUM(D24),1)</f>
        <v>9.6</v>
      </c>
      <c r="E25" s="721"/>
      <c r="F25" s="1625">
        <f>ROUND(SUM(F22)+SUM(F23)+SUM(F24),1)</f>
        <v>10.7</v>
      </c>
      <c r="G25" s="1625"/>
      <c r="H25" s="1625">
        <f>ROUND(SUM(H22)+SUM(H23)+SUM(H24),1)</f>
        <v>16.600000000000001</v>
      </c>
      <c r="I25" s="1615"/>
      <c r="J25" s="1625">
        <f>ROUND(SUM(J22)+SUM(J23)+SUM(J24),1)</f>
        <v>5.9</v>
      </c>
      <c r="K25" s="721"/>
      <c r="L25" s="1625">
        <f>ROUND(SUM(L22)+SUM(L23)+SUM(L24),1)</f>
        <v>5.9</v>
      </c>
      <c r="M25" s="1615"/>
      <c r="N25" s="3118">
        <f>ROUND(SUM(N22)+SUM(N23)+SUM(N24),1)</f>
        <v>7.1</v>
      </c>
      <c r="O25" s="1615"/>
      <c r="P25" s="1625">
        <f>ROUND(SUM(P22)+SUM(P23)+SUM(P24),1)</f>
        <v>5.5</v>
      </c>
      <c r="Q25" s="1615"/>
      <c r="R25" s="1625">
        <f>ROUND(SUM(R22)+SUM(R23)+SUM(R24),1)</f>
        <v>15.6</v>
      </c>
      <c r="S25" s="1615"/>
      <c r="T25" s="1625">
        <f>ROUND(SUM(T22)+SUM(T23)+SUM(T24),1)</f>
        <v>23.4</v>
      </c>
      <c r="U25" s="1615"/>
      <c r="V25" s="1625">
        <f>ROUND(SUM(V22)+SUM(V23)+SUM(V24),1)</f>
        <v>0</v>
      </c>
      <c r="W25" s="1615"/>
      <c r="X25" s="1625">
        <f>ROUND(SUM(X22)+SUM(X23)+SUM(X24),1)</f>
        <v>0</v>
      </c>
      <c r="Y25" s="1616"/>
      <c r="Z25" s="1617"/>
      <c r="AA25" s="1646">
        <f>ROUND(SUM(AA22:AA24),1)</f>
        <v>104.3</v>
      </c>
      <c r="AB25" s="1616"/>
      <c r="AC25" s="1617"/>
      <c r="AD25" s="1646">
        <f>ROUND(SUM(AD22:AD24),1)</f>
        <v>97.9</v>
      </c>
      <c r="AE25" s="2122"/>
      <c r="AF25" s="2075"/>
      <c r="AG25" s="2126">
        <f>ROUND(SUM(AG22:AG24),1)</f>
        <v>6.4</v>
      </c>
      <c r="AH25" s="2097"/>
      <c r="AI25" s="2128">
        <f>ROUND(IF(AG25=0,0,AG25/ABS(AD25)),3)</f>
        <v>6.5000000000000002E-2</v>
      </c>
    </row>
    <row r="26" spans="1:35" s="734" customFormat="1" ht="18.899999999999999" customHeight="1">
      <c r="A26" s="349"/>
      <c r="B26" s="720"/>
      <c r="C26" s="439"/>
      <c r="D26" s="720" t="s">
        <v>15</v>
      </c>
      <c r="E26" s="439"/>
      <c r="F26" s="720"/>
      <c r="G26" s="439"/>
      <c r="H26" s="1618"/>
      <c r="I26" s="1610"/>
      <c r="J26" s="1618"/>
      <c r="K26" s="439"/>
      <c r="L26" s="1618"/>
      <c r="M26" s="1610"/>
      <c r="N26" s="3115"/>
      <c r="O26" s="1610"/>
      <c r="P26" s="1618"/>
      <c r="Q26" s="1610"/>
      <c r="R26" s="1618"/>
      <c r="S26" s="1610"/>
      <c r="T26" s="1618"/>
      <c r="U26" s="1610"/>
      <c r="V26" s="1618"/>
      <c r="W26" s="1610"/>
      <c r="X26" s="1618"/>
      <c r="Y26" s="1611"/>
      <c r="Z26" s="1612"/>
      <c r="AA26" s="720"/>
      <c r="AB26" s="1611"/>
      <c r="AC26" s="1609"/>
      <c r="AD26" s="720"/>
      <c r="AE26" s="2095"/>
      <c r="AF26" s="2074"/>
      <c r="AG26" s="2095"/>
      <c r="AH26" s="2082"/>
      <c r="AI26" s="2081"/>
    </row>
    <row r="27" spans="1:35" s="734" customFormat="1" ht="18.899999999999999" customHeight="1">
      <c r="A27" s="458" t="s">
        <v>161</v>
      </c>
      <c r="B27" s="439"/>
      <c r="C27" s="439"/>
      <c r="D27" s="446" t="s">
        <v>15</v>
      </c>
      <c r="E27" s="439"/>
      <c r="F27" s="439"/>
      <c r="G27" s="439"/>
      <c r="H27" s="1610"/>
      <c r="I27" s="1610"/>
      <c r="J27" s="1610"/>
      <c r="K27" s="439"/>
      <c r="L27" s="1610"/>
      <c r="M27" s="1610"/>
      <c r="N27" s="3116"/>
      <c r="O27" s="1610"/>
      <c r="P27" s="1610"/>
      <c r="Q27" s="1610"/>
      <c r="R27" s="1610"/>
      <c r="S27" s="1610"/>
      <c r="T27" s="1610"/>
      <c r="U27" s="1610"/>
      <c r="V27" s="1610"/>
      <c r="W27" s="1610"/>
      <c r="X27" s="1610"/>
      <c r="Y27" s="1611"/>
      <c r="Z27" s="1612"/>
      <c r="AA27" s="439"/>
      <c r="AB27" s="1611"/>
      <c r="AC27" s="1610"/>
      <c r="AD27" s="439"/>
      <c r="AE27" s="2118"/>
      <c r="AF27" s="2074"/>
      <c r="AG27" s="2095"/>
      <c r="AH27" s="2082"/>
      <c r="AI27" s="2081"/>
    </row>
    <row r="28" spans="1:35" s="734" customFormat="1" ht="18.75" customHeight="1">
      <c r="A28" s="458" t="s">
        <v>45</v>
      </c>
      <c r="B28" s="1626">
        <f>ROUND(B17-B25,1)</f>
        <v>1.6</v>
      </c>
      <c r="C28" s="721"/>
      <c r="D28" s="1626">
        <f>ROUND(D17-D25,1)</f>
        <v>-1.9</v>
      </c>
      <c r="E28" s="721"/>
      <c r="F28" s="1626">
        <f>ROUND(F17-F25,1)</f>
        <v>-5.7</v>
      </c>
      <c r="G28" s="721"/>
      <c r="H28" s="1626">
        <f>ROUND(H17-H25,1)</f>
        <v>-11.7</v>
      </c>
      <c r="I28" s="724"/>
      <c r="J28" s="1626">
        <f>ROUND(J17-J25,1)</f>
        <v>-0.9</v>
      </c>
      <c r="K28" s="721"/>
      <c r="L28" s="1626">
        <f>ROUND(L17-L25,1)</f>
        <v>-0.9</v>
      </c>
      <c r="M28" s="1615"/>
      <c r="N28" s="3119">
        <f>ROUND(N17-N25,1)</f>
        <v>-1.3</v>
      </c>
      <c r="O28" s="1615"/>
      <c r="P28" s="1626">
        <f>ROUND(P17-P25,1)</f>
        <v>23.1</v>
      </c>
      <c r="Q28" s="1615"/>
      <c r="R28" s="1626">
        <f>ROUND(R17-R25,1)</f>
        <v>-10.4</v>
      </c>
      <c r="S28" s="1615"/>
      <c r="T28" s="1626">
        <f>ROUND(T17-T25,1)</f>
        <v>-18.399999999999999</v>
      </c>
      <c r="U28" s="1615"/>
      <c r="V28" s="1626">
        <f>ROUND(V17-V25,1)</f>
        <v>0</v>
      </c>
      <c r="W28" s="1615"/>
      <c r="X28" s="1626">
        <f>ROUND(X17-X25,1)</f>
        <v>0</v>
      </c>
      <c r="Y28" s="1616"/>
      <c r="Z28" s="1617"/>
      <c r="AA28" s="1627">
        <f>ROUND(AA17-AA25,1)</f>
        <v>-26.5</v>
      </c>
      <c r="AB28" s="1616"/>
      <c r="AC28" s="1628"/>
      <c r="AD28" s="1627">
        <f>ROUND(AD17-AD25,1)</f>
        <v>-26.1</v>
      </c>
      <c r="AE28" s="2123"/>
      <c r="AF28" s="2075"/>
      <c r="AG28" s="2546">
        <f>ROUND(SUM(AA28-AD28),1)</f>
        <v>-0.4</v>
      </c>
      <c r="AH28" s="2082"/>
      <c r="AI28" s="2952">
        <f>ROUND(IF(AG28=0,0,AG28/ABS(AD28)),3)</f>
        <v>-1.4999999999999999E-2</v>
      </c>
    </row>
    <row r="29" spans="1:35" s="734" customFormat="1" ht="18.899999999999999" customHeight="1">
      <c r="A29" s="349"/>
      <c r="B29" s="446"/>
      <c r="C29" s="439"/>
      <c r="D29" s="446" t="s">
        <v>15</v>
      </c>
      <c r="E29" s="439"/>
      <c r="F29" s="446"/>
      <c r="G29" s="439"/>
      <c r="H29" s="1609"/>
      <c r="I29" s="1610"/>
      <c r="J29" s="1609"/>
      <c r="K29" s="439"/>
      <c r="L29" s="1609"/>
      <c r="M29" s="1610"/>
      <c r="N29" s="3115"/>
      <c r="O29" s="1610"/>
      <c r="P29" s="1609"/>
      <c r="Q29" s="1610"/>
      <c r="R29" s="1618"/>
      <c r="S29" s="1610"/>
      <c r="T29" s="1609"/>
      <c r="U29" s="1610"/>
      <c r="V29" s="1609"/>
      <c r="W29" s="1610"/>
      <c r="X29" s="1618"/>
      <c r="Y29" s="1611"/>
      <c r="Z29" s="1612"/>
      <c r="AA29" s="446"/>
      <c r="AB29" s="1611"/>
      <c r="AC29" s="1609"/>
      <c r="AD29" s="446"/>
      <c r="AE29" s="2095"/>
      <c r="AF29" s="2076"/>
      <c r="AG29" s="2095"/>
      <c r="AH29" s="2082"/>
      <c r="AI29" s="2081"/>
    </row>
    <row r="30" spans="1:35" s="734" customFormat="1" ht="18.899999999999999" customHeight="1">
      <c r="A30" s="458" t="s">
        <v>46</v>
      </c>
      <c r="B30" s="439"/>
      <c r="C30" s="439"/>
      <c r="D30" s="439"/>
      <c r="E30" s="439"/>
      <c r="F30" s="439"/>
      <c r="G30" s="439"/>
      <c r="H30" s="1610"/>
      <c r="I30" s="1610"/>
      <c r="J30" s="1610"/>
      <c r="K30" s="439"/>
      <c r="L30" s="1610"/>
      <c r="M30" s="1610"/>
      <c r="N30" s="3116"/>
      <c r="O30" s="1610"/>
      <c r="P30" s="1610"/>
      <c r="Q30" s="1610"/>
      <c r="R30" s="1610"/>
      <c r="S30" s="1610"/>
      <c r="T30" s="1610"/>
      <c r="U30" s="1610"/>
      <c r="V30" s="1610"/>
      <c r="W30" s="1610"/>
      <c r="X30" s="1610"/>
      <c r="Y30" s="1611"/>
      <c r="Z30" s="1612"/>
      <c r="AA30" s="439"/>
      <c r="AB30" s="1611"/>
      <c r="AC30" s="1610"/>
      <c r="AD30" s="439"/>
      <c r="AE30" s="2118"/>
      <c r="AF30" s="2076"/>
      <c r="AG30" s="2095"/>
      <c r="AH30" s="2082"/>
      <c r="AI30" s="2081"/>
    </row>
    <row r="31" spans="1:35" s="734" customFormat="1" ht="18.899999999999999" customHeight="1">
      <c r="A31" s="349" t="s">
        <v>186</v>
      </c>
      <c r="B31" s="441">
        <v>0</v>
      </c>
      <c r="C31" s="439"/>
      <c r="D31" s="441">
        <v>0</v>
      </c>
      <c r="E31" s="439"/>
      <c r="F31" s="441">
        <v>0</v>
      </c>
      <c r="G31" s="439"/>
      <c r="H31" s="441">
        <v>0</v>
      </c>
      <c r="I31" s="1610"/>
      <c r="J31" s="441">
        <v>0</v>
      </c>
      <c r="K31" s="439"/>
      <c r="L31" s="441">
        <v>0</v>
      </c>
      <c r="M31" s="1610"/>
      <c r="N31" s="3120">
        <v>0</v>
      </c>
      <c r="O31" s="1610"/>
      <c r="P31" s="441">
        <v>0</v>
      </c>
      <c r="Q31" s="1610"/>
      <c r="R31" s="441">
        <v>0</v>
      </c>
      <c r="S31" s="1610"/>
      <c r="T31" s="441">
        <v>0</v>
      </c>
      <c r="U31" s="1610"/>
      <c r="V31" s="441"/>
      <c r="W31" s="1610"/>
      <c r="X31" s="441"/>
      <c r="Y31" s="1611"/>
      <c r="Z31" s="1612"/>
      <c r="AA31" s="1645">
        <f>ROUND(SUM(B31:X31),1)</f>
        <v>0</v>
      </c>
      <c r="AB31" s="1611"/>
      <c r="AC31" s="1610"/>
      <c r="AD31" s="441">
        <v>0</v>
      </c>
      <c r="AE31" s="2119"/>
      <c r="AF31" s="2077"/>
      <c r="AG31" s="446">
        <f>ROUND(SUM(AA31-AD31),1)</f>
        <v>0</v>
      </c>
      <c r="AH31" s="2100"/>
      <c r="AI31" s="2101">
        <f>ROUND(IF(AG31=0,0,AG31/ABS(AD31)),3)</f>
        <v>0</v>
      </c>
    </row>
    <row r="32" spans="1:35" s="734" customFormat="1" ht="18.899999999999999" customHeight="1">
      <c r="A32" s="349" t="s">
        <v>187</v>
      </c>
      <c r="B32" s="441">
        <v>0</v>
      </c>
      <c r="C32" s="439"/>
      <c r="D32" s="441">
        <v>0</v>
      </c>
      <c r="E32" s="439"/>
      <c r="F32" s="441">
        <v>0</v>
      </c>
      <c r="G32" s="439"/>
      <c r="H32" s="441">
        <v>0</v>
      </c>
      <c r="I32" s="1610"/>
      <c r="J32" s="441">
        <v>0</v>
      </c>
      <c r="K32" s="439"/>
      <c r="L32" s="441">
        <v>0</v>
      </c>
      <c r="M32" s="1609"/>
      <c r="N32" s="3120">
        <v>0</v>
      </c>
      <c r="O32" s="1609"/>
      <c r="P32" s="441">
        <v>0</v>
      </c>
      <c r="Q32" s="1609"/>
      <c r="R32" s="441">
        <v>0</v>
      </c>
      <c r="S32" s="1609"/>
      <c r="T32" s="441">
        <v>0</v>
      </c>
      <c r="U32" s="1609"/>
      <c r="V32" s="441"/>
      <c r="W32" s="1609"/>
      <c r="X32" s="441"/>
      <c r="Y32" s="1611"/>
      <c r="Z32" s="1612"/>
      <c r="AA32" s="1645">
        <f>ROUND(SUM(B32:X32),1)</f>
        <v>0</v>
      </c>
      <c r="AB32" s="1629"/>
      <c r="AC32" s="1630"/>
      <c r="AD32" s="441">
        <v>0</v>
      </c>
      <c r="AE32" s="2119"/>
      <c r="AF32" s="2076"/>
      <c r="AG32" s="446">
        <f>ROUND(SUM(AA32-AD32),1)</f>
        <v>0</v>
      </c>
      <c r="AH32" s="2100"/>
      <c r="AI32" s="2101">
        <f>ROUND(IF(AG32=0,0,AG32/ABS(AD32)),3)</f>
        <v>0</v>
      </c>
    </row>
    <row r="33" spans="1:35" s="734" customFormat="1" ht="22.5" customHeight="1">
      <c r="A33" s="458" t="s">
        <v>213</v>
      </c>
      <c r="B33" s="1631">
        <f>ROUND(SUM(B31:B32),1)</f>
        <v>0</v>
      </c>
      <c r="C33" s="721"/>
      <c r="D33" s="1631">
        <f>ROUND(SUM(D31:D32),1)</f>
        <v>0</v>
      </c>
      <c r="E33" s="727"/>
      <c r="F33" s="1631">
        <f>ROUND(SUM(F31:F32),1)</f>
        <v>0</v>
      </c>
      <c r="G33" s="727"/>
      <c r="H33" s="1631">
        <f>ROUND(SUM(H31:H32),1)</f>
        <v>0</v>
      </c>
      <c r="I33" s="1632"/>
      <c r="J33" s="1631">
        <f>ROUND(SUM(J31:J32),1)</f>
        <v>0</v>
      </c>
      <c r="K33" s="727"/>
      <c r="L33" s="1631">
        <f>ROUND(SUM(L31:L32),1)</f>
        <v>0</v>
      </c>
      <c r="M33" s="1632"/>
      <c r="N33" s="3121">
        <f>ROUND(SUM(N31:N32),1)</f>
        <v>0</v>
      </c>
      <c r="O33" s="1632"/>
      <c r="P33" s="1631">
        <f>ROUND(SUM(P31:P32),1)</f>
        <v>0</v>
      </c>
      <c r="Q33" s="1632"/>
      <c r="R33" s="1631">
        <f>ROUND(SUM(R31:R32),1)</f>
        <v>0</v>
      </c>
      <c r="S33" s="1632"/>
      <c r="T33" s="1631">
        <f>ROUND(SUM(T31:T32),1)</f>
        <v>0</v>
      </c>
      <c r="U33" s="1632"/>
      <c r="V33" s="1631">
        <f>ROUND(SUM(V31:V32),1)</f>
        <v>0</v>
      </c>
      <c r="W33" s="1632"/>
      <c r="X33" s="1631">
        <f>ROUND(SUM(X31:X32),1)</f>
        <v>0</v>
      </c>
      <c r="Y33" s="1616"/>
      <c r="Z33" s="1617"/>
      <c r="AA33" s="1650">
        <f>ROUND(SUM(AA31:AA32),1)</f>
        <v>0</v>
      </c>
      <c r="AB33" s="1633"/>
      <c r="AC33" s="1634"/>
      <c r="AD33" s="1650">
        <f>ROUND(SUM(AD31:AD32),1)</f>
        <v>0</v>
      </c>
      <c r="AE33" s="2124"/>
      <c r="AF33" s="2077"/>
      <c r="AG33" s="2126">
        <f>ROUND(SUM(AG31-AG32),1)</f>
        <v>0</v>
      </c>
      <c r="AH33" s="2107"/>
      <c r="AI33" s="2128">
        <f>ROUND(IF(AG33=0,0,AG33/ABS(AD33)),3)</f>
        <v>0</v>
      </c>
    </row>
    <row r="34" spans="1:35" s="734" customFormat="1" ht="18.899999999999999" customHeight="1">
      <c r="A34" s="349"/>
      <c r="B34" s="720"/>
      <c r="C34" s="439"/>
      <c r="D34" s="720" t="s">
        <v>15</v>
      </c>
      <c r="E34" s="439"/>
      <c r="F34" s="720"/>
      <c r="G34" s="439"/>
      <c r="H34" s="1618"/>
      <c r="I34" s="1610"/>
      <c r="J34" s="1618"/>
      <c r="K34" s="439"/>
      <c r="L34" s="1618"/>
      <c r="M34" s="1610"/>
      <c r="N34" s="3115"/>
      <c r="O34" s="1610"/>
      <c r="P34" s="1618"/>
      <c r="Q34" s="1610"/>
      <c r="R34" s="1618"/>
      <c r="S34" s="1610"/>
      <c r="T34" s="1618"/>
      <c r="U34" s="1610"/>
      <c r="V34" s="1618"/>
      <c r="W34" s="1610"/>
      <c r="X34" s="1618"/>
      <c r="Y34" s="1611"/>
      <c r="Z34" s="1612"/>
      <c r="AA34" s="720"/>
      <c r="AB34" s="1611"/>
      <c r="AC34" s="1609"/>
      <c r="AD34" s="720"/>
      <c r="AE34" s="2095"/>
      <c r="AF34" s="2074"/>
      <c r="AG34" s="2095"/>
      <c r="AH34" s="2082"/>
      <c r="AI34" s="2081"/>
    </row>
    <row r="35" spans="1:35" s="734" customFormat="1" ht="18.899999999999999" customHeight="1">
      <c r="A35" s="458" t="s">
        <v>170</v>
      </c>
      <c r="B35" s="439"/>
      <c r="C35" s="439"/>
      <c r="D35" s="439" t="s">
        <v>15</v>
      </c>
      <c r="E35" s="439"/>
      <c r="F35" s="439"/>
      <c r="G35" s="439"/>
      <c r="H35" s="1610"/>
      <c r="I35" s="1610"/>
      <c r="J35" s="1610"/>
      <c r="K35" s="439"/>
      <c r="L35" s="1610"/>
      <c r="M35" s="1610"/>
      <c r="N35" s="3116"/>
      <c r="O35" s="1610"/>
      <c r="P35" s="1610"/>
      <c r="Q35" s="1610"/>
      <c r="R35" s="1610"/>
      <c r="S35" s="1610"/>
      <c r="T35" s="1610"/>
      <c r="U35" s="1610"/>
      <c r="V35" s="1610"/>
      <c r="W35" s="1610"/>
      <c r="X35" s="1610"/>
      <c r="Y35" s="1611"/>
      <c r="Z35" s="1612"/>
      <c r="AA35" s="439"/>
      <c r="AB35" s="1611"/>
      <c r="AC35" s="1610"/>
      <c r="AD35" s="439"/>
      <c r="AE35" s="2118"/>
      <c r="AF35" s="2074"/>
      <c r="AG35" s="2095"/>
      <c r="AH35" s="2082"/>
      <c r="AI35" s="2081"/>
    </row>
    <row r="36" spans="1:35" s="734" customFormat="1" ht="18.899999999999999" customHeight="1">
      <c r="A36" s="458" t="s">
        <v>231</v>
      </c>
      <c r="B36" s="439"/>
      <c r="C36" s="439"/>
      <c r="D36" s="439"/>
      <c r="E36" s="439"/>
      <c r="F36" s="439"/>
      <c r="G36" s="439"/>
      <c r="H36" s="1610"/>
      <c r="I36" s="1610"/>
      <c r="J36" s="1610"/>
      <c r="K36" s="439"/>
      <c r="L36" s="1610"/>
      <c r="M36" s="1610"/>
      <c r="N36" s="3116"/>
      <c r="O36" s="1610"/>
      <c r="P36" s="1610"/>
      <c r="Q36" s="1610"/>
      <c r="R36" s="1610"/>
      <c r="S36" s="1610"/>
      <c r="T36" s="1643"/>
      <c r="U36" s="1610"/>
      <c r="V36" s="1610"/>
      <c r="W36" s="1610"/>
      <c r="X36" s="1610"/>
      <c r="Y36" s="1611"/>
      <c r="Z36" s="1612"/>
      <c r="AA36" s="439"/>
      <c r="AB36" s="1611"/>
      <c r="AC36" s="1610"/>
      <c r="AD36" s="727"/>
      <c r="AE36" s="2125"/>
      <c r="AF36" s="2078"/>
      <c r="AG36" s="2095"/>
      <c r="AH36" s="2082"/>
      <c r="AI36" s="2081"/>
    </row>
    <row r="37" spans="1:35" s="736" customFormat="1" ht="18.899999999999999" customHeight="1">
      <c r="A37" s="458" t="s">
        <v>1035</v>
      </c>
      <c r="B37" s="1625">
        <f>ROUND(+B28+B33,1)</f>
        <v>1.6</v>
      </c>
      <c r="C37" s="721"/>
      <c r="D37" s="1625">
        <f>ROUND(+D28+D33,1)</f>
        <v>-1.9</v>
      </c>
      <c r="E37" s="727"/>
      <c r="F37" s="1625">
        <f>ROUND(+F28+F33,1)</f>
        <v>-5.7</v>
      </c>
      <c r="G37" s="727"/>
      <c r="H37" s="1625">
        <f>ROUND(+H28+H33,1)</f>
        <v>-11.7</v>
      </c>
      <c r="I37" s="1632"/>
      <c r="J37" s="1625">
        <f>ROUND(+J28+J33,1)</f>
        <v>-0.9</v>
      </c>
      <c r="K37" s="727"/>
      <c r="L37" s="1625">
        <f>ROUND(+L28+L33,1)</f>
        <v>-0.9</v>
      </c>
      <c r="M37" s="1635"/>
      <c r="N37" s="3118">
        <f>ROUND(+N28+N33,1)</f>
        <v>-1.3</v>
      </c>
      <c r="O37" s="1635"/>
      <c r="P37" s="1625">
        <f>ROUND(+P28+P33,1)</f>
        <v>23.1</v>
      </c>
      <c r="Q37" s="1635"/>
      <c r="R37" s="1625">
        <f>ROUND(+R28+R33,1)</f>
        <v>-10.4</v>
      </c>
      <c r="S37" s="1632"/>
      <c r="T37" s="1625">
        <f>ROUND(+T28+T33,1)</f>
        <v>-18.399999999999999</v>
      </c>
      <c r="U37" s="1632"/>
      <c r="V37" s="1625">
        <f>ROUND(+V28+V33,1)</f>
        <v>0</v>
      </c>
      <c r="W37" s="1632"/>
      <c r="X37" s="1625">
        <f>ROUND(+X28+X33,1)</f>
        <v>0</v>
      </c>
      <c r="Y37" s="1616"/>
      <c r="Z37" s="1617"/>
      <c r="AA37" s="1635">
        <f>ROUND(AA28+AA33,1)</f>
        <v>-26.5</v>
      </c>
      <c r="AB37" s="724"/>
      <c r="AC37" s="1636"/>
      <c r="AD37" s="1635">
        <f>ROUND(AD28+AD33,1)</f>
        <v>-26.1</v>
      </c>
      <c r="AE37" s="2123"/>
      <c r="AF37" s="2079"/>
      <c r="AG37" s="2546">
        <f>ROUND(SUM(AA37-AD37),1)</f>
        <v>-0.4</v>
      </c>
      <c r="AH37" s="2082"/>
      <c r="AI37" s="2951">
        <f>ROUND(IF(AG37=0,0,AG37/ABS(AD37)),3)</f>
        <v>-1.4999999999999999E-2</v>
      </c>
    </row>
    <row r="38" spans="1:35" s="734" customFormat="1" ht="22.5" customHeight="1" thickBot="1">
      <c r="A38" s="458" t="s">
        <v>144</v>
      </c>
      <c r="B38" s="1637">
        <f>ROUND(B13+B37,1)</f>
        <v>-0.3</v>
      </c>
      <c r="C38" s="709"/>
      <c r="D38" s="1637">
        <f>ROUND(D13+D37,1)</f>
        <v>-2.2000000000000002</v>
      </c>
      <c r="E38" s="709"/>
      <c r="F38" s="1637">
        <f>ROUND(F13+F37,1)</f>
        <v>-7.9</v>
      </c>
      <c r="G38" s="709"/>
      <c r="H38" s="1637">
        <f>ROUND(H13+H37,1)</f>
        <v>-19.600000000000001</v>
      </c>
      <c r="I38" s="1638"/>
      <c r="J38" s="1637">
        <f>ROUND(J13+J37,1)</f>
        <v>-20.5</v>
      </c>
      <c r="K38" s="709"/>
      <c r="L38" s="1637">
        <f>ROUND(L13+L37,1)</f>
        <v>-21.4</v>
      </c>
      <c r="M38" s="712"/>
      <c r="N38" s="3122">
        <f>ROUND(N13+N37,1)</f>
        <v>-22.7</v>
      </c>
      <c r="O38" s="712"/>
      <c r="P38" s="1637">
        <f>ROUND(P13+P37,1)</f>
        <v>0.4</v>
      </c>
      <c r="Q38" s="712"/>
      <c r="R38" s="1637">
        <f>ROUND(R13+R37,1)</f>
        <v>-10</v>
      </c>
      <c r="S38" s="1638"/>
      <c r="T38" s="1637">
        <f>ROUND(T13+T37,1)</f>
        <v>-28.4</v>
      </c>
      <c r="U38" s="1638"/>
      <c r="V38" s="1637">
        <f>ROUND(V13+V37,1)</f>
        <v>0</v>
      </c>
      <c r="W38" s="1638"/>
      <c r="X38" s="1637">
        <f>ROUND(X13+X37,1)</f>
        <v>0</v>
      </c>
      <c r="Y38" s="1599"/>
      <c r="Z38" s="1600"/>
      <c r="AA38" s="1637">
        <f>ROUND(SUM(AA13,AA37),1)</f>
        <v>-28.4</v>
      </c>
      <c r="AB38" s="712"/>
      <c r="AC38" s="1639"/>
      <c r="AD38" s="1679">
        <f>ROUND(SUM(AD13,AD37),1)</f>
        <v>-26</v>
      </c>
      <c r="AE38" s="2089"/>
      <c r="AF38" s="2080"/>
      <c r="AG38" s="2130">
        <f>ROUND(SUM(AA38-AD38),1)</f>
        <v>-2.4</v>
      </c>
      <c r="AH38" s="2106"/>
      <c r="AI38" s="2633">
        <f>ROUND(IF(AG38=0,0,AG38/ABS(AD38)),3)</f>
        <v>-9.1999999999999998E-2</v>
      </c>
    </row>
    <row r="39" spans="1:35" s="734" customFormat="1" ht="18.899999999999999" customHeight="1" thickTop="1">
      <c r="A39" s="349" t="s">
        <v>15</v>
      </c>
      <c r="B39" s="1640"/>
      <c r="C39" s="1641"/>
      <c r="D39" s="1640"/>
      <c r="E39" s="1641"/>
      <c r="F39" s="1640"/>
      <c r="G39" s="1641"/>
      <c r="H39" s="1640"/>
      <c r="I39" s="1641"/>
      <c r="J39" s="1640"/>
      <c r="K39" s="1641"/>
      <c r="L39" s="1640"/>
      <c r="M39" s="1641"/>
      <c r="N39" s="3123"/>
      <c r="O39" s="1641"/>
      <c r="P39" s="1640"/>
      <c r="Q39" s="1641"/>
      <c r="R39" s="1640"/>
      <c r="S39" s="1641"/>
      <c r="T39" s="1640"/>
      <c r="U39" s="1641"/>
      <c r="V39" s="1640"/>
      <c r="W39" s="1641"/>
      <c r="X39" s="1640"/>
      <c r="Y39" s="1641"/>
      <c r="Z39" s="1641"/>
      <c r="AA39" s="1640"/>
      <c r="AB39" s="1642"/>
      <c r="AC39" s="1642"/>
      <c r="AD39" s="1642"/>
      <c r="AE39" s="2104"/>
      <c r="AF39" s="2104"/>
      <c r="AG39" s="2091"/>
      <c r="AH39" s="2082"/>
      <c r="AI39" s="2081"/>
    </row>
    <row r="40" spans="1:35" s="734" customFormat="1" ht="18.899999999999999" customHeight="1">
      <c r="B40" s="1203"/>
      <c r="C40" s="1560"/>
      <c r="D40" s="1203"/>
      <c r="E40" s="1203"/>
      <c r="F40" s="1203"/>
      <c r="G40" s="1203"/>
      <c r="H40" s="1203"/>
      <c r="I40" s="1203"/>
      <c r="J40" s="1203"/>
      <c r="K40" s="1203"/>
      <c r="L40" s="1203"/>
      <c r="M40" s="1203"/>
      <c r="N40" s="1139"/>
      <c r="O40" s="1203"/>
      <c r="P40" s="1203"/>
      <c r="Q40" s="1203"/>
      <c r="R40" s="1203"/>
      <c r="S40" s="1203"/>
      <c r="T40" s="1203"/>
      <c r="U40" s="1203"/>
      <c r="V40" s="1203"/>
      <c r="W40" s="1203"/>
      <c r="X40" s="1203"/>
      <c r="Y40" s="1203"/>
      <c r="Z40" s="1642"/>
      <c r="AA40" s="1642"/>
      <c r="AB40" s="1642"/>
      <c r="AC40" s="1642"/>
      <c r="AD40" s="1642"/>
      <c r="AE40" s="2104"/>
      <c r="AF40" s="2104"/>
      <c r="AG40" s="2091"/>
      <c r="AH40" s="2082"/>
      <c r="AI40" s="2081"/>
    </row>
    <row r="41" spans="1:35" ht="15.75" customHeight="1">
      <c r="A41" s="738"/>
      <c r="B41" s="1560"/>
      <c r="C41" s="1560"/>
      <c r="D41" s="1560"/>
      <c r="E41" s="1560"/>
      <c r="F41" s="1560"/>
      <c r="G41" s="1560"/>
      <c r="H41" s="1560"/>
      <c r="I41" s="1560"/>
      <c r="J41" s="1560"/>
      <c r="K41" s="1560"/>
      <c r="L41" s="1560"/>
      <c r="M41" s="1560"/>
      <c r="N41" s="1668"/>
      <c r="O41" s="1560"/>
      <c r="P41" s="1560"/>
      <c r="Q41" s="1560"/>
      <c r="R41" s="1560"/>
      <c r="S41" s="1560"/>
      <c r="T41" s="1560"/>
      <c r="U41" s="1560"/>
      <c r="V41" s="1560"/>
      <c r="W41" s="1560"/>
      <c r="X41" s="1560"/>
      <c r="Y41" s="1560"/>
      <c r="Z41" s="1560"/>
      <c r="AA41" s="365"/>
      <c r="AB41" s="365"/>
      <c r="AC41" s="365"/>
      <c r="AD41" s="1641"/>
      <c r="AE41" s="2084"/>
      <c r="AF41" s="2084"/>
      <c r="AG41" s="2091"/>
    </row>
    <row r="42" spans="1:35">
      <c r="A42" s="734"/>
      <c r="B42" s="734"/>
      <c r="C42" s="734"/>
      <c r="D42" s="734"/>
      <c r="E42" s="734"/>
      <c r="F42" s="734"/>
      <c r="G42" s="734"/>
      <c r="H42" s="734"/>
      <c r="I42" s="734"/>
      <c r="J42" s="734"/>
      <c r="K42" s="734"/>
      <c r="L42" s="734"/>
      <c r="M42" s="734"/>
      <c r="N42" s="3124"/>
      <c r="O42" s="734"/>
      <c r="P42" s="734"/>
      <c r="Q42" s="734"/>
      <c r="R42" s="734"/>
      <c r="S42" s="734"/>
      <c r="T42" s="734"/>
      <c r="U42" s="734"/>
      <c r="V42" s="734"/>
      <c r="W42" s="734"/>
      <c r="X42" s="734"/>
      <c r="Y42" s="734"/>
      <c r="Z42" s="734"/>
    </row>
    <row r="43" spans="1:35" ht="13.5" customHeight="1">
      <c r="A43" s="1279"/>
      <c r="B43" s="1560"/>
      <c r="C43" s="1560"/>
      <c r="D43" s="1560"/>
      <c r="E43" s="1560"/>
      <c r="F43" s="1560"/>
      <c r="G43" s="1560"/>
      <c r="H43" s="1560"/>
      <c r="I43" s="1560"/>
      <c r="J43" s="1560"/>
      <c r="K43" s="1560"/>
      <c r="L43" s="1560"/>
      <c r="M43" s="1560"/>
      <c r="N43" s="1668"/>
      <c r="O43" s="1560"/>
      <c r="P43" s="1560"/>
      <c r="Q43" s="1560"/>
      <c r="R43" s="1560"/>
      <c r="S43" s="1560"/>
      <c r="T43" s="1560"/>
      <c r="U43" s="1560"/>
      <c r="V43" s="1560"/>
      <c r="W43" s="1560"/>
      <c r="X43" s="1560"/>
      <c r="Y43" s="1560"/>
      <c r="Z43" s="1560"/>
      <c r="AA43" s="365"/>
      <c r="AB43" s="365"/>
      <c r="AC43" s="365"/>
      <c r="AD43" s="1641"/>
      <c r="AE43" s="2084"/>
      <c r="AF43" s="2084"/>
      <c r="AG43" s="2091"/>
    </row>
    <row r="44" spans="1:35">
      <c r="A44" s="1279"/>
      <c r="B44" s="1560"/>
      <c r="C44" s="1560"/>
      <c r="D44" s="1560"/>
      <c r="E44" s="1560"/>
      <c r="F44" s="1560"/>
      <c r="G44" s="1560"/>
      <c r="H44" s="1560"/>
      <c r="I44" s="1560"/>
      <c r="J44" s="1560"/>
      <c r="K44" s="1560"/>
      <c r="L44" s="1560"/>
      <c r="M44" s="1560"/>
      <c r="N44" s="1668"/>
      <c r="O44" s="1560"/>
      <c r="P44" s="1560"/>
      <c r="Q44" s="1560"/>
      <c r="R44" s="1560"/>
      <c r="S44" s="1560"/>
      <c r="T44" s="1560"/>
      <c r="U44" s="1560"/>
      <c r="V44" s="1560"/>
      <c r="W44" s="1560"/>
      <c r="X44" s="1560"/>
      <c r="Y44" s="1560"/>
      <c r="Z44" s="1560"/>
      <c r="AA44" s="365"/>
      <c r="AB44" s="365"/>
      <c r="AC44" s="365"/>
      <c r="AD44" s="1641"/>
      <c r="AE44" s="2084"/>
      <c r="AF44" s="2084"/>
      <c r="AG44" s="2091"/>
    </row>
    <row r="45" spans="1:35">
      <c r="A45" s="1279"/>
      <c r="B45" s="1560"/>
      <c r="C45" s="1560"/>
      <c r="D45" s="1560"/>
      <c r="E45" s="1560"/>
      <c r="F45" s="1560"/>
      <c r="G45" s="1560"/>
      <c r="H45" s="1560"/>
      <c r="I45" s="1560"/>
      <c r="J45" s="1560"/>
      <c r="K45" s="1560"/>
      <c r="L45" s="1560"/>
      <c r="M45" s="1560"/>
      <c r="N45" s="1668"/>
      <c r="O45" s="1560"/>
      <c r="P45" s="1560"/>
      <c r="Q45" s="1560"/>
      <c r="R45" s="1560"/>
      <c r="S45" s="1560"/>
      <c r="T45" s="1560"/>
      <c r="U45" s="1560"/>
      <c r="V45" s="1560"/>
      <c r="W45" s="1560"/>
      <c r="X45" s="1560"/>
      <c r="Y45" s="1560"/>
      <c r="Z45" s="1560"/>
      <c r="AA45" s="365"/>
      <c r="AB45" s="365"/>
      <c r="AC45" s="365"/>
      <c r="AD45" s="1641"/>
      <c r="AE45" s="2084"/>
      <c r="AF45" s="2084"/>
    </row>
    <row r="46" spans="1:35">
      <c r="A46" s="1279"/>
      <c r="B46" s="1560"/>
      <c r="C46" s="1560"/>
      <c r="D46" s="1560"/>
      <c r="E46" s="1560"/>
      <c r="F46" s="1560"/>
      <c r="G46" s="1560"/>
      <c r="H46" s="1560"/>
      <c r="I46" s="1560"/>
      <c r="J46" s="1560"/>
      <c r="K46" s="1560"/>
      <c r="L46" s="1560"/>
      <c r="M46" s="1560"/>
      <c r="N46" s="1668"/>
      <c r="O46" s="1560"/>
      <c r="P46" s="1560"/>
      <c r="Q46" s="1560"/>
      <c r="R46" s="1560"/>
      <c r="S46" s="1560"/>
      <c r="T46" s="1560"/>
      <c r="U46" s="1560"/>
      <c r="V46" s="1560"/>
      <c r="W46" s="1560"/>
      <c r="X46" s="1560"/>
      <c r="Y46" s="1560"/>
      <c r="Z46" s="1560"/>
      <c r="AA46" s="365"/>
      <c r="AB46" s="365"/>
      <c r="AC46" s="365"/>
      <c r="AD46" s="1641"/>
      <c r="AE46" s="2084"/>
      <c r="AF46" s="2084"/>
    </row>
    <row r="47" spans="1:35">
      <c r="A47" s="1279"/>
      <c r="B47" s="1279"/>
      <c r="C47" s="1279"/>
      <c r="D47" s="1279"/>
      <c r="E47" s="1279"/>
      <c r="F47" s="1279"/>
      <c r="G47" s="1279"/>
      <c r="H47" s="1279"/>
      <c r="I47" s="1279"/>
      <c r="J47" s="1279"/>
      <c r="K47" s="1279"/>
      <c r="L47" s="1279"/>
      <c r="M47" s="1279"/>
      <c r="N47" s="1845"/>
      <c r="O47" s="1279"/>
      <c r="P47" s="1279"/>
      <c r="Q47" s="1279"/>
      <c r="R47" s="1279"/>
      <c r="S47" s="1279"/>
      <c r="T47" s="1279"/>
      <c r="U47" s="1279"/>
      <c r="V47" s="1279"/>
      <c r="W47" s="1279"/>
      <c r="X47" s="1279"/>
      <c r="Y47" s="1279"/>
      <c r="Z47" s="1279"/>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firstPageNumber="37"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1.1796875" style="732" customWidth="1"/>
    <col min="11" max="11" width="1.6328125" style="732" customWidth="1"/>
    <col min="12" max="12" width="13.90625" style="732" customWidth="1"/>
    <col min="13" max="13" width="1.6328125" style="732" customWidth="1"/>
    <col min="14" max="14" width="11.90625" style="3109" bestFit="1" customWidth="1"/>
    <col min="15" max="15" width="1.6328125" style="732" customWidth="1"/>
    <col min="16" max="16" width="13.54296875" style="732" bestFit="1" customWidth="1"/>
    <col min="17" max="17" width="1.6328125" style="732" customWidth="1"/>
    <col min="18" max="18" width="13.54296875" style="732" bestFit="1" customWidth="1"/>
    <col min="19" max="19" width="1.6328125" style="732" customWidth="1"/>
    <col min="20" max="20" width="11" style="732" bestFit="1" customWidth="1"/>
    <col min="21" max="21" width="1.6328125" style="732" customWidth="1"/>
    <col min="22" max="22" width="12.63281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732" customWidth="1"/>
    <col min="31" max="31" width="1.81640625" style="732" customWidth="1"/>
    <col min="32" max="32" width="2.453125" style="732" customWidth="1"/>
    <col min="33" max="33" width="10.36328125" style="740" bestFit="1" customWidth="1"/>
    <col min="34" max="34" width="1.6328125" style="740" customWidth="1"/>
    <col min="35" max="35" width="11.08984375" style="732" customWidth="1"/>
    <col min="36" max="16384" width="8.90625" style="732"/>
  </cols>
  <sheetData>
    <row r="1" spans="1:35" ht="15">
      <c r="A1" s="1124" t="s">
        <v>1066</v>
      </c>
    </row>
    <row r="2" spans="1:35" ht="15">
      <c r="A2" s="1577"/>
    </row>
    <row r="3" spans="1:35" ht="20.25" customHeight="1">
      <c r="A3" s="1586"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39"/>
      <c r="AI3" s="1585" t="s">
        <v>233</v>
      </c>
    </row>
    <row r="4" spans="1:35" ht="20.25" customHeight="1">
      <c r="A4" s="1588"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39"/>
    </row>
    <row r="5" spans="1:35" ht="20.25" customHeight="1">
      <c r="A5" s="1588"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1585"/>
      <c r="AG5" s="739"/>
    </row>
    <row r="6" spans="1:35" ht="20.25" customHeight="1">
      <c r="A6" s="1588" t="s">
        <v>1437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39"/>
    </row>
    <row r="7" spans="1:35" ht="20.25" customHeight="1">
      <c r="A7" s="1586"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81"/>
      <c r="AB7" s="2081"/>
      <c r="AC7" s="2081"/>
      <c r="AD7" s="2081"/>
      <c r="AE7" s="2081"/>
      <c r="AF7" s="2081"/>
      <c r="AG7" s="2082"/>
      <c r="AH7" s="2082"/>
      <c r="AI7" s="2081"/>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81"/>
      <c r="AB8" s="2081"/>
      <c r="AC8" s="2081"/>
      <c r="AD8" s="2081"/>
      <c r="AE8" s="2081"/>
      <c r="AF8" s="2081"/>
      <c r="AG8" s="2082"/>
      <c r="AH8" s="2082"/>
      <c r="AI8" s="2081"/>
    </row>
    <row r="9" spans="1:35" s="734"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81"/>
      <c r="AB9" s="2081"/>
      <c r="AC9" s="3556"/>
      <c r="AD9" s="3557"/>
      <c r="AE9" s="3557"/>
      <c r="AF9" s="3557"/>
      <c r="AG9" s="3557"/>
      <c r="AH9" s="3557"/>
      <c r="AI9" s="3557"/>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89"/>
      <c r="W10" s="1590"/>
      <c r="X10" s="1591"/>
      <c r="Y10" s="1592"/>
      <c r="AA10" s="3555" t="s">
        <v>1556</v>
      </c>
      <c r="AB10" s="3558"/>
      <c r="AC10" s="3558"/>
      <c r="AD10" s="3558"/>
      <c r="AE10" s="3558"/>
      <c r="AF10" s="3558"/>
      <c r="AG10" s="3558"/>
      <c r="AH10" s="3558"/>
      <c r="AI10" s="3558"/>
    </row>
    <row r="11" spans="1:35" s="734" customFormat="1" ht="18.899999999999999" customHeight="1">
      <c r="A11" s="349"/>
      <c r="B11" s="1436">
        <v>2017</v>
      </c>
      <c r="C11" s="458"/>
      <c r="D11" s="458"/>
      <c r="E11" s="458"/>
      <c r="F11" s="458"/>
      <c r="G11" s="458"/>
      <c r="H11" s="458"/>
      <c r="I11" s="458"/>
      <c r="J11" s="458"/>
      <c r="K11" s="458"/>
      <c r="L11" s="458"/>
      <c r="M11" s="458"/>
      <c r="N11" s="3110"/>
      <c r="O11" s="458"/>
      <c r="P11" s="458"/>
      <c r="Q11" s="458"/>
      <c r="R11" s="458"/>
      <c r="S11" s="458"/>
      <c r="T11" s="1436">
        <v>2018</v>
      </c>
      <c r="U11" s="458"/>
      <c r="V11" s="458"/>
      <c r="W11" s="458"/>
      <c r="X11" s="458"/>
      <c r="Y11" s="458"/>
      <c r="Z11" s="1437"/>
      <c r="AA11" s="2071"/>
      <c r="AB11" s="2071"/>
      <c r="AC11" s="2071"/>
      <c r="AD11" s="2113"/>
      <c r="AE11" s="2113"/>
      <c r="AF11" s="2071"/>
      <c r="AG11" s="2085" t="s">
        <v>8</v>
      </c>
      <c r="AH11" s="2085"/>
      <c r="AI11" s="2086" t="s">
        <v>9</v>
      </c>
    </row>
    <row r="12" spans="1:35" s="734" customFormat="1" ht="18.899999999999999" customHeight="1">
      <c r="A12" s="349"/>
      <c r="B12" s="1438" t="s">
        <v>127</v>
      </c>
      <c r="C12" s="458"/>
      <c r="D12" s="1593" t="s">
        <v>128</v>
      </c>
      <c r="E12" s="458"/>
      <c r="F12" s="1593" t="s">
        <v>129</v>
      </c>
      <c r="G12" s="458"/>
      <c r="H12" s="1593" t="s">
        <v>130</v>
      </c>
      <c r="I12" s="458"/>
      <c r="J12" s="1594" t="s">
        <v>230</v>
      </c>
      <c r="K12" s="458"/>
      <c r="L12" s="1594" t="s">
        <v>146</v>
      </c>
      <c r="M12" s="458"/>
      <c r="N12" s="3111" t="s">
        <v>147</v>
      </c>
      <c r="O12" s="458"/>
      <c r="P12" s="1593" t="s">
        <v>134</v>
      </c>
      <c r="Q12" s="458"/>
      <c r="R12" s="1593" t="s">
        <v>135</v>
      </c>
      <c r="S12" s="458"/>
      <c r="T12" s="1594" t="s">
        <v>136</v>
      </c>
      <c r="U12" s="458"/>
      <c r="V12" s="1593" t="s">
        <v>137</v>
      </c>
      <c r="W12" s="458"/>
      <c r="X12" s="1594" t="s">
        <v>190</v>
      </c>
      <c r="Y12" s="458"/>
      <c r="Z12" s="458"/>
      <c r="AA12" s="2133">
        <v>2018</v>
      </c>
      <c r="AB12" s="2133"/>
      <c r="AC12" s="2107"/>
      <c r="AD12" s="2134">
        <v>2017</v>
      </c>
      <c r="AE12" s="2107"/>
      <c r="AF12" s="2107"/>
      <c r="AG12" s="2087" t="s">
        <v>12</v>
      </c>
      <c r="AH12" s="2088"/>
      <c r="AI12" s="2087" t="s">
        <v>13</v>
      </c>
    </row>
    <row r="13" spans="1:35" s="734" customFormat="1" ht="18.899999999999999" customHeight="1">
      <c r="A13" s="458" t="s">
        <v>139</v>
      </c>
      <c r="B13" s="1598">
        <v>10.7</v>
      </c>
      <c r="C13" s="709"/>
      <c r="D13" s="1598">
        <f>B38</f>
        <v>11</v>
      </c>
      <c r="E13" s="709"/>
      <c r="F13" s="1598">
        <f>D38</f>
        <v>11</v>
      </c>
      <c r="G13" s="709"/>
      <c r="H13" s="1598">
        <f>F38</f>
        <v>11.1</v>
      </c>
      <c r="I13" s="1638"/>
      <c r="J13" s="1598">
        <f>H38</f>
        <v>11.2</v>
      </c>
      <c r="K13" s="709"/>
      <c r="L13" s="1598">
        <f>J38</f>
        <v>11.3</v>
      </c>
      <c r="M13" s="1638"/>
      <c r="N13" s="3112">
        <f>L38</f>
        <v>11.3</v>
      </c>
      <c r="O13" s="1638"/>
      <c r="P13" s="1598">
        <f>N38</f>
        <v>11.4</v>
      </c>
      <c r="Q13" s="1638"/>
      <c r="R13" s="1598">
        <f>P38</f>
        <v>11.5</v>
      </c>
      <c r="S13" s="1638"/>
      <c r="T13" s="1598">
        <f>R38</f>
        <v>11.5</v>
      </c>
      <c r="U13" s="1638"/>
      <c r="V13" s="1598"/>
      <c r="W13" s="1638"/>
      <c r="X13" s="1598"/>
      <c r="Y13" s="1599"/>
      <c r="Z13" s="1600"/>
      <c r="AA13" s="2135">
        <f>+B13</f>
        <v>10.7</v>
      </c>
      <c r="AB13" s="2136"/>
      <c r="AC13" s="2137"/>
      <c r="AD13" s="2135">
        <v>11.6</v>
      </c>
      <c r="AE13" s="2114"/>
      <c r="AF13" s="2110"/>
      <c r="AG13" s="2089">
        <f>ROUND(SUM(AA13-AD13),1)</f>
        <v>-0.9</v>
      </c>
      <c r="AH13" s="2082"/>
      <c r="AI13" s="2471">
        <f>ROUND(IF(AG13=0,0,AG13/(AD13)),3)</f>
        <v>-7.8E-2</v>
      </c>
    </row>
    <row r="14" spans="1:35" s="734" customFormat="1" ht="18.899999999999999" customHeight="1">
      <c r="A14" s="349"/>
      <c r="B14" s="713"/>
      <c r="C14" s="713"/>
      <c r="D14" s="713"/>
      <c r="E14" s="713"/>
      <c r="F14" s="713"/>
      <c r="G14" s="713"/>
      <c r="H14" s="1606"/>
      <c r="I14" s="1606"/>
      <c r="J14" s="1606"/>
      <c r="K14" s="713"/>
      <c r="L14" s="1606"/>
      <c r="M14" s="1606"/>
      <c r="N14" s="3131"/>
      <c r="O14" s="1606"/>
      <c r="P14" s="1606"/>
      <c r="Q14" s="1606"/>
      <c r="R14" s="1606"/>
      <c r="S14" s="1606"/>
      <c r="T14" s="1606"/>
      <c r="U14" s="1606"/>
      <c r="V14" s="1606"/>
      <c r="W14" s="1606"/>
      <c r="X14" s="1606"/>
      <c r="Y14" s="1604"/>
      <c r="Z14" s="1605"/>
      <c r="AA14" s="2115"/>
      <c r="AB14" s="2138"/>
      <c r="AC14" s="2139"/>
      <c r="AD14" s="2115"/>
      <c r="AE14" s="2115"/>
      <c r="AF14" s="2111"/>
      <c r="AG14" s="2091"/>
      <c r="AH14" s="2082"/>
      <c r="AI14" s="3167"/>
    </row>
    <row r="15" spans="1:35" s="734" customFormat="1" ht="18.899999999999999" customHeight="1">
      <c r="A15" s="458" t="s">
        <v>14</v>
      </c>
      <c r="B15" s="713"/>
      <c r="C15" s="713"/>
      <c r="D15" s="713"/>
      <c r="E15" s="713"/>
      <c r="F15" s="713"/>
      <c r="G15" s="713"/>
      <c r="H15" s="1606"/>
      <c r="I15" s="1606"/>
      <c r="J15" s="1606"/>
      <c r="K15" s="713"/>
      <c r="L15" s="1606"/>
      <c r="M15" s="1606"/>
      <c r="N15" s="3131"/>
      <c r="O15" s="1606"/>
      <c r="P15" s="1606"/>
      <c r="Q15" s="1606"/>
      <c r="R15" s="1606"/>
      <c r="S15" s="1606"/>
      <c r="T15" s="1606"/>
      <c r="U15" s="1606"/>
      <c r="V15" s="1606"/>
      <c r="W15" s="1606"/>
      <c r="X15" s="1606"/>
      <c r="Y15" s="1604"/>
      <c r="Z15" s="1605"/>
      <c r="AA15" s="2115"/>
      <c r="AB15" s="2138"/>
      <c r="AC15" s="2139"/>
      <c r="AD15" s="2115"/>
      <c r="AE15" s="2115"/>
      <c r="AF15" s="2111"/>
      <c r="AG15" s="2091"/>
      <c r="AH15" s="2082"/>
      <c r="AI15" s="3167"/>
    </row>
    <row r="16" spans="1:35" s="734" customFormat="1" ht="18.899999999999999" customHeight="1">
      <c r="A16" s="1607" t="s">
        <v>183</v>
      </c>
      <c r="B16" s="1608">
        <v>0.3</v>
      </c>
      <c r="C16" s="439"/>
      <c r="D16" s="1608">
        <v>0.1</v>
      </c>
      <c r="E16" s="439"/>
      <c r="F16" s="690">
        <v>0.1</v>
      </c>
      <c r="G16" s="439"/>
      <c r="H16" s="690">
        <v>0.1</v>
      </c>
      <c r="I16" s="1609"/>
      <c r="J16" s="690">
        <v>0.1</v>
      </c>
      <c r="K16" s="439"/>
      <c r="L16" s="1624">
        <v>0.1</v>
      </c>
      <c r="M16" s="1610"/>
      <c r="N16" s="3132">
        <v>0.2</v>
      </c>
      <c r="O16" s="1610"/>
      <c r="P16" s="1608">
        <v>0.1</v>
      </c>
      <c r="Q16" s="1610"/>
      <c r="R16" s="1624">
        <v>0</v>
      </c>
      <c r="S16" s="1610"/>
      <c r="T16" s="690">
        <v>0.1</v>
      </c>
      <c r="U16" s="1610"/>
      <c r="V16" s="1624"/>
      <c r="W16" s="1610"/>
      <c r="X16" s="690"/>
      <c r="Y16" s="1611"/>
      <c r="Z16" s="1612"/>
      <c r="AA16" s="2140">
        <f>ROUND(SUM(B16:X16),1)</f>
        <v>1.2</v>
      </c>
      <c r="AB16" s="2141"/>
      <c r="AC16" s="2142"/>
      <c r="AD16" s="2143">
        <v>-0.7</v>
      </c>
      <c r="AE16" s="2116"/>
      <c r="AF16" s="2074"/>
      <c r="AG16" s="446">
        <f>ROUND(SUM(AA16-AD16),1)</f>
        <v>1.9</v>
      </c>
      <c r="AH16" s="2082"/>
      <c r="AI16" s="3168">
        <f>ABS(ROUND(IF(AD16=0,1,AG16/AD16),3))</f>
        <v>2.714</v>
      </c>
    </row>
    <row r="17" spans="1:35" s="734" customFormat="1" ht="24" customHeight="1">
      <c r="A17" s="458" t="s">
        <v>154</v>
      </c>
      <c r="B17" s="1625">
        <f>ROUND(SUM(B16),1)</f>
        <v>0.3</v>
      </c>
      <c r="C17" s="721"/>
      <c r="D17" s="1625">
        <f>ROUND(SUM(D16),1)</f>
        <v>0.1</v>
      </c>
      <c r="E17" s="721"/>
      <c r="F17" s="1625">
        <f>ROUND(SUM(F16),1)</f>
        <v>0.1</v>
      </c>
      <c r="G17" s="721"/>
      <c r="H17" s="1625">
        <f>ROUND(SUM(H16),1)</f>
        <v>0.1</v>
      </c>
      <c r="I17" s="1614"/>
      <c r="J17" s="1625">
        <f>ROUND(SUM(J16),1)</f>
        <v>0.1</v>
      </c>
      <c r="K17" s="721"/>
      <c r="L17" s="1625">
        <f>ROUND(SUM(L16),1)</f>
        <v>0.1</v>
      </c>
      <c r="M17" s="1615"/>
      <c r="N17" s="3118">
        <f>ROUND(SUM(N16),1)</f>
        <v>0.2</v>
      </c>
      <c r="O17" s="1615"/>
      <c r="P17" s="1625">
        <f>ROUND(SUM(P16),1)</f>
        <v>0.1</v>
      </c>
      <c r="Q17" s="1615"/>
      <c r="R17" s="1625">
        <f>ROUND(SUM(R16),1)</f>
        <v>0</v>
      </c>
      <c r="S17" s="1615"/>
      <c r="T17" s="1625">
        <f>ROUND(SUM(T16),1)</f>
        <v>0.1</v>
      </c>
      <c r="U17" s="1615"/>
      <c r="V17" s="1625">
        <f>ROUND(SUM(V16),1)</f>
        <v>0</v>
      </c>
      <c r="W17" s="1615"/>
      <c r="X17" s="1625">
        <f>ROUND(SUM(X16),1)</f>
        <v>0</v>
      </c>
      <c r="Y17" s="1616"/>
      <c r="Z17" s="1617"/>
      <c r="AA17" s="2117">
        <f>ROUND(SUM(AA16),1)</f>
        <v>1.2</v>
      </c>
      <c r="AB17" s="2144"/>
      <c r="AC17" s="2145"/>
      <c r="AD17" s="2117">
        <f>ROUND(SUM(AD16),1)</f>
        <v>-0.7</v>
      </c>
      <c r="AE17" s="2117"/>
      <c r="AF17" s="2074"/>
      <c r="AG17" s="2126">
        <f>ROUND(SUM(AG16),1)</f>
        <v>1.9</v>
      </c>
      <c r="AH17" s="2127"/>
      <c r="AI17" s="3169">
        <f>ROUND(IF(AD17=0,1,AG17/ABS(AD17)),3)</f>
        <v>2.714</v>
      </c>
    </row>
    <row r="18" spans="1:35" s="734" customFormat="1" ht="18.899999999999999" customHeight="1">
      <c r="A18" s="349"/>
      <c r="B18" s="720"/>
      <c r="C18" s="439"/>
      <c r="D18" s="720" t="s">
        <v>15</v>
      </c>
      <c r="E18" s="439"/>
      <c r="F18" s="720"/>
      <c r="G18" s="439"/>
      <c r="H18" s="1618"/>
      <c r="I18" s="1610"/>
      <c r="J18" s="1618"/>
      <c r="K18" s="439"/>
      <c r="L18" s="1619"/>
      <c r="M18" s="1610"/>
      <c r="N18" s="3115"/>
      <c r="O18" s="1610"/>
      <c r="P18" s="1618"/>
      <c r="Q18" s="1610"/>
      <c r="R18" s="1618"/>
      <c r="S18" s="1610"/>
      <c r="T18" s="1618"/>
      <c r="U18" s="1610"/>
      <c r="V18" s="1618"/>
      <c r="W18" s="1610"/>
      <c r="X18" s="1618"/>
      <c r="Y18" s="1611"/>
      <c r="Z18" s="1612"/>
      <c r="AA18" s="2146"/>
      <c r="AB18" s="2141"/>
      <c r="AC18" s="2147"/>
      <c r="AD18" s="2146"/>
      <c r="AE18" s="2095"/>
      <c r="AF18" s="2074"/>
      <c r="AG18" s="2095"/>
      <c r="AH18" s="2082"/>
      <c r="AI18" s="3167"/>
    </row>
    <row r="19" spans="1:35" s="734" customFormat="1" ht="18.899999999999999" customHeight="1">
      <c r="A19" s="349"/>
      <c r="B19" s="439"/>
      <c r="C19" s="439"/>
      <c r="D19" s="439" t="s">
        <v>15</v>
      </c>
      <c r="E19" s="439"/>
      <c r="F19" s="439"/>
      <c r="G19" s="439"/>
      <c r="H19" s="1610"/>
      <c r="I19" s="1610"/>
      <c r="J19" s="1610"/>
      <c r="K19" s="439"/>
      <c r="L19" s="1620"/>
      <c r="M19" s="1610"/>
      <c r="N19" s="3116"/>
      <c r="O19" s="1610"/>
      <c r="P19" s="1610"/>
      <c r="Q19" s="1610"/>
      <c r="R19" s="1610"/>
      <c r="S19" s="1610"/>
      <c r="T19" s="1610"/>
      <c r="U19" s="1610"/>
      <c r="V19" s="1610"/>
      <c r="W19" s="1610"/>
      <c r="X19" s="1610"/>
      <c r="Y19" s="1611"/>
      <c r="Z19" s="1612"/>
      <c r="AA19" s="2118"/>
      <c r="AB19" s="2141"/>
      <c r="AC19" s="2142"/>
      <c r="AD19" s="2118"/>
      <c r="AE19" s="2118"/>
      <c r="AF19" s="2074"/>
      <c r="AG19" s="2095"/>
      <c r="AH19" s="2082"/>
      <c r="AI19" s="3167"/>
    </row>
    <row r="20" spans="1:35" s="734" customFormat="1" ht="18.899999999999999" customHeight="1">
      <c r="A20" s="458" t="s">
        <v>23</v>
      </c>
      <c r="B20" s="439"/>
      <c r="C20" s="439"/>
      <c r="D20" s="439" t="s">
        <v>15</v>
      </c>
      <c r="E20" s="439"/>
      <c r="F20" s="439"/>
      <c r="G20" s="439"/>
      <c r="H20" s="1610"/>
      <c r="I20" s="1610"/>
      <c r="J20" s="1610"/>
      <c r="K20" s="439"/>
      <c r="L20" s="1620"/>
      <c r="M20" s="1610"/>
      <c r="N20" s="3116"/>
      <c r="O20" s="1610"/>
      <c r="P20" s="1610"/>
      <c r="Q20" s="1610"/>
      <c r="R20" s="1610"/>
      <c r="S20" s="1610"/>
      <c r="T20" s="1610"/>
      <c r="U20" s="1610"/>
      <c r="V20" s="1610"/>
      <c r="W20" s="1610"/>
      <c r="X20" s="1610"/>
      <c r="Y20" s="1611"/>
      <c r="Z20" s="1612"/>
      <c r="AA20" s="2118"/>
      <c r="AB20" s="2141"/>
      <c r="AC20" s="2142"/>
      <c r="AD20" s="2118"/>
      <c r="AE20" s="2118"/>
      <c r="AF20" s="2074"/>
      <c r="AG20" s="2095"/>
      <c r="AH20" s="2082"/>
      <c r="AI20" s="3167"/>
    </row>
    <row r="21" spans="1:35" s="734" customFormat="1" ht="18.899999999999999" customHeight="1">
      <c r="A21" s="349" t="s">
        <v>156</v>
      </c>
      <c r="B21" s="441"/>
      <c r="C21" s="439"/>
      <c r="D21" s="439"/>
      <c r="E21" s="439"/>
      <c r="F21" s="439"/>
      <c r="G21" s="439"/>
      <c r="H21" s="1610"/>
      <c r="I21" s="1610"/>
      <c r="J21" s="1610"/>
      <c r="K21" s="439"/>
      <c r="L21" s="1620"/>
      <c r="M21" s="1610"/>
      <c r="N21" s="3116"/>
      <c r="O21" s="1610"/>
      <c r="P21" s="1610"/>
      <c r="Q21" s="1610"/>
      <c r="R21" s="1610"/>
      <c r="S21" s="1610"/>
      <c r="T21" s="1610"/>
      <c r="U21" s="1610"/>
      <c r="V21" s="1610"/>
      <c r="W21" s="1610"/>
      <c r="X21" s="1610"/>
      <c r="Y21" s="1611"/>
      <c r="Z21" s="1612"/>
      <c r="AA21" s="2119"/>
      <c r="AB21" s="2148"/>
      <c r="AC21" s="2149"/>
      <c r="AD21" s="2119"/>
      <c r="AE21" s="2119"/>
      <c r="AF21" s="2075"/>
      <c r="AG21" s="2095"/>
      <c r="AH21" s="2082"/>
      <c r="AI21" s="3167"/>
    </row>
    <row r="22" spans="1:35" s="734" customFormat="1" ht="18.899999999999999" customHeight="1">
      <c r="A22" s="349" t="s">
        <v>223</v>
      </c>
      <c r="B22" s="441">
        <v>0</v>
      </c>
      <c r="C22" s="439"/>
      <c r="D22" s="441">
        <v>0.1</v>
      </c>
      <c r="E22" s="439"/>
      <c r="F22" s="441">
        <v>0</v>
      </c>
      <c r="G22" s="439"/>
      <c r="H22" s="686">
        <v>0</v>
      </c>
      <c r="I22" s="1610"/>
      <c r="J22" s="441">
        <v>0</v>
      </c>
      <c r="K22" s="439"/>
      <c r="L22" s="441">
        <v>0</v>
      </c>
      <c r="M22" s="1610"/>
      <c r="N22" s="3120">
        <v>0.1</v>
      </c>
      <c r="O22" s="1610"/>
      <c r="P22" s="441">
        <v>0</v>
      </c>
      <c r="Q22" s="1610"/>
      <c r="R22" s="441">
        <v>0</v>
      </c>
      <c r="S22" s="1610"/>
      <c r="T22" s="441">
        <v>0</v>
      </c>
      <c r="U22" s="1610"/>
      <c r="V22" s="441"/>
      <c r="W22" s="1610"/>
      <c r="X22" s="686"/>
      <c r="Y22" s="1611"/>
      <c r="Z22" s="1612"/>
      <c r="AA22" s="2121">
        <f>ROUND(SUM(B22:X22),1)</f>
        <v>0.2</v>
      </c>
      <c r="AB22" s="2141"/>
      <c r="AC22" s="2142"/>
      <c r="AD22" s="2120">
        <v>0.1</v>
      </c>
      <c r="AE22" s="2120"/>
      <c r="AF22" s="2075"/>
      <c r="AG22" s="446">
        <f>ROUND(SUM(AA22-AD22),1)</f>
        <v>0.1</v>
      </c>
      <c r="AH22" s="2082"/>
      <c r="AI22" s="2884">
        <f>ROUND(IF(AD22=0,1,AG22/ABS(AD22)),3)</f>
        <v>1</v>
      </c>
    </row>
    <row r="23" spans="1:35" s="734" customFormat="1" ht="18.899999999999999" customHeight="1">
      <c r="A23" s="1607" t="s">
        <v>175</v>
      </c>
      <c r="B23" s="441">
        <v>0</v>
      </c>
      <c r="C23" s="439"/>
      <c r="D23" s="441">
        <v>0</v>
      </c>
      <c r="E23" s="439"/>
      <c r="F23" s="441">
        <v>0</v>
      </c>
      <c r="G23" s="439"/>
      <c r="H23" s="441">
        <v>0</v>
      </c>
      <c r="I23" s="1610"/>
      <c r="J23" s="441">
        <v>0</v>
      </c>
      <c r="K23" s="439"/>
      <c r="L23" s="441">
        <v>0</v>
      </c>
      <c r="M23" s="1610"/>
      <c r="N23" s="3120">
        <v>0</v>
      </c>
      <c r="O23" s="441"/>
      <c r="P23" s="441">
        <v>0</v>
      </c>
      <c r="Q23" s="1610"/>
      <c r="R23" s="441">
        <v>0</v>
      </c>
      <c r="S23" s="1610"/>
      <c r="T23" s="441">
        <v>0</v>
      </c>
      <c r="U23" s="1610"/>
      <c r="V23" s="441"/>
      <c r="W23" s="1610"/>
      <c r="X23" s="441"/>
      <c r="Y23" s="1611"/>
      <c r="Z23" s="1612"/>
      <c r="AA23" s="2121">
        <f>ROUND(SUM(B23:X23),1)</f>
        <v>0</v>
      </c>
      <c r="AB23" s="2141"/>
      <c r="AC23" s="2142"/>
      <c r="AD23" s="2119">
        <v>0</v>
      </c>
      <c r="AE23" s="2119"/>
      <c r="AF23" s="2075"/>
      <c r="AG23" s="446">
        <f>ROUND(SUM(AA23-AD23),1)</f>
        <v>0</v>
      </c>
      <c r="AH23" s="2100"/>
      <c r="AI23" s="3170">
        <f>ROUND(IF(AG23=0,0,AG23/ABS(AD23)),3)</f>
        <v>0</v>
      </c>
    </row>
    <row r="24" spans="1:35" s="734" customFormat="1" ht="18.899999999999999" customHeight="1">
      <c r="A24" s="349" t="s">
        <v>159</v>
      </c>
      <c r="B24" s="1624">
        <v>0</v>
      </c>
      <c r="C24" s="439"/>
      <c r="D24" s="1624">
        <v>0</v>
      </c>
      <c r="E24" s="439"/>
      <c r="F24" s="1624">
        <v>0</v>
      </c>
      <c r="G24" s="439"/>
      <c r="H24" s="1624">
        <v>0</v>
      </c>
      <c r="I24" s="1610"/>
      <c r="J24" s="1624">
        <v>0</v>
      </c>
      <c r="K24" s="439"/>
      <c r="L24" s="1624">
        <v>0.1</v>
      </c>
      <c r="M24" s="1610"/>
      <c r="N24" s="3132">
        <v>0</v>
      </c>
      <c r="O24" s="1610"/>
      <c r="P24" s="1624">
        <v>0</v>
      </c>
      <c r="Q24" s="1610"/>
      <c r="R24" s="1624">
        <v>0</v>
      </c>
      <c r="S24" s="1610"/>
      <c r="T24" s="690">
        <v>0</v>
      </c>
      <c r="U24" s="1610"/>
      <c r="V24" s="1624"/>
      <c r="W24" s="1610"/>
      <c r="X24" s="1624"/>
      <c r="Y24" s="1611"/>
      <c r="Z24" s="1612"/>
      <c r="AA24" s="2140">
        <f>ROUND(SUM(B24:X24),1)</f>
        <v>0.1</v>
      </c>
      <c r="AB24" s="2141"/>
      <c r="AC24" s="2142"/>
      <c r="AD24" s="1644">
        <v>0.1</v>
      </c>
      <c r="AE24" s="2121"/>
      <c r="AF24" s="2075"/>
      <c r="AG24" s="446">
        <f>ROUND(SUM(AA24-AD24),1)</f>
        <v>0</v>
      </c>
      <c r="AH24" s="2082"/>
      <c r="AI24" s="3171">
        <f>ROUND(IF(AD24=0,0,AG24/AD24),3)</f>
        <v>0</v>
      </c>
    </row>
    <row r="25" spans="1:35" s="734" customFormat="1" ht="22.5" customHeight="1">
      <c r="A25" s="458" t="s">
        <v>160</v>
      </c>
      <c r="B25" s="1646">
        <f>ROUND(SUM(B22:B24),1)</f>
        <v>0</v>
      </c>
      <c r="C25" s="721"/>
      <c r="D25" s="1646">
        <f>ROUND(SUM(D22:D24),1)</f>
        <v>0.1</v>
      </c>
      <c r="E25" s="721"/>
      <c r="F25" s="1646">
        <f>ROUND(SUM(F22:F24),1)</f>
        <v>0</v>
      </c>
      <c r="G25" s="721"/>
      <c r="H25" s="1646">
        <f>ROUND(SUM(H22:H24),1)</f>
        <v>0</v>
      </c>
      <c r="I25" s="1615"/>
      <c r="J25" s="1646">
        <f>ROUND(SUM(J22:J24),1)</f>
        <v>0</v>
      </c>
      <c r="K25" s="721"/>
      <c r="L25" s="1646">
        <f>ROUND(SUM(L22:L24),1)</f>
        <v>0.1</v>
      </c>
      <c r="M25" s="1615"/>
      <c r="N25" s="3133">
        <f>ROUND(SUM(N22:N24),1)</f>
        <v>0.1</v>
      </c>
      <c r="O25" s="1632"/>
      <c r="P25" s="1646">
        <f>ROUND(SUM(P22:P24),1)</f>
        <v>0</v>
      </c>
      <c r="Q25" s="1615"/>
      <c r="R25" s="1646">
        <f>ROUND(SUM(R22:R24),1)</f>
        <v>0</v>
      </c>
      <c r="S25" s="1615"/>
      <c r="T25" s="1646">
        <f>ROUND(SUM(T22:T24),1)</f>
        <v>0</v>
      </c>
      <c r="U25" s="1632"/>
      <c r="V25" s="1646">
        <f>ROUND(SUM(V22:V24),1)</f>
        <v>0</v>
      </c>
      <c r="W25" s="1632"/>
      <c r="X25" s="1646">
        <f>ROUND(SUM(X22:X24),1)</f>
        <v>0</v>
      </c>
      <c r="Y25" s="1616"/>
      <c r="Z25" s="1617"/>
      <c r="AA25" s="2122">
        <f>ROUND(SUM(AA22:AA24),1)</f>
        <v>0.3</v>
      </c>
      <c r="AB25" s="2144"/>
      <c r="AC25" s="2145"/>
      <c r="AD25" s="2122">
        <f>ROUND(SUM(AD22:AD24),1)</f>
        <v>0.2</v>
      </c>
      <c r="AE25" s="2122"/>
      <c r="AF25" s="2075"/>
      <c r="AG25" s="2126">
        <f>ROUND(SUM(AG22:AG24),1)</f>
        <v>0.1</v>
      </c>
      <c r="AH25" s="2097"/>
      <c r="AI25" s="3172">
        <f>ROUND(IF(AD25=0,1,AG25/ABS(AD25)),3)</f>
        <v>0.5</v>
      </c>
    </row>
    <row r="26" spans="1:35" s="734" customFormat="1" ht="18.899999999999999" customHeight="1">
      <c r="A26" s="349"/>
      <c r="B26" s="720"/>
      <c r="C26" s="439"/>
      <c r="D26" s="720" t="s">
        <v>15</v>
      </c>
      <c r="E26" s="439"/>
      <c r="F26" s="720"/>
      <c r="G26" s="439"/>
      <c r="H26" s="1618"/>
      <c r="I26" s="1610"/>
      <c r="J26" s="1618"/>
      <c r="K26" s="439"/>
      <c r="L26" s="1618"/>
      <c r="M26" s="1610"/>
      <c r="N26" s="3115"/>
      <c r="O26" s="1610"/>
      <c r="P26" s="1618"/>
      <c r="Q26" s="1610"/>
      <c r="R26" s="1618"/>
      <c r="S26" s="1610"/>
      <c r="T26" s="1618"/>
      <c r="U26" s="1610"/>
      <c r="V26" s="1618"/>
      <c r="W26" s="1610"/>
      <c r="X26" s="1618"/>
      <c r="Y26" s="1611"/>
      <c r="Z26" s="1612"/>
      <c r="AA26" s="2146"/>
      <c r="AB26" s="2141"/>
      <c r="AC26" s="2147"/>
      <c r="AD26" s="2146"/>
      <c r="AE26" s="2095"/>
      <c r="AF26" s="2074"/>
      <c r="AG26" s="2095"/>
      <c r="AH26" s="2082"/>
      <c r="AI26" s="3167"/>
    </row>
    <row r="27" spans="1:35" s="734" customFormat="1" ht="18.899999999999999" customHeight="1">
      <c r="A27" s="458" t="s">
        <v>161</v>
      </c>
      <c r="B27" s="439"/>
      <c r="C27" s="439"/>
      <c r="D27" s="446" t="s">
        <v>15</v>
      </c>
      <c r="E27" s="439"/>
      <c r="F27" s="439"/>
      <c r="G27" s="439"/>
      <c r="H27" s="1610"/>
      <c r="I27" s="1610"/>
      <c r="J27" s="1610"/>
      <c r="K27" s="439"/>
      <c r="L27" s="1610"/>
      <c r="M27" s="1610"/>
      <c r="N27" s="3116"/>
      <c r="O27" s="1610"/>
      <c r="P27" s="1610"/>
      <c r="Q27" s="1610"/>
      <c r="R27" s="1610"/>
      <c r="S27" s="1610"/>
      <c r="T27" s="1610"/>
      <c r="U27" s="1610"/>
      <c r="V27" s="1610"/>
      <c r="W27" s="1610"/>
      <c r="X27" s="1610"/>
      <c r="Y27" s="1611"/>
      <c r="Z27" s="1612"/>
      <c r="AA27" s="2118"/>
      <c r="AB27" s="2141"/>
      <c r="AC27" s="2142"/>
      <c r="AD27" s="2118"/>
      <c r="AE27" s="2118"/>
      <c r="AF27" s="2074"/>
      <c r="AG27" s="2095"/>
      <c r="AH27" s="2082"/>
      <c r="AI27" s="3167"/>
    </row>
    <row r="28" spans="1:35" s="734" customFormat="1" ht="18.75" customHeight="1">
      <c r="A28" s="458" t="s">
        <v>45</v>
      </c>
      <c r="B28" s="1627">
        <f>ROUND(B17-B25,1)</f>
        <v>0.3</v>
      </c>
      <c r="C28" s="721"/>
      <c r="D28" s="1627">
        <f>ROUND(D17-D25,1)</f>
        <v>0</v>
      </c>
      <c r="E28" s="1647"/>
      <c r="F28" s="1627">
        <f>ROUND(F17-F25,1)</f>
        <v>0.1</v>
      </c>
      <c r="G28" s="1647"/>
      <c r="H28" s="1627">
        <f>ROUND(H17-H25,1)</f>
        <v>0.1</v>
      </c>
      <c r="I28" s="1648"/>
      <c r="J28" s="1627">
        <f>ROUND(J17-J25,1)</f>
        <v>0.1</v>
      </c>
      <c r="K28" s="1647"/>
      <c r="L28" s="1627">
        <f>ROUND(L17-L25,1)</f>
        <v>0</v>
      </c>
      <c r="M28" s="1649"/>
      <c r="N28" s="3134">
        <f>ROUND(N17-N25,1)</f>
        <v>0.1</v>
      </c>
      <c r="O28" s="1649"/>
      <c r="P28" s="1627">
        <f>ROUND(P17-P25,1)</f>
        <v>0.1</v>
      </c>
      <c r="Q28" s="1649"/>
      <c r="R28" s="1627">
        <f>ROUND(R17-R25,1)</f>
        <v>0</v>
      </c>
      <c r="S28" s="1649"/>
      <c r="T28" s="1627">
        <f>ROUND(T17-T25,1)</f>
        <v>0.1</v>
      </c>
      <c r="U28" s="1649"/>
      <c r="V28" s="1627">
        <f>ROUND(V17-V25,1)</f>
        <v>0</v>
      </c>
      <c r="W28" s="1649"/>
      <c r="X28" s="1627">
        <f>ROUND(X17-X25,1)</f>
        <v>0</v>
      </c>
      <c r="Y28" s="1616"/>
      <c r="Z28" s="1617"/>
      <c r="AA28" s="2150">
        <f>ROUND(AA17-AA25,1)</f>
        <v>0.9</v>
      </c>
      <c r="AB28" s="2144"/>
      <c r="AC28" s="2151"/>
      <c r="AD28" s="2150">
        <f>ROUND(AD17-AD25,1)</f>
        <v>-0.9</v>
      </c>
      <c r="AE28" s="2123"/>
      <c r="AF28" s="2075"/>
      <c r="AG28" s="2096">
        <f>ROUND(SUM(AG17-AG25),1)</f>
        <v>1.8</v>
      </c>
      <c r="AH28" s="2097"/>
      <c r="AI28" s="3173">
        <f>ROUND(IF(AD28=0,-1,AG28/ABS(AD28)),3)</f>
        <v>2</v>
      </c>
    </row>
    <row r="29" spans="1:35" s="734" customFormat="1" ht="18.899999999999999" customHeight="1">
      <c r="A29" s="349"/>
      <c r="B29" s="446"/>
      <c r="C29" s="439"/>
      <c r="D29" s="446" t="s">
        <v>15</v>
      </c>
      <c r="E29" s="439"/>
      <c r="F29" s="446"/>
      <c r="G29" s="439"/>
      <c r="H29" s="1609"/>
      <c r="I29" s="1610"/>
      <c r="J29" s="1609"/>
      <c r="K29" s="439"/>
      <c r="L29" s="1609"/>
      <c r="M29" s="1610"/>
      <c r="N29" s="3115"/>
      <c r="O29" s="1610"/>
      <c r="P29" s="1609"/>
      <c r="Q29" s="1610"/>
      <c r="R29" s="1618"/>
      <c r="S29" s="1610"/>
      <c r="T29" s="1609"/>
      <c r="U29" s="1610"/>
      <c r="V29" s="1609"/>
      <c r="W29" s="1610"/>
      <c r="X29" s="1618"/>
      <c r="Y29" s="1611"/>
      <c r="Z29" s="1612"/>
      <c r="AA29" s="2095"/>
      <c r="AB29" s="2141"/>
      <c r="AC29" s="2147"/>
      <c r="AD29" s="2095"/>
      <c r="AE29" s="2095"/>
      <c r="AF29" s="2076"/>
      <c r="AG29" s="2095"/>
      <c r="AH29" s="2082"/>
      <c r="AI29" s="3167"/>
    </row>
    <row r="30" spans="1:35" s="734" customFormat="1" ht="18.899999999999999" customHeight="1">
      <c r="A30" s="458" t="s">
        <v>46</v>
      </c>
      <c r="B30" s="439"/>
      <c r="C30" s="439"/>
      <c r="D30" s="439"/>
      <c r="E30" s="439"/>
      <c r="F30" s="439"/>
      <c r="G30" s="439"/>
      <c r="H30" s="1610"/>
      <c r="I30" s="1610"/>
      <c r="J30" s="1610"/>
      <c r="K30" s="439"/>
      <c r="L30" s="1610"/>
      <c r="M30" s="1610"/>
      <c r="N30" s="3116"/>
      <c r="O30" s="1610"/>
      <c r="P30" s="1610"/>
      <c r="Q30" s="1610"/>
      <c r="R30" s="1610"/>
      <c r="S30" s="1610"/>
      <c r="T30" s="1610"/>
      <c r="U30" s="1610"/>
      <c r="V30" s="1610"/>
      <c r="W30" s="1610"/>
      <c r="X30" s="1610"/>
      <c r="Y30" s="1611"/>
      <c r="Z30" s="1612"/>
      <c r="AA30" s="2118"/>
      <c r="AB30" s="2141"/>
      <c r="AC30" s="2142"/>
      <c r="AD30" s="2118"/>
      <c r="AE30" s="2118"/>
      <c r="AF30" s="2076"/>
      <c r="AG30" s="2095"/>
      <c r="AH30" s="2082"/>
      <c r="AI30" s="3167"/>
    </row>
    <row r="31" spans="1:35" s="734" customFormat="1" ht="18.899999999999999" customHeight="1">
      <c r="A31" s="349" t="s">
        <v>186</v>
      </c>
      <c r="B31" s="441">
        <v>0</v>
      </c>
      <c r="C31" s="439"/>
      <c r="D31" s="441">
        <v>0</v>
      </c>
      <c r="E31" s="439"/>
      <c r="F31" s="441">
        <v>0</v>
      </c>
      <c r="G31" s="439"/>
      <c r="H31" s="441">
        <v>0</v>
      </c>
      <c r="I31" s="1610"/>
      <c r="J31" s="441">
        <v>0</v>
      </c>
      <c r="K31" s="439"/>
      <c r="L31" s="441">
        <v>0</v>
      </c>
      <c r="M31" s="1610"/>
      <c r="N31" s="3120">
        <v>0</v>
      </c>
      <c r="O31" s="1610"/>
      <c r="P31" s="441">
        <v>0</v>
      </c>
      <c r="Q31" s="1610"/>
      <c r="R31" s="441">
        <v>0</v>
      </c>
      <c r="S31" s="1610"/>
      <c r="T31" s="441">
        <v>0</v>
      </c>
      <c r="U31" s="1610"/>
      <c r="V31" s="441"/>
      <c r="W31" s="1610"/>
      <c r="X31" s="441"/>
      <c r="Y31" s="1611"/>
      <c r="Z31" s="1612"/>
      <c r="AA31" s="2121">
        <f>ROUND(SUM(B31:X31),1)</f>
        <v>0</v>
      </c>
      <c r="AB31" s="2141"/>
      <c r="AC31" s="2142"/>
      <c r="AD31" s="2119">
        <v>0</v>
      </c>
      <c r="AE31" s="2119"/>
      <c r="AF31" s="2077"/>
      <c r="AG31" s="446">
        <f>ROUND(SUM(AA31-AD31),1)</f>
        <v>0</v>
      </c>
      <c r="AH31" s="2100"/>
      <c r="AI31" s="3170">
        <f>ROUND(IF(AG31=0,0,AG31/ABS(AD31)),3)</f>
        <v>0</v>
      </c>
    </row>
    <row r="32" spans="1:35" s="734" customFormat="1" ht="18.899999999999999" customHeight="1">
      <c r="A32" s="349" t="s">
        <v>187</v>
      </c>
      <c r="B32" s="441">
        <v>0</v>
      </c>
      <c r="C32" s="439"/>
      <c r="D32" s="441">
        <v>0</v>
      </c>
      <c r="E32" s="439"/>
      <c r="F32" s="441">
        <v>0</v>
      </c>
      <c r="G32" s="439"/>
      <c r="H32" s="441">
        <v>0</v>
      </c>
      <c r="I32" s="1610"/>
      <c r="J32" s="441">
        <v>0</v>
      </c>
      <c r="K32" s="439"/>
      <c r="L32" s="441">
        <v>0</v>
      </c>
      <c r="M32" s="1609"/>
      <c r="N32" s="3120">
        <v>0</v>
      </c>
      <c r="O32" s="1609"/>
      <c r="P32" s="441">
        <v>0</v>
      </c>
      <c r="Q32" s="1609"/>
      <c r="R32" s="441">
        <v>0</v>
      </c>
      <c r="S32" s="1609"/>
      <c r="T32" s="441">
        <v>0</v>
      </c>
      <c r="U32" s="1609"/>
      <c r="V32" s="441"/>
      <c r="W32" s="1609"/>
      <c r="X32" s="441"/>
      <c r="Y32" s="1611"/>
      <c r="Z32" s="1612"/>
      <c r="AA32" s="2121">
        <f>ROUND(SUM(B32:X32),1)</f>
        <v>0</v>
      </c>
      <c r="AB32" s="2152"/>
      <c r="AC32" s="2153"/>
      <c r="AD32" s="2119">
        <v>0</v>
      </c>
      <c r="AE32" s="2119"/>
      <c r="AF32" s="2076"/>
      <c r="AG32" s="446">
        <f>ROUND(SUM(AA32-AD32),1)</f>
        <v>0</v>
      </c>
      <c r="AH32" s="2100"/>
      <c r="AI32" s="3170">
        <f>ROUND(IF(AG32=0,0,AG32/ABS(AD32)),3)</f>
        <v>0</v>
      </c>
    </row>
    <row r="33" spans="1:35" s="734" customFormat="1" ht="22.5" customHeight="1">
      <c r="A33" s="458" t="s">
        <v>213</v>
      </c>
      <c r="B33" s="1650">
        <f>ROUND(SUM(B31:B32),1)</f>
        <v>0</v>
      </c>
      <c r="C33" s="721"/>
      <c r="D33" s="1650">
        <f>ROUND(SUM(D31:D32),1)</f>
        <v>0</v>
      </c>
      <c r="E33" s="721"/>
      <c r="F33" s="1650">
        <f>ROUND(SUM(F31:F32),1)</f>
        <v>0</v>
      </c>
      <c r="G33" s="721"/>
      <c r="H33" s="1650">
        <f>ROUND(SUM(H31:H32),1)</f>
        <v>0</v>
      </c>
      <c r="I33" s="1615"/>
      <c r="J33" s="1650">
        <f>ROUND(SUM(J31:J32),1)</f>
        <v>0</v>
      </c>
      <c r="K33" s="721"/>
      <c r="L33" s="1650">
        <f>ROUND(SUM(L31:L32),1)</f>
        <v>0</v>
      </c>
      <c r="M33" s="1615"/>
      <c r="N33" s="3135">
        <f>ROUND(SUM(N31:N32),1)</f>
        <v>0</v>
      </c>
      <c r="O33" s="1615"/>
      <c r="P33" s="1650">
        <f>ROUND(SUM(P31:P32),1)</f>
        <v>0</v>
      </c>
      <c r="Q33" s="1651"/>
      <c r="R33" s="1650">
        <f>ROUND(SUM(R31:R32),1)</f>
        <v>0</v>
      </c>
      <c r="S33" s="1615"/>
      <c r="T33" s="1650">
        <f>ROUND(SUM(T31:T32),1)</f>
        <v>0</v>
      </c>
      <c r="U33" s="1615"/>
      <c r="V33" s="1650">
        <f>ROUND(SUM(V31:V32),1)</f>
        <v>0</v>
      </c>
      <c r="W33" s="1615"/>
      <c r="X33" s="1650">
        <f>ROUND(SUM(X31:X32),1)</f>
        <v>0</v>
      </c>
      <c r="Y33" s="1616"/>
      <c r="Z33" s="1617"/>
      <c r="AA33" s="2154">
        <f>ROUND(SUM(AA31:AA32),1)</f>
        <v>0</v>
      </c>
      <c r="AB33" s="2155"/>
      <c r="AC33" s="2156"/>
      <c r="AD33" s="2154">
        <f>ROUND(SUM(AD31:AD32),1)</f>
        <v>0</v>
      </c>
      <c r="AE33" s="2124"/>
      <c r="AF33" s="2077"/>
      <c r="AG33" s="2126">
        <f>ROUND(SUM(AG31-AG32),1)</f>
        <v>0</v>
      </c>
      <c r="AH33" s="2107"/>
      <c r="AI33" s="3172">
        <f>ROUND(IF(AG33=0,0,AG33/ABS(AD33)),3)</f>
        <v>0</v>
      </c>
    </row>
    <row r="34" spans="1:35" s="734" customFormat="1" ht="18.899999999999999" customHeight="1">
      <c r="A34" s="349"/>
      <c r="B34" s="720"/>
      <c r="C34" s="439"/>
      <c r="D34" s="720" t="s">
        <v>15</v>
      </c>
      <c r="E34" s="439"/>
      <c r="F34" s="720"/>
      <c r="G34" s="439"/>
      <c r="H34" s="1618"/>
      <c r="I34" s="1610"/>
      <c r="J34" s="1618"/>
      <c r="K34" s="439"/>
      <c r="L34" s="1618"/>
      <c r="M34" s="1610"/>
      <c r="N34" s="3115"/>
      <c r="O34" s="1610"/>
      <c r="P34" s="1618"/>
      <c r="Q34" s="1610"/>
      <c r="R34" s="1618"/>
      <c r="S34" s="1610"/>
      <c r="T34" s="1618"/>
      <c r="U34" s="1610"/>
      <c r="V34" s="1618"/>
      <c r="W34" s="1610"/>
      <c r="X34" s="1618"/>
      <c r="Y34" s="1611"/>
      <c r="Z34" s="1612"/>
      <c r="AA34" s="2146"/>
      <c r="AB34" s="2141"/>
      <c r="AC34" s="2147"/>
      <c r="AD34" s="2146"/>
      <c r="AE34" s="2095"/>
      <c r="AF34" s="2074"/>
      <c r="AG34" s="2095"/>
      <c r="AH34" s="2082"/>
      <c r="AI34" s="3167"/>
    </row>
    <row r="35" spans="1:35" s="734" customFormat="1" ht="18.899999999999999" customHeight="1">
      <c r="A35" s="458" t="s">
        <v>170</v>
      </c>
      <c r="B35" s="439"/>
      <c r="C35" s="439"/>
      <c r="D35" s="439" t="s">
        <v>15</v>
      </c>
      <c r="E35" s="439"/>
      <c r="F35" s="439"/>
      <c r="G35" s="439"/>
      <c r="H35" s="1610"/>
      <c r="I35" s="1610"/>
      <c r="J35" s="1610"/>
      <c r="K35" s="439"/>
      <c r="L35" s="1610"/>
      <c r="M35" s="1610"/>
      <c r="N35" s="3116"/>
      <c r="O35" s="1610"/>
      <c r="P35" s="1610"/>
      <c r="Q35" s="1610"/>
      <c r="R35" s="1610"/>
      <c r="S35" s="1610"/>
      <c r="T35" s="1610"/>
      <c r="U35" s="1610"/>
      <c r="V35" s="1610"/>
      <c r="W35" s="1610"/>
      <c r="X35" s="1610"/>
      <c r="Y35" s="1611"/>
      <c r="Z35" s="1612"/>
      <c r="AA35" s="2118"/>
      <c r="AB35" s="2141"/>
      <c r="AC35" s="2142"/>
      <c r="AD35" s="2118"/>
      <c r="AE35" s="2118"/>
      <c r="AF35" s="2074"/>
      <c r="AG35" s="2095"/>
      <c r="AH35" s="2082"/>
      <c r="AI35" s="3167"/>
    </row>
    <row r="36" spans="1:35" s="734" customFormat="1" ht="18.899999999999999" customHeight="1">
      <c r="A36" s="458" t="s">
        <v>231</v>
      </c>
      <c r="B36" s="439"/>
      <c r="C36" s="439"/>
      <c r="D36" s="439"/>
      <c r="E36" s="439"/>
      <c r="F36" s="439"/>
      <c r="G36" s="439"/>
      <c r="H36" s="1610"/>
      <c r="I36" s="1610"/>
      <c r="J36" s="1610"/>
      <c r="K36" s="439"/>
      <c r="L36" s="1610"/>
      <c r="M36" s="1610"/>
      <c r="N36" s="3116"/>
      <c r="O36" s="1610"/>
      <c r="P36" s="1610"/>
      <c r="Q36" s="1610"/>
      <c r="R36" s="1610"/>
      <c r="S36" s="1610"/>
      <c r="T36" s="1610"/>
      <c r="U36" s="1610"/>
      <c r="V36" s="1609"/>
      <c r="W36" s="1610"/>
      <c r="X36" s="1610"/>
      <c r="Y36" s="1611"/>
      <c r="Z36" s="1612"/>
      <c r="AA36" s="2118"/>
      <c r="AB36" s="2141"/>
      <c r="AC36" s="2142"/>
      <c r="AD36" s="2125"/>
      <c r="AE36" s="2125"/>
      <c r="AF36" s="2078"/>
      <c r="AG36" s="2095"/>
      <c r="AH36" s="2082"/>
      <c r="AI36" s="3167"/>
    </row>
    <row r="37" spans="1:35" s="736" customFormat="1" ht="18.899999999999999" customHeight="1">
      <c r="A37" s="458" t="s">
        <v>172</v>
      </c>
      <c r="B37" s="1625">
        <f>ROUND(B28+B33,1)</f>
        <v>0.3</v>
      </c>
      <c r="C37" s="721"/>
      <c r="D37" s="1625">
        <f>ROUND(D28+D33,1)</f>
        <v>0</v>
      </c>
      <c r="E37" s="727"/>
      <c r="F37" s="1625">
        <f>ROUND(F28+F33,1)</f>
        <v>0.1</v>
      </c>
      <c r="G37" s="727"/>
      <c r="H37" s="1625">
        <f>ROUND(H28+H33,1)</f>
        <v>0.1</v>
      </c>
      <c r="I37" s="1632"/>
      <c r="J37" s="1625">
        <f>ROUND(J28+J33,1)</f>
        <v>0.1</v>
      </c>
      <c r="K37" s="727"/>
      <c r="L37" s="1625">
        <f>ROUND(L28+L33,1)</f>
        <v>0</v>
      </c>
      <c r="M37" s="1635"/>
      <c r="N37" s="3118">
        <f>ROUND(N28+N33,1)</f>
        <v>0.1</v>
      </c>
      <c r="O37" s="1635"/>
      <c r="P37" s="1625">
        <f>ROUND(P28+P33,1)</f>
        <v>0.1</v>
      </c>
      <c r="Q37" s="1635"/>
      <c r="R37" s="1625">
        <f>ROUND(R28+R33,1)</f>
        <v>0</v>
      </c>
      <c r="S37" s="1632"/>
      <c r="T37" s="1625">
        <f>ROUND(T28+T33,1)</f>
        <v>0.1</v>
      </c>
      <c r="U37" s="1632"/>
      <c r="V37" s="1625">
        <f>ROUND(V28+V33,1)</f>
        <v>0</v>
      </c>
      <c r="W37" s="1632"/>
      <c r="X37" s="1625">
        <f>ROUND(X28+X33,1)</f>
        <v>0</v>
      </c>
      <c r="Y37" s="1616"/>
      <c r="Z37" s="1617"/>
      <c r="AA37" s="2123">
        <f>ROUND(AA28+AA33,1)</f>
        <v>0.9</v>
      </c>
      <c r="AB37" s="2129"/>
      <c r="AC37" s="2157"/>
      <c r="AD37" s="2123">
        <f>ROUND(AD28+AD33,1)</f>
        <v>-0.9</v>
      </c>
      <c r="AE37" s="2123"/>
      <c r="AF37" s="2079"/>
      <c r="AG37" s="2129">
        <f>ROUND(SUM(AG28+AG33),1)</f>
        <v>1.8</v>
      </c>
      <c r="AH37" s="2071"/>
      <c r="AI37" s="3174">
        <f>ROUND(IF(AD37=0,-1,AG37/ABS(AD37)),3)</f>
        <v>2</v>
      </c>
    </row>
    <row r="38" spans="1:35" s="734" customFormat="1" ht="22.5" customHeight="1" thickBot="1">
      <c r="A38" s="458" t="s">
        <v>144</v>
      </c>
      <c r="B38" s="1637">
        <f>ROUND(SUM(B13,B37),1)</f>
        <v>11</v>
      </c>
      <c r="C38" s="709"/>
      <c r="D38" s="1637">
        <f>ROUND(SUM(D13,D37),1)</f>
        <v>11</v>
      </c>
      <c r="E38" s="709"/>
      <c r="F38" s="1637">
        <f>ROUND(SUM(F13,F37),1)</f>
        <v>11.1</v>
      </c>
      <c r="G38" s="709"/>
      <c r="H38" s="1637">
        <f>ROUND(SUM(H13,H37),1)</f>
        <v>11.2</v>
      </c>
      <c r="I38" s="1638"/>
      <c r="J38" s="1637">
        <f>ROUND(SUM(J13,J37),1)</f>
        <v>11.3</v>
      </c>
      <c r="K38" s="709"/>
      <c r="L38" s="1637">
        <f>ROUND(SUM(L13,L37),1)</f>
        <v>11.3</v>
      </c>
      <c r="M38" s="712"/>
      <c r="N38" s="3122">
        <f>ROUND(SUM(N13,N37),1)</f>
        <v>11.4</v>
      </c>
      <c r="O38" s="712"/>
      <c r="P38" s="1637">
        <f>ROUND(SUM(P13,P37),1)</f>
        <v>11.5</v>
      </c>
      <c r="Q38" s="712"/>
      <c r="R38" s="1637">
        <f>ROUND(SUM(R13,R37),1)</f>
        <v>11.5</v>
      </c>
      <c r="S38" s="1638"/>
      <c r="T38" s="1637">
        <f>ROUND(SUM(T13,T37),1)</f>
        <v>11.6</v>
      </c>
      <c r="U38" s="1638"/>
      <c r="V38" s="1637">
        <f>ROUND(SUM(V13,V37),1)</f>
        <v>0</v>
      </c>
      <c r="W38" s="1638"/>
      <c r="X38" s="1637">
        <f>ROUND(SUM(X13,X37),1)</f>
        <v>0</v>
      </c>
      <c r="Y38" s="1599"/>
      <c r="Z38" s="1600"/>
      <c r="AA38" s="2158">
        <f>ROUND(SUM(AA13,AA37),1)</f>
        <v>11.6</v>
      </c>
      <c r="AB38" s="2089"/>
      <c r="AC38" s="2159"/>
      <c r="AD38" s="2130">
        <f>ROUND(SUM(AD13,AD37),1)</f>
        <v>10.7</v>
      </c>
      <c r="AE38" s="2089"/>
      <c r="AF38" s="2080"/>
      <c r="AG38" s="2130">
        <f>ROUND(SUM(AA38-AD38),1)</f>
        <v>0.9</v>
      </c>
      <c r="AH38" s="2106"/>
      <c r="AI38" s="2633">
        <f>ROUND(IF(AG38=0,0,AG38/ABS(AD38)),3)</f>
        <v>8.4000000000000005E-2</v>
      </c>
    </row>
    <row r="39" spans="1:35" s="734" customFormat="1" ht="18.899999999999999" customHeight="1" thickTop="1">
      <c r="A39" s="349" t="s">
        <v>15</v>
      </c>
      <c r="B39" s="1640"/>
      <c r="C39" s="1641"/>
      <c r="D39" s="1640"/>
      <c r="E39" s="1641"/>
      <c r="F39" s="1640"/>
      <c r="G39" s="1641"/>
      <c r="H39" s="1640"/>
      <c r="I39" s="1641"/>
      <c r="J39" s="1640"/>
      <c r="K39" s="1641"/>
      <c r="L39" s="1640"/>
      <c r="M39" s="1641"/>
      <c r="N39" s="3123"/>
      <c r="O39" s="1641"/>
      <c r="P39" s="1640"/>
      <c r="Q39" s="1641"/>
      <c r="R39" s="1640"/>
      <c r="S39" s="1641"/>
      <c r="T39" s="1640"/>
      <c r="U39" s="1641"/>
      <c r="V39" s="1640"/>
      <c r="W39" s="1641"/>
      <c r="X39" s="1640"/>
      <c r="Y39" s="1641"/>
      <c r="Z39" s="1641"/>
      <c r="AA39" s="2160"/>
      <c r="AB39" s="2104"/>
      <c r="AC39" s="2104"/>
      <c r="AD39" s="2104"/>
      <c r="AE39" s="2104"/>
      <c r="AF39" s="2104"/>
      <c r="AG39" s="2091"/>
      <c r="AH39" s="2082"/>
      <c r="AI39" s="2081"/>
    </row>
    <row r="40" spans="1:35" s="734"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1"/>
      <c r="AH40" s="739"/>
    </row>
    <row r="41" spans="1:35" ht="15.75" customHeight="1">
      <c r="A41" s="738"/>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2"/>
    </row>
    <row r="42" spans="1:35" ht="15">
      <c r="A42" s="734"/>
    </row>
    <row r="43" spans="1:35" ht="13.5" customHeight="1">
      <c r="A43" s="1279"/>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2"/>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2"/>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78" customWidth="1"/>
    <col min="30" max="30" width="13.08984375" style="217" customWidth="1"/>
    <col min="31" max="31" width="3" style="217" customWidth="1"/>
    <col min="32" max="32" width="12" style="217" customWidth="1"/>
    <col min="33" max="16384" width="8.90625" style="217"/>
  </cols>
  <sheetData>
    <row r="1" spans="1:33" ht="15">
      <c r="A1" s="1124" t="s">
        <v>1066</v>
      </c>
    </row>
    <row r="2" spans="1:33" ht="15">
      <c r="A2" s="1124"/>
    </row>
    <row r="3" spans="1:33" ht="24" customHeight="1">
      <c r="A3" s="3525" t="s">
        <v>0</v>
      </c>
      <c r="B3" s="3526"/>
      <c r="C3" s="3526"/>
      <c r="D3" s="3526"/>
      <c r="E3" s="3526"/>
      <c r="F3" s="3526"/>
      <c r="G3" s="3526"/>
      <c r="H3" s="3526"/>
      <c r="I3" s="3526"/>
      <c r="J3" s="3526"/>
      <c r="K3" s="3526"/>
      <c r="L3" s="3526"/>
      <c r="M3" s="3526"/>
      <c r="N3" s="3526"/>
      <c r="O3" s="3526"/>
      <c r="P3" s="3526"/>
      <c r="Q3" s="3526"/>
      <c r="R3" s="3526"/>
      <c r="S3" s="3526"/>
      <c r="T3" s="3526"/>
      <c r="U3" s="3526"/>
      <c r="V3" s="3526"/>
      <c r="W3" s="3526"/>
      <c r="X3" s="3526"/>
      <c r="Y3" s="3526"/>
      <c r="Z3" s="3526"/>
      <c r="AA3" s="3526"/>
      <c r="AB3" s="3526"/>
      <c r="AC3" s="142"/>
      <c r="AF3" s="146" t="s">
        <v>55</v>
      </c>
    </row>
    <row r="4" spans="1:33" ht="21">
      <c r="A4" s="3527" t="s">
        <v>1272</v>
      </c>
      <c r="B4" s="3526"/>
      <c r="C4" s="3526"/>
      <c r="D4" s="3526"/>
      <c r="E4" s="3526"/>
      <c r="F4" s="3526"/>
      <c r="G4" s="3526"/>
      <c r="H4" s="3526"/>
      <c r="I4" s="3526"/>
      <c r="J4" s="3526"/>
      <c r="K4" s="3526"/>
      <c r="L4" s="3526"/>
      <c r="M4" s="3526"/>
      <c r="N4" s="3526"/>
      <c r="O4" s="3526"/>
      <c r="P4" s="3526"/>
      <c r="Q4" s="3526"/>
      <c r="R4" s="3526"/>
      <c r="S4" s="3526"/>
      <c r="T4" s="3526"/>
      <c r="U4" s="3526"/>
      <c r="V4" s="3526"/>
      <c r="W4" s="3526"/>
      <c r="X4" s="3526"/>
      <c r="Y4" s="3526"/>
      <c r="Z4" s="3526"/>
      <c r="AA4" s="3526"/>
      <c r="AB4" s="3526"/>
      <c r="AC4" s="142"/>
      <c r="AF4" s="146" t="s">
        <v>56</v>
      </c>
    </row>
    <row r="5" spans="1:33" ht="21">
      <c r="A5" s="3527" t="s">
        <v>963</v>
      </c>
      <c r="B5" s="3526"/>
      <c r="C5" s="3526"/>
      <c r="D5" s="3526"/>
      <c r="E5" s="3526"/>
      <c r="F5" s="3526"/>
      <c r="G5" s="3526"/>
      <c r="H5" s="3526"/>
      <c r="I5" s="3526"/>
      <c r="J5" s="3526"/>
      <c r="K5" s="3526"/>
      <c r="L5" s="3526"/>
      <c r="M5" s="3526"/>
      <c r="N5" s="3526"/>
      <c r="O5" s="3526"/>
      <c r="P5" s="3526"/>
      <c r="Q5" s="3526"/>
      <c r="R5" s="3526"/>
      <c r="S5" s="3526"/>
      <c r="T5" s="3526"/>
      <c r="U5" s="3526"/>
      <c r="V5" s="3526"/>
      <c r="W5" s="3526"/>
      <c r="X5" s="3526"/>
      <c r="Y5" s="3526"/>
      <c r="Z5" s="3526"/>
      <c r="AA5" s="3526"/>
      <c r="AB5" s="3526"/>
      <c r="AC5" s="142"/>
    </row>
    <row r="6" spans="1:33" ht="23.25" customHeight="1">
      <c r="A6" s="2165" t="s">
        <v>958</v>
      </c>
      <c r="B6" s="2164"/>
      <c r="C6" s="2164"/>
      <c r="D6" s="2164"/>
      <c r="E6" s="2164"/>
      <c r="F6" s="2164"/>
      <c r="G6" s="2164"/>
      <c r="H6" s="2164"/>
      <c r="I6" s="2164"/>
      <c r="J6" s="2164"/>
      <c r="K6" s="2164"/>
      <c r="L6" s="2164"/>
      <c r="M6" s="2164"/>
      <c r="N6" s="2164"/>
      <c r="O6" s="2164"/>
      <c r="P6" s="2164"/>
      <c r="Q6" s="2164"/>
      <c r="R6" s="2164"/>
      <c r="S6" s="2164"/>
      <c r="T6" s="2164"/>
      <c r="U6" s="2164"/>
      <c r="V6" s="2164"/>
      <c r="W6" s="2164"/>
      <c r="X6" s="2164"/>
      <c r="Y6" s="2164"/>
      <c r="Z6" s="2164"/>
      <c r="AA6" s="2164"/>
      <c r="AB6" s="2164"/>
      <c r="AC6" s="142"/>
    </row>
    <row r="7" spans="1:33" ht="23.25" customHeight="1">
      <c r="A7" s="3527"/>
      <c r="B7" s="3526"/>
      <c r="C7" s="3526"/>
      <c r="D7" s="3526"/>
      <c r="E7" s="3526"/>
      <c r="F7" s="3526"/>
      <c r="G7" s="3526"/>
      <c r="H7" s="3526"/>
      <c r="I7" s="3526"/>
      <c r="J7" s="3526"/>
      <c r="K7" s="3526"/>
      <c r="L7" s="3526"/>
      <c r="M7" s="3526"/>
      <c r="N7" s="3526"/>
      <c r="O7" s="3526"/>
      <c r="P7" s="3526"/>
      <c r="Q7" s="3526"/>
      <c r="R7" s="3526"/>
      <c r="S7" s="3526"/>
      <c r="T7" s="3526"/>
      <c r="U7" s="3526"/>
      <c r="V7" s="3526"/>
      <c r="W7" s="3526"/>
      <c r="X7" s="3526"/>
      <c r="Y7" s="3526"/>
      <c r="Z7" s="3526"/>
      <c r="AA7" s="3526"/>
      <c r="AB7" s="3526"/>
      <c r="AC7" s="142"/>
    </row>
    <row r="8" spans="1:33" ht="21">
      <c r="A8" s="143"/>
      <c r="B8" s="143"/>
      <c r="C8" s="143"/>
      <c r="D8" s="143"/>
      <c r="E8" s="143"/>
      <c r="F8" s="143"/>
      <c r="G8" s="143"/>
      <c r="H8" s="1129"/>
      <c r="I8" s="144"/>
      <c r="J8" s="144"/>
      <c r="K8" s="144"/>
      <c r="L8" s="144"/>
      <c r="M8" s="143"/>
      <c r="N8" s="144"/>
      <c r="O8" s="144"/>
      <c r="P8" s="144"/>
      <c r="Q8" s="144"/>
      <c r="R8" s="144"/>
      <c r="S8" s="144"/>
      <c r="T8" s="144"/>
      <c r="U8" s="2039"/>
      <c r="V8" s="2039"/>
      <c r="W8" s="2039"/>
      <c r="X8" s="2039"/>
      <c r="Y8" s="145"/>
      <c r="Z8" s="145"/>
      <c r="AA8" s="146"/>
      <c r="AB8" s="145"/>
      <c r="AC8" s="147"/>
    </row>
    <row r="9" spans="1:33" ht="20.25" customHeight="1">
      <c r="A9" s="143"/>
      <c r="B9" s="143"/>
      <c r="C9" s="143"/>
      <c r="D9" s="143"/>
      <c r="E9" s="143"/>
      <c r="F9" s="143"/>
      <c r="G9" s="143"/>
      <c r="H9" s="1129"/>
      <c r="I9" s="144"/>
      <c r="J9" s="144"/>
      <c r="K9" s="144"/>
      <c r="L9" s="144"/>
      <c r="M9" s="143"/>
      <c r="N9" s="144"/>
      <c r="O9" s="151"/>
      <c r="P9" s="151"/>
      <c r="Q9" s="151"/>
      <c r="R9" s="151"/>
      <c r="S9" s="154"/>
      <c r="T9" s="154"/>
      <c r="U9" s="1778"/>
      <c r="V9" s="1778"/>
      <c r="W9" s="1778"/>
      <c r="X9" s="1777"/>
      <c r="Y9" s="145"/>
      <c r="Z9" s="145"/>
      <c r="AA9" s="146"/>
      <c r="AB9" s="145"/>
      <c r="AC9" s="147"/>
    </row>
    <row r="10" spans="1:33" ht="12" customHeight="1">
      <c r="A10" s="143"/>
      <c r="B10" s="143"/>
      <c r="C10" s="143"/>
      <c r="D10" s="143"/>
      <c r="E10" s="143"/>
      <c r="F10" s="143"/>
      <c r="G10" s="143"/>
      <c r="H10" s="1129"/>
      <c r="I10" s="144"/>
      <c r="J10" s="144"/>
      <c r="K10" s="144"/>
      <c r="L10" s="144"/>
      <c r="M10" s="143"/>
      <c r="N10" s="144"/>
      <c r="O10" s="151"/>
      <c r="P10" s="1779"/>
      <c r="Q10" s="1777"/>
      <c r="R10" s="1777"/>
      <c r="S10" s="1778"/>
      <c r="T10" s="1778"/>
      <c r="U10" s="1778"/>
      <c r="V10" s="1778"/>
      <c r="W10" s="1778"/>
      <c r="X10" s="1777"/>
      <c r="Y10" s="145"/>
      <c r="Z10" s="145"/>
      <c r="AA10" s="150"/>
      <c r="AB10" s="145"/>
      <c r="AC10" s="147"/>
    </row>
    <row r="11" spans="1:33" ht="8.25" customHeight="1">
      <c r="A11" s="144"/>
      <c r="B11" s="143"/>
      <c r="C11" s="143"/>
      <c r="O11" s="144"/>
      <c r="P11" s="1780"/>
      <c r="Q11" s="1777"/>
      <c r="R11" s="1777"/>
      <c r="S11" s="1777"/>
      <c r="T11" s="1777"/>
      <c r="U11" s="1777"/>
      <c r="V11" s="1777"/>
      <c r="W11" s="2039"/>
      <c r="X11" s="2039"/>
      <c r="Y11" s="1831"/>
      <c r="Z11" s="1831"/>
      <c r="AA11" s="1831"/>
      <c r="AB11" s="1831"/>
      <c r="AC11" s="2040"/>
    </row>
    <row r="12" spans="1:33" ht="15.9" customHeight="1">
      <c r="A12" s="143"/>
      <c r="B12" s="143"/>
      <c r="C12" s="152"/>
      <c r="D12" s="3522"/>
      <c r="E12" s="3523"/>
      <c r="F12" s="3523"/>
      <c r="G12" s="3523"/>
      <c r="H12" s="3523"/>
      <c r="I12" s="3523"/>
      <c r="J12" s="3523"/>
      <c r="K12" s="3523"/>
      <c r="L12" s="3523"/>
      <c r="M12" s="3523"/>
      <c r="N12" s="3523"/>
      <c r="O12" s="1777"/>
      <c r="P12" s="1779"/>
      <c r="Q12" s="1777"/>
      <c r="R12" s="3521"/>
      <c r="S12" s="3521"/>
      <c r="T12" s="3521"/>
      <c r="U12" s="3521"/>
      <c r="V12" s="3521"/>
      <c r="W12" s="3521"/>
      <c r="X12" s="3521"/>
      <c r="Y12" s="3521"/>
      <c r="Z12" s="3521"/>
      <c r="AA12" s="3521"/>
      <c r="AB12" s="3521"/>
      <c r="AC12" s="2040"/>
      <c r="AD12" s="1778"/>
      <c r="AE12" s="1778"/>
      <c r="AF12" s="1778"/>
      <c r="AG12" s="1778"/>
    </row>
    <row r="13" spans="1:33" ht="15.9" customHeight="1">
      <c r="A13" s="1128"/>
      <c r="B13" s="1073"/>
      <c r="C13" s="1073"/>
      <c r="D13" s="159" t="s">
        <v>3</v>
      </c>
      <c r="E13" s="159"/>
      <c r="F13" s="159"/>
      <c r="G13" s="160"/>
      <c r="H13" s="1148" t="s">
        <v>1250</v>
      </c>
      <c r="I13" s="159"/>
      <c r="J13" s="159"/>
      <c r="K13" s="154"/>
      <c r="L13" s="3524" t="s">
        <v>5</v>
      </c>
      <c r="M13" s="3524"/>
      <c r="N13" s="3524"/>
      <c r="O13" s="1716"/>
      <c r="P13" s="1781"/>
      <c r="Q13" s="1781"/>
      <c r="R13" s="2469" t="s">
        <v>1271</v>
      </c>
      <c r="S13" s="2469"/>
      <c r="T13" s="2469"/>
      <c r="U13" s="2469"/>
      <c r="V13" s="2469"/>
      <c r="W13" s="2469"/>
      <c r="X13" s="2469"/>
      <c r="Y13" s="2469"/>
      <c r="Z13" s="2469"/>
      <c r="AA13" s="2469"/>
      <c r="AB13" s="2469"/>
      <c r="AC13" s="2192"/>
      <c r="AD13" s="2193"/>
      <c r="AE13" s="2193"/>
      <c r="AF13" s="2193"/>
    </row>
    <row r="14" spans="1:33" ht="15.75" customHeight="1">
      <c r="A14" s="157"/>
      <c r="B14" s="157"/>
      <c r="C14" s="158"/>
      <c r="D14" s="1716" t="s">
        <v>7</v>
      </c>
      <c r="E14" s="1716"/>
      <c r="F14" s="162" t="str">
        <f>'Exhibit A'!F11</f>
        <v>10 MOS. ENDED</v>
      </c>
      <c r="G14" s="153"/>
      <c r="H14" s="1716" t="s">
        <v>7</v>
      </c>
      <c r="I14" s="1716"/>
      <c r="J14" s="1716" t="str">
        <f>F14</f>
        <v>10 MOS. ENDED</v>
      </c>
      <c r="K14" s="153"/>
      <c r="L14" s="1716" t="s">
        <v>7</v>
      </c>
      <c r="M14" s="1716"/>
      <c r="N14" s="1716" t="str">
        <f>F14</f>
        <v>10 MOS. ENDED</v>
      </c>
      <c r="O14" s="1716"/>
      <c r="P14" s="1782"/>
      <c r="Q14" s="1716"/>
      <c r="R14" s="1716" t="s">
        <v>7</v>
      </c>
      <c r="S14" s="1716"/>
      <c r="T14" s="1716" t="str">
        <f>F14</f>
        <v>10 MOS. ENDED</v>
      </c>
      <c r="U14" s="1781"/>
      <c r="V14" s="1781"/>
      <c r="W14" s="1781"/>
      <c r="X14" s="1781"/>
      <c r="Y14" s="1781" t="s">
        <v>7</v>
      </c>
      <c r="Z14" s="1781"/>
      <c r="AA14" s="1781" t="str">
        <f>'Exhibit A'!AD11</f>
        <v>10 MOS. ENDED</v>
      </c>
      <c r="AB14" s="1781"/>
      <c r="AC14" s="2041"/>
      <c r="AD14" s="24" t="s">
        <v>8</v>
      </c>
      <c r="AE14" s="1126"/>
      <c r="AF14" s="20" t="s">
        <v>9</v>
      </c>
    </row>
    <row r="15" spans="1:33" ht="15.9" customHeight="1">
      <c r="A15" s="157"/>
      <c r="B15" s="157"/>
      <c r="C15" s="157"/>
      <c r="D15" s="163" t="str">
        <f>'Exhibit A'!D12</f>
        <v>JAN. 2018</v>
      </c>
      <c r="E15" s="153"/>
      <c r="F15" s="163" t="str">
        <f>'Exhibit A'!F12</f>
        <v>JAN. 31, 2018</v>
      </c>
      <c r="G15" s="153"/>
      <c r="H15" s="1717" t="str">
        <f>D15</f>
        <v>JAN. 2018</v>
      </c>
      <c r="I15" s="153"/>
      <c r="J15" s="1717" t="str">
        <f>F15</f>
        <v>JAN. 31, 2018</v>
      </c>
      <c r="K15" s="153"/>
      <c r="L15" s="1717" t="str">
        <f>D15</f>
        <v>JAN. 2018</v>
      </c>
      <c r="M15" s="153"/>
      <c r="N15" s="1717" t="str">
        <f>F15</f>
        <v>JAN. 31, 2018</v>
      </c>
      <c r="O15" s="1716"/>
      <c r="P15" s="1782"/>
      <c r="Q15" s="1716"/>
      <c r="R15" s="1717" t="str">
        <f>D15</f>
        <v>JAN. 2018</v>
      </c>
      <c r="S15" s="153"/>
      <c r="T15" s="1717" t="str">
        <f>F15</f>
        <v>JAN. 31, 2018</v>
      </c>
      <c r="U15" s="1781"/>
      <c r="V15" s="1781"/>
      <c r="W15" s="1781"/>
      <c r="X15" s="1832"/>
      <c r="Y15" s="2042" t="str">
        <f>'Exhibit A'!AB12</f>
        <v>JAN. 2017</v>
      </c>
      <c r="Z15" s="1832"/>
      <c r="AA15" s="2042" t="str">
        <f>'Exhibit A'!AD12</f>
        <v>JAN. 31, 2017</v>
      </c>
      <c r="AB15" s="1832"/>
      <c r="AC15" s="2041"/>
      <c r="AD15" s="2043" t="s">
        <v>12</v>
      </c>
      <c r="AE15" s="1124"/>
      <c r="AF15" s="25" t="s">
        <v>13</v>
      </c>
    </row>
    <row r="16" spans="1:33" ht="15.9" customHeight="1">
      <c r="A16" s="156" t="s">
        <v>14</v>
      </c>
      <c r="B16" s="157"/>
      <c r="C16" s="157"/>
      <c r="D16" s="1083" t="s">
        <v>15</v>
      </c>
      <c r="E16" s="157"/>
      <c r="F16" s="158"/>
      <c r="G16" s="157"/>
      <c r="H16" s="1073" t="s">
        <v>15</v>
      </c>
      <c r="I16" s="157"/>
      <c r="J16" s="158"/>
      <c r="K16" s="157"/>
      <c r="L16" s="1073" t="s">
        <v>15</v>
      </c>
      <c r="M16" s="157"/>
      <c r="N16" s="158"/>
      <c r="O16" s="158"/>
      <c r="P16" s="1783"/>
      <c r="Q16" s="164"/>
      <c r="R16" s="158"/>
      <c r="S16" s="158"/>
      <c r="T16" s="158"/>
      <c r="U16" s="165"/>
      <c r="V16" s="165"/>
      <c r="W16" s="2044"/>
      <c r="X16" s="165"/>
      <c r="Y16" s="165"/>
      <c r="Z16" s="177"/>
      <c r="AA16" s="165"/>
      <c r="AB16" s="165"/>
      <c r="AC16" s="1835"/>
      <c r="AD16" s="33"/>
      <c r="AE16" s="2"/>
      <c r="AF16" s="19"/>
    </row>
    <row r="17" spans="1:32" ht="18" customHeight="1">
      <c r="A17" s="157" t="s">
        <v>16</v>
      </c>
      <c r="B17" s="166">
        <v>-4</v>
      </c>
      <c r="C17" s="157"/>
      <c r="D17" s="1084">
        <f>+'Exhibit A'!D14</f>
        <v>6008.4</v>
      </c>
      <c r="E17" s="167" t="s">
        <v>15</v>
      </c>
      <c r="F17" s="167">
        <f>+'Exhibit A'!F14</f>
        <v>31370.3</v>
      </c>
      <c r="G17" s="167"/>
      <c r="H17" s="1187">
        <f>+'Exhibit G State'!V17</f>
        <v>2413.5</v>
      </c>
      <c r="I17" s="167"/>
      <c r="J17" s="1965">
        <f>'Exhibit G State'!AC17</f>
        <v>2575.6999999999998</v>
      </c>
      <c r="K17" s="167"/>
      <c r="L17" s="1074">
        <f>+'Exhibit A'!L14</f>
        <v>2807.2999999999993</v>
      </c>
      <c r="M17" s="167"/>
      <c r="N17" s="167">
        <f>+'Exhibit A'!N14</f>
        <v>11315.3</v>
      </c>
      <c r="O17" s="169"/>
      <c r="P17" s="1784"/>
      <c r="Q17" s="170"/>
      <c r="R17" s="167">
        <f t="shared" ref="R17:R22" si="0">ROUND(SUM(D17+H17+L17),1)</f>
        <v>11229.2</v>
      </c>
      <c r="S17" s="167"/>
      <c r="T17" s="168">
        <f t="shared" ref="T17:T22" si="1">ROUND(SUM(F17+J17+N17),1)</f>
        <v>45261.3</v>
      </c>
      <c r="U17" s="1788"/>
      <c r="V17" s="1788"/>
      <c r="W17" s="2045"/>
      <c r="X17" s="1788"/>
      <c r="Y17" s="1788">
        <v>7594.9</v>
      </c>
      <c r="Z17" s="1788" t="s">
        <v>15</v>
      </c>
      <c r="AA17" s="1788">
        <f>'Exhibit F'!AF28+'Exhibit G State'!AF17+'Exhibit H'!AD16</f>
        <v>40472.9</v>
      </c>
      <c r="AB17" s="1833"/>
      <c r="AC17" s="1836"/>
      <c r="AD17" s="2046">
        <f t="shared" ref="AD17:AD22" si="2">ROUND(SUM(T17-AA17),1)</f>
        <v>4788.3999999999996</v>
      </c>
      <c r="AE17" s="44"/>
      <c r="AF17" s="45">
        <f>ROUND(+AD17/AA17,3)</f>
        <v>0.11799999999999999</v>
      </c>
    </row>
    <row r="18" spans="1:32" ht="18" customHeight="1">
      <c r="A18" s="157" t="s">
        <v>17</v>
      </c>
      <c r="B18" s="166" t="s">
        <v>15</v>
      </c>
      <c r="C18" s="157"/>
      <c r="D18" s="1075">
        <f>+'Exhibit A'!D15</f>
        <v>618.4</v>
      </c>
      <c r="E18" s="171"/>
      <c r="F18" s="171">
        <f>+'Exhibit A'!F15</f>
        <v>6213.2</v>
      </c>
      <c r="G18" s="171"/>
      <c r="H18" s="1188">
        <f>+'Exhibit G State'!V28</f>
        <v>173.1</v>
      </c>
      <c r="I18" s="171"/>
      <c r="J18" s="1956">
        <f>'Exhibit G State'!AC28</f>
        <v>1725.9</v>
      </c>
      <c r="K18" s="171"/>
      <c r="L18" s="1075">
        <f>+'Exhibit A'!L15</f>
        <v>559.9</v>
      </c>
      <c r="M18" s="171"/>
      <c r="N18" s="171">
        <f>+'Exhibit A'!N15</f>
        <v>5683.3</v>
      </c>
      <c r="O18" s="172"/>
      <c r="P18" s="1785"/>
      <c r="Q18" s="173"/>
      <c r="R18" s="171">
        <f t="shared" si="0"/>
        <v>1351.4</v>
      </c>
      <c r="S18" s="171"/>
      <c r="T18" s="174">
        <f t="shared" si="1"/>
        <v>13622.4</v>
      </c>
      <c r="U18" s="196"/>
      <c r="V18" s="196"/>
      <c r="W18" s="1790"/>
      <c r="X18" s="196"/>
      <c r="Y18" s="196">
        <v>1303</v>
      </c>
      <c r="Z18" s="196" t="s">
        <v>15</v>
      </c>
      <c r="AA18" s="196">
        <f>'Exhibit F'!AF37+'Exhibit G State'!AF28+'Exhibit H'!AD20</f>
        <v>13165.8</v>
      </c>
      <c r="AB18" s="165"/>
      <c r="AC18" s="1835"/>
      <c r="AD18" s="53">
        <f t="shared" si="2"/>
        <v>456.6</v>
      </c>
      <c r="AE18" s="2"/>
      <c r="AF18" s="45">
        <f t="shared" ref="AF18:AF23" si="3">ROUND(+AD18/AA18,3)</f>
        <v>3.5000000000000003E-2</v>
      </c>
    </row>
    <row r="19" spans="1:32" ht="18" customHeight="1">
      <c r="A19" s="157" t="s">
        <v>18</v>
      </c>
      <c r="B19" s="178"/>
      <c r="C19" s="157"/>
      <c r="D19" s="1075">
        <f>+'Exhibit A'!D16</f>
        <v>-135.69999999999999</v>
      </c>
      <c r="E19" s="171"/>
      <c r="F19" s="171">
        <f>+'Exhibit A'!F16</f>
        <v>3517.8</v>
      </c>
      <c r="G19" s="171"/>
      <c r="H19" s="1188">
        <f>+'Exhibit G State'!V35</f>
        <v>99.1</v>
      </c>
      <c r="I19" s="171"/>
      <c r="J19" s="1956">
        <f>'Exhibit G State'!AC35</f>
        <v>1309</v>
      </c>
      <c r="K19" s="171"/>
      <c r="L19" s="1075">
        <f>+'Exhibit A'!L16</f>
        <v>0</v>
      </c>
      <c r="M19" s="171"/>
      <c r="N19" s="171">
        <f>+'Exhibit A'!N16</f>
        <v>0</v>
      </c>
      <c r="O19" s="179"/>
      <c r="P19" s="1786"/>
      <c r="Q19" s="180"/>
      <c r="R19" s="171">
        <f t="shared" si="0"/>
        <v>-36.6</v>
      </c>
      <c r="S19" s="171"/>
      <c r="T19" s="174">
        <f t="shared" si="1"/>
        <v>4826.8</v>
      </c>
      <c r="U19" s="196"/>
      <c r="V19" s="196"/>
      <c r="W19" s="2047"/>
      <c r="X19" s="1789"/>
      <c r="Y19" s="196">
        <v>79.900000000000006</v>
      </c>
      <c r="Z19" s="196" t="s">
        <v>15</v>
      </c>
      <c r="AA19" s="196">
        <f>'Exhibit F'!AF44+'Exhibit G State'!AF35</f>
        <v>4911.8</v>
      </c>
      <c r="AB19" s="165"/>
      <c r="AC19" s="1835"/>
      <c r="AD19" s="53">
        <f t="shared" si="2"/>
        <v>-85</v>
      </c>
      <c r="AE19" s="2"/>
      <c r="AF19" s="45">
        <f t="shared" si="3"/>
        <v>-1.7000000000000001E-2</v>
      </c>
    </row>
    <row r="20" spans="1:32" ht="18" customHeight="1">
      <c r="A20" s="157" t="s">
        <v>19</v>
      </c>
      <c r="B20" s="181"/>
      <c r="C20" s="157"/>
      <c r="D20" s="1075">
        <f>+'Exhibit A'!D17</f>
        <v>174.3</v>
      </c>
      <c r="E20" s="171"/>
      <c r="F20" s="171">
        <f>+'Exhibit A'!F17</f>
        <v>1152.2</v>
      </c>
      <c r="G20" s="171"/>
      <c r="H20" s="1188">
        <f>+'Exhibit G State'!V38</f>
        <v>203.6</v>
      </c>
      <c r="I20" s="171"/>
      <c r="J20" s="1956">
        <f>'Exhibit G State'!AC38</f>
        <v>1166.2</v>
      </c>
      <c r="K20" s="171"/>
      <c r="L20" s="1075">
        <f>+'Exhibit A'!L17</f>
        <v>83</v>
      </c>
      <c r="M20" s="171"/>
      <c r="N20" s="171">
        <f>+'Exhibit A'!N17</f>
        <v>864.6</v>
      </c>
      <c r="O20" s="172"/>
      <c r="P20" s="1785"/>
      <c r="Q20" s="173"/>
      <c r="R20" s="171">
        <f t="shared" si="0"/>
        <v>460.9</v>
      </c>
      <c r="S20" s="171"/>
      <c r="T20" s="174">
        <f t="shared" si="1"/>
        <v>3183</v>
      </c>
      <c r="U20" s="196"/>
      <c r="V20" s="196"/>
      <c r="W20" s="1790"/>
      <c r="X20" s="196"/>
      <c r="Y20" s="196">
        <v>327.9</v>
      </c>
      <c r="Z20" s="196" t="s">
        <v>15</v>
      </c>
      <c r="AA20" s="196">
        <f>'Exhibit F'!AF52+'Exhibit G State'!AF38+'Exhibit H'!AD23</f>
        <v>2934.8999999999996</v>
      </c>
      <c r="AB20" s="165"/>
      <c r="AC20" s="1835"/>
      <c r="AD20" s="53">
        <f t="shared" si="2"/>
        <v>248.1</v>
      </c>
      <c r="AE20" s="2"/>
      <c r="AF20" s="45">
        <f t="shared" si="3"/>
        <v>8.5000000000000006E-2</v>
      </c>
    </row>
    <row r="21" spans="1:32" ht="18" customHeight="1">
      <c r="A21" s="157" t="s">
        <v>20</v>
      </c>
      <c r="B21" s="182"/>
      <c r="C21" s="157"/>
      <c r="D21" s="1075">
        <f>+'Exhibit A'!D18</f>
        <v>221.3</v>
      </c>
      <c r="E21" s="171"/>
      <c r="F21" s="171">
        <f>+'Exhibit A'!F18</f>
        <v>2563.6999999999998</v>
      </c>
      <c r="G21" s="171"/>
      <c r="H21" s="1188">
        <f>+'Exhibit G State'!V82</f>
        <v>1537.8</v>
      </c>
      <c r="I21" s="171"/>
      <c r="J21" s="1956">
        <f>'Exhibit G State'!AC82</f>
        <v>14458.5</v>
      </c>
      <c r="K21" s="171"/>
      <c r="L21" s="1075">
        <f>+'Exhibit A'!L18</f>
        <v>46</v>
      </c>
      <c r="M21" s="171"/>
      <c r="N21" s="171">
        <f>+'Exhibit A'!N18</f>
        <v>377.3</v>
      </c>
      <c r="O21" s="172"/>
      <c r="P21" s="1785"/>
      <c r="Q21" s="173"/>
      <c r="R21" s="171">
        <f t="shared" si="0"/>
        <v>1805.1</v>
      </c>
      <c r="S21" s="171"/>
      <c r="T21" s="174">
        <f t="shared" si="1"/>
        <v>17399.5</v>
      </c>
      <c r="U21" s="196"/>
      <c r="V21" s="196"/>
      <c r="W21" s="1790"/>
      <c r="X21" s="196"/>
      <c r="Y21" s="196">
        <v>1536.5</v>
      </c>
      <c r="Z21" s="196" t="s">
        <v>15</v>
      </c>
      <c r="AA21" s="196">
        <f>+'Exhibit F'!AF91+'Exhibit G State'!AF82+'Exhibit H'!AD43</f>
        <v>17360.800000000003</v>
      </c>
      <c r="AB21" s="165"/>
      <c r="AC21" s="1835"/>
      <c r="AD21" s="53">
        <f t="shared" si="2"/>
        <v>38.700000000000003</v>
      </c>
      <c r="AE21" s="2"/>
      <c r="AF21" s="45">
        <f t="shared" si="3"/>
        <v>2E-3</v>
      </c>
    </row>
    <row r="22" spans="1:32" ht="18" customHeight="1">
      <c r="A22" s="157" t="s">
        <v>21</v>
      </c>
      <c r="B22" s="182"/>
      <c r="C22" s="157"/>
      <c r="D22" s="1075">
        <f>+'Exhibit A'!D19</f>
        <v>0</v>
      </c>
      <c r="E22" s="171"/>
      <c r="F22" s="171">
        <f>+'Exhibit A'!F19</f>
        <v>0.2</v>
      </c>
      <c r="G22" s="171"/>
      <c r="H22" s="1188">
        <f>+'Exhibit G State'!V84</f>
        <v>0.1</v>
      </c>
      <c r="I22" s="171"/>
      <c r="J22" s="1956">
        <f>'Exhibit G State'!AC84</f>
        <v>0.5</v>
      </c>
      <c r="K22" s="171"/>
      <c r="L22" s="1075">
        <f>+'Exhibit A'!L19</f>
        <v>1.6</v>
      </c>
      <c r="M22" s="176"/>
      <c r="N22" s="171">
        <f>+'Exhibit A'!N19</f>
        <v>38.299999999999997</v>
      </c>
      <c r="O22" s="179"/>
      <c r="P22" s="1786"/>
      <c r="Q22" s="180"/>
      <c r="R22" s="176">
        <f t="shared" si="0"/>
        <v>1.7</v>
      </c>
      <c r="S22" s="179"/>
      <c r="T22" s="174">
        <f t="shared" si="1"/>
        <v>39</v>
      </c>
      <c r="U22" s="196"/>
      <c r="V22" s="196"/>
      <c r="W22" s="2047"/>
      <c r="X22" s="2048"/>
      <c r="Y22" s="196">
        <v>1.7</v>
      </c>
      <c r="Z22" s="196" t="s">
        <v>15</v>
      </c>
      <c r="AA22" s="196">
        <f>+'Exhibit F'!AF93+'Exhibit G State'!AF84+'Exhibit H'!AD45</f>
        <v>37.299999999999997</v>
      </c>
      <c r="AB22" s="165"/>
      <c r="AC22" s="1835"/>
      <c r="AD22" s="53">
        <f t="shared" si="2"/>
        <v>1.7</v>
      </c>
      <c r="AE22" s="2"/>
      <c r="AF22" s="2616">
        <f>ROUND(IF(AA22=0,1,AD22/ABS(AA22)),3)</f>
        <v>4.5999999999999999E-2</v>
      </c>
    </row>
    <row r="23" spans="1:32" ht="18" customHeight="1">
      <c r="A23" s="156" t="s">
        <v>22</v>
      </c>
      <c r="B23" s="157"/>
      <c r="C23" s="157"/>
      <c r="D23" s="183">
        <f>ROUND(SUM(D17:D22),1)</f>
        <v>6886.7</v>
      </c>
      <c r="E23" s="184"/>
      <c r="F23" s="185">
        <f>ROUND(SUM(F17:F22),1)</f>
        <v>44817.4</v>
      </c>
      <c r="G23" s="184"/>
      <c r="H23" s="183">
        <f>ROUND(SUM(H17:H22),1)</f>
        <v>4427.2</v>
      </c>
      <c r="I23" s="184"/>
      <c r="J23" s="183">
        <f>ROUND(SUM(J17:J22),1)</f>
        <v>21235.8</v>
      </c>
      <c r="K23" s="184"/>
      <c r="L23" s="183">
        <f>ROUND(SUM(L17:L22),1)</f>
        <v>3497.8</v>
      </c>
      <c r="M23" s="184"/>
      <c r="N23" s="183">
        <f>ROUND(SUM(N17:N22),1)</f>
        <v>18278.8</v>
      </c>
      <c r="O23" s="186"/>
      <c r="P23" s="202"/>
      <c r="Q23" s="187"/>
      <c r="R23" s="183">
        <f>ROUND(SUM(R17:R22),1)</f>
        <v>14811.7</v>
      </c>
      <c r="S23" s="186"/>
      <c r="T23" s="183">
        <f>ROUND(SUM(T17:T22),1)</f>
        <v>84332</v>
      </c>
      <c r="U23" s="204"/>
      <c r="V23" s="204"/>
      <c r="W23" s="2049"/>
      <c r="X23" s="204"/>
      <c r="Y23" s="2050">
        <f>ROUND(SUM(Y17:Y22),1)</f>
        <v>10843.9</v>
      </c>
      <c r="Z23" s="200"/>
      <c r="AA23" s="2050">
        <f>ROUND(SUM(AA17:AA22),1)</f>
        <v>78883.5</v>
      </c>
      <c r="AB23" s="205"/>
      <c r="AC23" s="1837"/>
      <c r="AD23" s="2051">
        <f>ROUND(SUM(AD17:AD22),1)</f>
        <v>5448.5</v>
      </c>
      <c r="AE23" s="71"/>
      <c r="AF23" s="72">
        <f t="shared" si="3"/>
        <v>6.9000000000000006E-2</v>
      </c>
    </row>
    <row r="24" spans="1:32" ht="15.9" customHeight="1">
      <c r="A24" s="156"/>
      <c r="B24" s="157"/>
      <c r="C24" s="157"/>
      <c r="D24" s="1076"/>
      <c r="E24" s="171"/>
      <c r="F24" s="172"/>
      <c r="G24" s="171"/>
      <c r="H24" s="1076"/>
      <c r="I24" s="171"/>
      <c r="J24" s="172"/>
      <c r="K24" s="171"/>
      <c r="L24" s="1076"/>
      <c r="M24" s="171"/>
      <c r="N24" s="172"/>
      <c r="O24" s="172"/>
      <c r="P24" s="1785"/>
      <c r="Q24" s="173"/>
      <c r="R24" s="172"/>
      <c r="S24" s="172"/>
      <c r="T24" s="172"/>
      <c r="U24" s="197"/>
      <c r="V24" s="197"/>
      <c r="W24" s="1790"/>
      <c r="X24" s="197"/>
      <c r="Y24" s="197"/>
      <c r="Z24" s="196"/>
      <c r="AA24" s="197"/>
      <c r="AB24" s="165"/>
      <c r="AC24" s="1835"/>
      <c r="AD24" s="54"/>
      <c r="AE24" s="2"/>
      <c r="AF24" s="19"/>
    </row>
    <row r="25" spans="1:32" ht="15.9" customHeight="1">
      <c r="A25" s="156" t="s">
        <v>23</v>
      </c>
      <c r="B25" s="157"/>
      <c r="C25" s="157"/>
      <c r="D25" s="1075"/>
      <c r="E25" s="171"/>
      <c r="F25" s="171"/>
      <c r="G25" s="171"/>
      <c r="H25" s="1075"/>
      <c r="I25" s="171"/>
      <c r="J25" s="171"/>
      <c r="K25" s="171"/>
      <c r="L25" s="1075"/>
      <c r="M25" s="171"/>
      <c r="N25" s="171"/>
      <c r="O25" s="172"/>
      <c r="P25" s="1785"/>
      <c r="Q25" s="173"/>
      <c r="R25" s="171"/>
      <c r="S25" s="171"/>
      <c r="T25" s="171"/>
      <c r="U25" s="196"/>
      <c r="V25" s="196"/>
      <c r="W25" s="1790"/>
      <c r="X25" s="196"/>
      <c r="Y25" s="196"/>
      <c r="Z25" s="196"/>
      <c r="AA25" s="196"/>
      <c r="AB25" s="165"/>
      <c r="AC25" s="1835"/>
      <c r="AD25" s="53"/>
      <c r="AE25" s="2"/>
      <c r="AF25" s="19"/>
    </row>
    <row r="26" spans="1:32" ht="15.9" customHeight="1">
      <c r="A26" s="157" t="s">
        <v>24</v>
      </c>
      <c r="B26" s="181" t="s">
        <v>1048</v>
      </c>
      <c r="C26" s="157"/>
      <c r="D26" s="1077"/>
      <c r="E26" s="176"/>
      <c r="F26" s="175"/>
      <c r="G26" s="171"/>
      <c r="H26" s="1077"/>
      <c r="I26" s="176"/>
      <c r="J26" s="175"/>
      <c r="K26" s="171"/>
      <c r="L26" s="1077"/>
      <c r="M26" s="171"/>
      <c r="N26" s="176"/>
      <c r="O26" s="172"/>
      <c r="P26" s="1785"/>
      <c r="Q26" s="173"/>
      <c r="R26" s="176"/>
      <c r="S26" s="176"/>
      <c r="T26" s="176"/>
      <c r="U26" s="196"/>
      <c r="V26" s="196"/>
      <c r="W26" s="1790"/>
      <c r="X26" s="1789"/>
      <c r="Y26" s="196"/>
      <c r="Z26" s="196"/>
      <c r="AA26" s="196"/>
      <c r="AB26" s="165"/>
      <c r="AC26" s="1835"/>
      <c r="AD26" s="2052"/>
      <c r="AE26" s="2"/>
      <c r="AF26" s="76"/>
    </row>
    <row r="27" spans="1:32" ht="18" customHeight="1">
      <c r="A27" s="1570" t="s">
        <v>25</v>
      </c>
      <c r="B27" s="157"/>
      <c r="C27" s="157"/>
      <c r="D27" s="1085">
        <f>+'Exhibit A'!D24</f>
        <v>606.4</v>
      </c>
      <c r="E27" s="171"/>
      <c r="F27" s="188">
        <f>+'Exhibit A'!F24</f>
        <v>16570.2</v>
      </c>
      <c r="G27" s="171"/>
      <c r="H27" s="1188">
        <f>+'Exhibit G State'!V90</f>
        <v>2559.3000000000002</v>
      </c>
      <c r="I27" s="171"/>
      <c r="J27" s="188">
        <f>+'Exhibit G State'!AC90</f>
        <v>5679.2</v>
      </c>
      <c r="K27" s="171"/>
      <c r="L27" s="1077">
        <f>+'Exhibit A'!L24</f>
        <v>0</v>
      </c>
      <c r="M27" s="171"/>
      <c r="N27" s="176">
        <f>+'Exhibit A'!N24</f>
        <v>0</v>
      </c>
      <c r="O27" s="179"/>
      <c r="P27" s="1786"/>
      <c r="Q27" s="180"/>
      <c r="R27" s="174">
        <f>ROUND(SUM(D27+H27+L27),1)</f>
        <v>3165.7</v>
      </c>
      <c r="S27" s="174"/>
      <c r="T27" s="174">
        <f>ROUND(SUM(F27+J27+N27),1)</f>
        <v>22249.4</v>
      </c>
      <c r="U27" s="196"/>
      <c r="V27" s="196"/>
      <c r="W27" s="2047"/>
      <c r="X27" s="1789"/>
      <c r="Y27" s="196">
        <v>3058.3</v>
      </c>
      <c r="Z27" s="196" t="s">
        <v>15</v>
      </c>
      <c r="AA27" s="196">
        <f>+'Exhibit F'!AF99+'Exhibit G State'!AF90</f>
        <v>21838.400000000001</v>
      </c>
      <c r="AB27" s="165"/>
      <c r="AC27" s="1835"/>
      <c r="AD27" s="53">
        <f>ROUND(SUM(T27-AA27),1)</f>
        <v>411</v>
      </c>
      <c r="AE27" s="2"/>
      <c r="AF27" s="45">
        <f>ROUND(+AD27/AA27,3)</f>
        <v>1.9E-2</v>
      </c>
    </row>
    <row r="28" spans="1:32" ht="18" customHeight="1">
      <c r="A28" s="1570" t="s">
        <v>26</v>
      </c>
      <c r="B28" s="181"/>
      <c r="C28" s="157"/>
      <c r="D28" s="1085">
        <f>+'Exhibit A'!D25</f>
        <v>0.1</v>
      </c>
      <c r="E28" s="171"/>
      <c r="F28" s="188">
        <f>+'Exhibit A'!F25</f>
        <v>3.6</v>
      </c>
      <c r="G28" s="171"/>
      <c r="H28" s="1188">
        <f>+'Exhibit G State'!V91</f>
        <v>0.7</v>
      </c>
      <c r="I28" s="174"/>
      <c r="J28" s="188">
        <f>+'Exhibit G State'!AC91</f>
        <v>3.7</v>
      </c>
      <c r="K28" s="171"/>
      <c r="L28" s="1077">
        <f>+'Exhibit A'!L25</f>
        <v>0</v>
      </c>
      <c r="M28" s="171"/>
      <c r="N28" s="176">
        <f>+'Exhibit A'!N25</f>
        <v>0</v>
      </c>
      <c r="O28" s="179"/>
      <c r="P28" s="1786"/>
      <c r="Q28" s="180"/>
      <c r="R28" s="174">
        <f t="shared" ref="R28:R35" si="4">ROUND(SUM(D28+H28+L28),1)</f>
        <v>0.8</v>
      </c>
      <c r="S28" s="174"/>
      <c r="T28" s="174">
        <f t="shared" ref="T28:T35" si="5">ROUND(SUM(F28+J28+N28),1)</f>
        <v>7.3</v>
      </c>
      <c r="U28" s="196"/>
      <c r="V28" s="196"/>
      <c r="W28" s="2047"/>
      <c r="X28" s="1789"/>
      <c r="Y28" s="1080">
        <v>0.6</v>
      </c>
      <c r="Z28" s="196" t="s">
        <v>15</v>
      </c>
      <c r="AA28" s="196">
        <f>+'Exhibit F'!AF100+'Exhibit G State'!AF91</f>
        <v>7.5</v>
      </c>
      <c r="AB28" s="165"/>
      <c r="AC28" s="1835"/>
      <c r="AD28" s="53">
        <f>ROUND(SUM(T28-AA28),1)</f>
        <v>-0.2</v>
      </c>
      <c r="AE28" s="2"/>
      <c r="AF28" s="2568">
        <f>ROUND(IF(AA28=0,1,AD28/ABS(AA28)),3)</f>
        <v>-2.7E-2</v>
      </c>
    </row>
    <row r="29" spans="1:32" ht="18" customHeight="1">
      <c r="A29" s="1570" t="s">
        <v>27</v>
      </c>
      <c r="B29" s="189"/>
      <c r="C29" s="157"/>
      <c r="D29" s="1085">
        <f>+'Exhibit A'!D26</f>
        <v>3.1</v>
      </c>
      <c r="E29" s="171"/>
      <c r="F29" s="188">
        <f>+'Exhibit A'!F26</f>
        <v>914.1</v>
      </c>
      <c r="G29" s="171"/>
      <c r="H29" s="1188">
        <f>+'Exhibit G State'!V92</f>
        <v>10.1</v>
      </c>
      <c r="I29" s="171"/>
      <c r="J29" s="188">
        <f>+'Exhibit G State'!AC92</f>
        <v>126.7</v>
      </c>
      <c r="K29" s="171"/>
      <c r="L29" s="1077">
        <f>+'Exhibit A'!L26</f>
        <v>0</v>
      </c>
      <c r="M29" s="171"/>
      <c r="N29" s="176">
        <f>+'Exhibit A'!N26</f>
        <v>0</v>
      </c>
      <c r="O29" s="179"/>
      <c r="P29" s="1786"/>
      <c r="Q29" s="180"/>
      <c r="R29" s="174">
        <f t="shared" si="4"/>
        <v>13.2</v>
      </c>
      <c r="S29" s="174"/>
      <c r="T29" s="174">
        <f t="shared" si="5"/>
        <v>1040.8</v>
      </c>
      <c r="U29" s="196"/>
      <c r="V29" s="196"/>
      <c r="W29" s="2047"/>
      <c r="X29" s="1789"/>
      <c r="Y29" s="196">
        <v>22.6</v>
      </c>
      <c r="Z29" s="196" t="s">
        <v>15</v>
      </c>
      <c r="AA29" s="196">
        <f>+'Exhibit F'!AF101+'Exhibit G State'!AF92</f>
        <v>1075.1000000000001</v>
      </c>
      <c r="AB29" s="165"/>
      <c r="AC29" s="1835"/>
      <c r="AD29" s="53">
        <f>ROUND(SUM(T29-AA29),1)</f>
        <v>-34.299999999999997</v>
      </c>
      <c r="AE29" s="2"/>
      <c r="AF29" s="45">
        <f>ROUND(+AD29/AA29,3)</f>
        <v>-3.2000000000000001E-2</v>
      </c>
    </row>
    <row r="30" spans="1:32" ht="18" customHeight="1">
      <c r="A30" s="1570" t="s">
        <v>28</v>
      </c>
      <c r="B30" s="189"/>
      <c r="C30" s="157"/>
      <c r="D30" s="1085"/>
      <c r="E30" s="171"/>
      <c r="F30" s="188"/>
      <c r="G30" s="171"/>
      <c r="H30" s="1085"/>
      <c r="I30" s="171"/>
      <c r="J30" s="188"/>
      <c r="K30" s="171"/>
      <c r="L30" s="1077"/>
      <c r="M30" s="171"/>
      <c r="N30" s="176"/>
      <c r="O30" s="179"/>
      <c r="P30" s="1786"/>
      <c r="Q30" s="180"/>
      <c r="R30" s="1087" t="s">
        <v>15</v>
      </c>
      <c r="S30" s="174"/>
      <c r="T30" s="1087" t="s">
        <v>15</v>
      </c>
      <c r="U30" s="196"/>
      <c r="V30" s="196"/>
      <c r="W30" s="2047"/>
      <c r="X30" s="1789"/>
      <c r="Y30" s="1080" t="s">
        <v>15</v>
      </c>
      <c r="Z30" s="196" t="s">
        <v>15</v>
      </c>
      <c r="AA30" s="1080" t="s">
        <v>15</v>
      </c>
      <c r="AB30" s="165"/>
      <c r="AC30" s="1835"/>
      <c r="AD30" s="53"/>
      <c r="AE30" s="2"/>
      <c r="AF30" s="45"/>
    </row>
    <row r="31" spans="1:32" ht="18" customHeight="1">
      <c r="A31" s="1571" t="s">
        <v>29</v>
      </c>
      <c r="B31" s="182"/>
      <c r="C31" s="157"/>
      <c r="D31" s="1085">
        <f>+'Exhibit A'!D28</f>
        <v>1321.2</v>
      </c>
      <c r="E31" s="171"/>
      <c r="F31" s="188">
        <f>+'Exhibit A'!F28</f>
        <v>12831.5</v>
      </c>
      <c r="G31" s="171"/>
      <c r="H31" s="1188">
        <f>+'Exhibit G State'!V94</f>
        <v>480.6</v>
      </c>
      <c r="I31" s="171"/>
      <c r="J31" s="188">
        <f>+'Exhibit G State'!AC94</f>
        <v>4724.2</v>
      </c>
      <c r="K31" s="171"/>
      <c r="L31" s="1077">
        <f>+'Exhibit A'!L28</f>
        <v>0</v>
      </c>
      <c r="M31" s="171"/>
      <c r="N31" s="176">
        <f>+'Exhibit A'!N28</f>
        <v>0</v>
      </c>
      <c r="O31" s="179"/>
      <c r="P31" s="1786"/>
      <c r="Q31" s="180"/>
      <c r="R31" s="174">
        <f t="shared" si="4"/>
        <v>1801.8</v>
      </c>
      <c r="S31" s="174"/>
      <c r="T31" s="174">
        <f t="shared" si="5"/>
        <v>17555.7</v>
      </c>
      <c r="U31" s="196"/>
      <c r="V31" s="196"/>
      <c r="W31" s="2047"/>
      <c r="X31" s="1789"/>
      <c r="Y31" s="196">
        <v>1196.0999999999999</v>
      </c>
      <c r="Z31" s="196" t="s">
        <v>15</v>
      </c>
      <c r="AA31" s="196">
        <f>+'Exhibit F'!AF103+'Exhibit G State'!AF94</f>
        <v>16472.7</v>
      </c>
      <c r="AB31" s="165"/>
      <c r="AC31" s="1835"/>
      <c r="AD31" s="53">
        <f t="shared" ref="AD31:AD36" si="6">ROUND(SUM(T31-AA31),1)</f>
        <v>1083</v>
      </c>
      <c r="AE31" s="2"/>
      <c r="AF31" s="45">
        <f t="shared" ref="AF31:AF36" si="7">ROUND(+AD31/AA31,3)</f>
        <v>6.6000000000000003E-2</v>
      </c>
    </row>
    <row r="32" spans="1:32" ht="18" customHeight="1">
      <c r="A32" s="1570" t="s">
        <v>30</v>
      </c>
      <c r="B32" s="189"/>
      <c r="C32" s="157"/>
      <c r="D32" s="1085">
        <f>+'Exhibit A'!D29</f>
        <v>20.100000000000001</v>
      </c>
      <c r="E32" s="171"/>
      <c r="F32" s="188">
        <f>+'Exhibit A'!F29</f>
        <v>728.3</v>
      </c>
      <c r="G32" s="171"/>
      <c r="H32" s="1188">
        <f>+'Exhibit G State'!V95</f>
        <v>171.9</v>
      </c>
      <c r="I32" s="171"/>
      <c r="J32" s="188">
        <f>+'Exhibit G State'!AC95</f>
        <v>1945.6</v>
      </c>
      <c r="K32" s="171"/>
      <c r="L32" s="1077">
        <f>+'Exhibit A'!L29</f>
        <v>0</v>
      </c>
      <c r="M32" s="171"/>
      <c r="N32" s="176">
        <f>+'Exhibit A'!N29</f>
        <v>0</v>
      </c>
      <c r="O32" s="179"/>
      <c r="P32" s="1786"/>
      <c r="Q32" s="180"/>
      <c r="R32" s="174">
        <f t="shared" si="4"/>
        <v>192</v>
      </c>
      <c r="S32" s="174"/>
      <c r="T32" s="174">
        <f t="shared" si="5"/>
        <v>2673.9</v>
      </c>
      <c r="U32" s="196"/>
      <c r="V32" s="196"/>
      <c r="W32" s="2047"/>
      <c r="X32" s="1789"/>
      <c r="Y32" s="196">
        <v>278.7</v>
      </c>
      <c r="Z32" s="196" t="s">
        <v>15</v>
      </c>
      <c r="AA32" s="196">
        <f>+'Exhibit F'!AF104+'Exhibit G State'!AF95</f>
        <v>3056.1</v>
      </c>
      <c r="AB32" s="165"/>
      <c r="AC32" s="1835"/>
      <c r="AD32" s="53">
        <f t="shared" si="6"/>
        <v>-382.2</v>
      </c>
      <c r="AE32" s="2"/>
      <c r="AF32" s="45">
        <f t="shared" si="7"/>
        <v>-0.125</v>
      </c>
    </row>
    <row r="33" spans="1:32" ht="18" customHeight="1">
      <c r="A33" s="1570" t="s">
        <v>31</v>
      </c>
      <c r="B33" s="157"/>
      <c r="C33" s="157"/>
      <c r="D33" s="1085">
        <f>+'Exhibit A'!D30</f>
        <v>15.9</v>
      </c>
      <c r="E33" s="171"/>
      <c r="F33" s="188">
        <f>+'Exhibit A'!F30</f>
        <v>135.80000000000001</v>
      </c>
      <c r="G33" s="171"/>
      <c r="H33" s="1188">
        <f>+'Exhibit G State'!V96</f>
        <v>13</v>
      </c>
      <c r="I33" s="171"/>
      <c r="J33" s="188">
        <f>+'Exhibit G State'!AC96</f>
        <v>119.9</v>
      </c>
      <c r="K33" s="171"/>
      <c r="L33" s="1077">
        <f>+'Exhibit A'!L30</f>
        <v>0</v>
      </c>
      <c r="M33" s="171"/>
      <c r="N33" s="176">
        <f>+'Exhibit A'!N30</f>
        <v>0</v>
      </c>
      <c r="O33" s="179"/>
      <c r="P33" s="1786"/>
      <c r="Q33" s="180"/>
      <c r="R33" s="174">
        <f t="shared" si="4"/>
        <v>28.9</v>
      </c>
      <c r="S33" s="174"/>
      <c r="T33" s="174">
        <f t="shared" si="5"/>
        <v>255.7</v>
      </c>
      <c r="U33" s="196"/>
      <c r="V33" s="196"/>
      <c r="W33" s="2047"/>
      <c r="X33" s="1789"/>
      <c r="Y33" s="196">
        <v>15.7</v>
      </c>
      <c r="Z33" s="196" t="s">
        <v>15</v>
      </c>
      <c r="AA33" s="196">
        <f>+'Exhibit F'!AF105+'Exhibit G State'!AF96</f>
        <v>235.9</v>
      </c>
      <c r="AB33" s="165"/>
      <c r="AC33" s="1835"/>
      <c r="AD33" s="53">
        <f t="shared" si="6"/>
        <v>19.8</v>
      </c>
      <c r="AE33" s="2"/>
      <c r="AF33" s="45">
        <f t="shared" si="7"/>
        <v>8.4000000000000005E-2</v>
      </c>
    </row>
    <row r="34" spans="1:32" ht="18" customHeight="1">
      <c r="A34" s="1570" t="s">
        <v>32</v>
      </c>
      <c r="B34" s="157"/>
      <c r="C34" s="157"/>
      <c r="D34" s="1085">
        <f>+'Exhibit A'!D31</f>
        <v>112.3</v>
      </c>
      <c r="E34" s="171"/>
      <c r="F34" s="188">
        <f>+'Exhibit A'!F31</f>
        <v>1768.7</v>
      </c>
      <c r="G34" s="171"/>
      <c r="H34" s="1188">
        <f>+'Exhibit G State'!V97</f>
        <v>0.4</v>
      </c>
      <c r="I34" s="171"/>
      <c r="J34" s="188">
        <f>+'Exhibit G State'!AC97</f>
        <v>4.7</v>
      </c>
      <c r="K34" s="171"/>
      <c r="L34" s="1077">
        <f>+'Exhibit A'!L31</f>
        <v>0</v>
      </c>
      <c r="M34" s="171"/>
      <c r="N34" s="176">
        <f>+'Exhibit A'!N31</f>
        <v>0</v>
      </c>
      <c r="O34" s="179"/>
      <c r="P34" s="1786"/>
      <c r="Q34" s="180"/>
      <c r="R34" s="174">
        <f t="shared" si="4"/>
        <v>112.7</v>
      </c>
      <c r="S34" s="174"/>
      <c r="T34" s="174">
        <f t="shared" si="5"/>
        <v>1773.4</v>
      </c>
      <c r="U34" s="196"/>
      <c r="V34" s="196"/>
      <c r="W34" s="2047"/>
      <c r="X34" s="1789"/>
      <c r="Y34" s="196">
        <v>213.4</v>
      </c>
      <c r="Z34" s="196" t="s">
        <v>15</v>
      </c>
      <c r="AA34" s="196">
        <f>+'Exhibit F'!AF106+'Exhibit G State'!AF97</f>
        <v>2296.8000000000002</v>
      </c>
      <c r="AB34" s="165"/>
      <c r="AC34" s="1835"/>
      <c r="AD34" s="53">
        <f t="shared" si="6"/>
        <v>-523.4</v>
      </c>
      <c r="AE34" s="2"/>
      <c r="AF34" s="45">
        <f t="shared" si="7"/>
        <v>-0.22800000000000001</v>
      </c>
    </row>
    <row r="35" spans="1:32" ht="18" customHeight="1">
      <c r="A35" s="1570" t="s">
        <v>33</v>
      </c>
      <c r="B35" s="157"/>
      <c r="C35" s="157"/>
      <c r="D35" s="1085">
        <f>+'Exhibit A'!D32</f>
        <v>11</v>
      </c>
      <c r="E35" s="171"/>
      <c r="F35" s="188">
        <f>+'Exhibit A'!F32</f>
        <v>149.19999999999999</v>
      </c>
      <c r="G35" s="171"/>
      <c r="H35" s="1188">
        <f>+'Exhibit G State'!V98</f>
        <v>0.4</v>
      </c>
      <c r="I35" s="171"/>
      <c r="J35" s="188">
        <f>+'Exhibit G State'!AC98</f>
        <v>46.1</v>
      </c>
      <c r="K35" s="171"/>
      <c r="L35" s="1077">
        <f>+'Exhibit A'!L32</f>
        <v>0</v>
      </c>
      <c r="M35" s="171"/>
      <c r="N35" s="176">
        <f>+'Exhibit A'!N32</f>
        <v>0</v>
      </c>
      <c r="O35" s="179"/>
      <c r="P35" s="1786"/>
      <c r="Q35" s="180"/>
      <c r="R35" s="174">
        <f t="shared" si="4"/>
        <v>11.4</v>
      </c>
      <c r="S35" s="174"/>
      <c r="T35" s="174">
        <f t="shared" si="5"/>
        <v>195.3</v>
      </c>
      <c r="U35" s="196"/>
      <c r="V35" s="196"/>
      <c r="W35" s="2047"/>
      <c r="X35" s="1789"/>
      <c r="Y35" s="1080">
        <v>21.8</v>
      </c>
      <c r="Z35" s="196" t="s">
        <v>15</v>
      </c>
      <c r="AA35" s="196">
        <f>+'Exhibit F'!AF107+'Exhibit G State'!AF98</f>
        <v>209</v>
      </c>
      <c r="AB35" s="165"/>
      <c r="AC35" s="1835"/>
      <c r="AD35" s="53">
        <f t="shared" si="6"/>
        <v>-13.7</v>
      </c>
      <c r="AE35" s="2"/>
      <c r="AF35" s="45">
        <f t="shared" si="7"/>
        <v>-6.6000000000000003E-2</v>
      </c>
    </row>
    <row r="36" spans="1:32" ht="18" customHeight="1">
      <c r="A36" s="1570" t="s">
        <v>34</v>
      </c>
      <c r="B36" s="157"/>
      <c r="C36" s="157"/>
      <c r="D36" s="1085">
        <f>+'Exhibit A'!D33</f>
        <v>0.1</v>
      </c>
      <c r="E36" s="171"/>
      <c r="F36" s="188">
        <f>+'Exhibit A'!F33</f>
        <v>99.9</v>
      </c>
      <c r="G36" s="171"/>
      <c r="H36" s="1188">
        <f>+'Exhibit G State'!V99</f>
        <v>204.1</v>
      </c>
      <c r="I36" s="171"/>
      <c r="J36" s="188">
        <f>+'Exhibit G State'!AC99</f>
        <v>4377.2</v>
      </c>
      <c r="K36" s="171"/>
      <c r="L36" s="1077">
        <f>+'Exhibit A'!L33</f>
        <v>0</v>
      </c>
      <c r="M36" s="171"/>
      <c r="N36" s="176">
        <f>+'Exhibit A'!N33</f>
        <v>0</v>
      </c>
      <c r="O36" s="179"/>
      <c r="P36" s="1786"/>
      <c r="Q36" s="180"/>
      <c r="R36" s="190">
        <f>ROUND(SUM(D36+H36+L36),1)</f>
        <v>204.2</v>
      </c>
      <c r="S36" s="174"/>
      <c r="T36" s="190">
        <f>ROUND(SUM(F36+J36+N36),1)</f>
        <v>4477.1000000000004</v>
      </c>
      <c r="U36" s="196"/>
      <c r="V36" s="196"/>
      <c r="W36" s="2047"/>
      <c r="X36" s="1789"/>
      <c r="Y36" s="2500">
        <v>206.2</v>
      </c>
      <c r="Z36" s="196" t="s">
        <v>15</v>
      </c>
      <c r="AA36" s="197">
        <f>+'Exhibit F'!AF108+'Exhibit G State'!AF99</f>
        <v>4509.5</v>
      </c>
      <c r="AB36" s="165"/>
      <c r="AC36" s="1835"/>
      <c r="AD36" s="53">
        <f t="shared" si="6"/>
        <v>-32.4</v>
      </c>
      <c r="AE36" s="2"/>
      <c r="AF36" s="45">
        <f t="shared" si="7"/>
        <v>-7.0000000000000001E-3</v>
      </c>
    </row>
    <row r="37" spans="1:32" ht="18" customHeight="1">
      <c r="A37" s="156" t="s">
        <v>35</v>
      </c>
      <c r="B37" s="157"/>
      <c r="C37" s="157"/>
      <c r="D37" s="183">
        <f>ROUND(SUM(D27:D36),1)</f>
        <v>2090.1999999999998</v>
      </c>
      <c r="E37" s="184"/>
      <c r="F37" s="183">
        <f>ROUND(SUM(F27:F36),1)</f>
        <v>33201.300000000003</v>
      </c>
      <c r="G37" s="184"/>
      <c r="H37" s="183">
        <f>ROUND(SUM(H27:H36),1)</f>
        <v>3440.5</v>
      </c>
      <c r="I37" s="184"/>
      <c r="J37" s="183">
        <f>ROUND(SUM(J27:J36),1)</f>
        <v>17027.3</v>
      </c>
      <c r="K37" s="184"/>
      <c r="L37" s="191">
        <f>ROUND(SUM(L27:L36),1)</f>
        <v>0</v>
      </c>
      <c r="M37" s="184"/>
      <c r="N37" s="192">
        <f>ROUND(SUM(N27:N36),1)</f>
        <v>0</v>
      </c>
      <c r="O37" s="193"/>
      <c r="P37" s="1787"/>
      <c r="Q37" s="194"/>
      <c r="R37" s="183">
        <f>ROUND(SUM(R27:R36),1)</f>
        <v>5530.7</v>
      </c>
      <c r="S37" s="193"/>
      <c r="T37" s="183">
        <f>ROUND(SUM(T27:T36),1)</f>
        <v>50228.6</v>
      </c>
      <c r="U37" s="204"/>
      <c r="V37" s="204"/>
      <c r="W37" s="2053"/>
      <c r="X37" s="2054"/>
      <c r="Y37" s="2050">
        <f>ROUND(SUM(Y27:Y36),1)</f>
        <v>5013.3999999999996</v>
      </c>
      <c r="Z37" s="200"/>
      <c r="AA37" s="2050">
        <f>ROUND(SUM(AA27:AA36),1)</f>
        <v>49701</v>
      </c>
      <c r="AB37" s="205"/>
      <c r="AC37" s="1837"/>
      <c r="AD37" s="2051">
        <f>ROUND(SUM(AD27:AD36),1)</f>
        <v>527.6</v>
      </c>
      <c r="AE37" s="71"/>
      <c r="AF37" s="72">
        <f>ROUND(+AD37/AA37,3)</f>
        <v>1.0999999999999999E-2</v>
      </c>
    </row>
    <row r="38" spans="1:32" ht="18" customHeight="1">
      <c r="A38" s="157" t="s">
        <v>36</v>
      </c>
      <c r="B38" s="189"/>
      <c r="C38" s="157"/>
      <c r="D38" s="1075"/>
      <c r="E38" s="171"/>
      <c r="F38" s="171"/>
      <c r="G38" s="171"/>
      <c r="H38" s="1075"/>
      <c r="I38" s="171"/>
      <c r="J38" s="171"/>
      <c r="K38" s="171"/>
      <c r="L38" s="1075"/>
      <c r="M38" s="171"/>
      <c r="N38" s="171"/>
      <c r="O38" s="172"/>
      <c r="P38" s="1785"/>
      <c r="Q38" s="173"/>
      <c r="R38" s="171"/>
      <c r="S38" s="171"/>
      <c r="T38" s="171"/>
      <c r="U38" s="196"/>
      <c r="V38" s="196"/>
      <c r="W38" s="1790"/>
      <c r="X38" s="196"/>
      <c r="Y38" s="196"/>
      <c r="Z38" s="196"/>
      <c r="AA38" s="196"/>
      <c r="AB38" s="165"/>
      <c r="AC38" s="1835"/>
      <c r="AD38" s="53"/>
      <c r="AE38" s="2"/>
      <c r="AF38" s="19"/>
    </row>
    <row r="39" spans="1:32" ht="18" customHeight="1">
      <c r="A39" s="157" t="s">
        <v>37</v>
      </c>
      <c r="B39" s="181"/>
      <c r="C39" s="157"/>
      <c r="D39" s="1075">
        <f>+'Exhibit A'!D36</f>
        <v>445.8</v>
      </c>
      <c r="E39" s="171"/>
      <c r="F39" s="188">
        <f>+'Exhibit A'!F36</f>
        <v>5163.5</v>
      </c>
      <c r="G39" s="171"/>
      <c r="H39" s="1188">
        <f>+'Exhibit G State'!V102</f>
        <v>537.5</v>
      </c>
      <c r="I39" s="171"/>
      <c r="J39" s="188">
        <f>+'Exhibit G State'!AC102</f>
        <v>5872.3</v>
      </c>
      <c r="K39" s="171"/>
      <c r="L39" s="1078">
        <f>+'Exhibit A'!L36</f>
        <v>0</v>
      </c>
      <c r="M39" s="174"/>
      <c r="N39" s="176">
        <f>+'Exhibit A'!N36</f>
        <v>0</v>
      </c>
      <c r="O39" s="179"/>
      <c r="P39" s="1786"/>
      <c r="Q39" s="180"/>
      <c r="R39" s="174">
        <f>ROUND(SUM(D39+H39+L39),1)</f>
        <v>983.3</v>
      </c>
      <c r="S39" s="176"/>
      <c r="T39" s="171">
        <f>ROUND(SUM(F39+J39+N39),1)</f>
        <v>11035.8</v>
      </c>
      <c r="U39" s="196"/>
      <c r="V39" s="196"/>
      <c r="W39" s="2047"/>
      <c r="X39" s="1789"/>
      <c r="Y39" s="1080">
        <v>993.4</v>
      </c>
      <c r="Z39" s="196" t="s">
        <v>15</v>
      </c>
      <c r="AA39" s="196">
        <f>+'Exhibit F'!AF111+'Exhibit G State'!AF102</f>
        <v>10955.099999999999</v>
      </c>
      <c r="AB39" s="165"/>
      <c r="AC39" s="1835"/>
      <c r="AD39" s="53">
        <f t="shared" ref="AD39:AD44" si="8">ROUND(SUM(T39-AA39),1)</f>
        <v>80.7</v>
      </c>
      <c r="AE39" s="2"/>
      <c r="AF39" s="45">
        <f t="shared" ref="AF39:AF43" si="9">ROUND(+AD39/AA39,3)</f>
        <v>7.0000000000000001E-3</v>
      </c>
    </row>
    <row r="40" spans="1:32" ht="18" customHeight="1">
      <c r="A40" s="157" t="s">
        <v>38</v>
      </c>
      <c r="B40" s="189"/>
      <c r="C40" s="157"/>
      <c r="D40" s="1075">
        <f>+'Exhibit A'!D37</f>
        <v>221.5</v>
      </c>
      <c r="E40" s="171"/>
      <c r="F40" s="188">
        <f>+'Exhibit A'!F37</f>
        <v>1747.7</v>
      </c>
      <c r="G40" s="171"/>
      <c r="H40" s="1188">
        <f>+'Exhibit G State'!V103</f>
        <v>334.3</v>
      </c>
      <c r="I40" s="171"/>
      <c r="J40" s="188">
        <f>+'Exhibit G State'!AC103</f>
        <v>2875.3</v>
      </c>
      <c r="K40" s="171"/>
      <c r="L40" s="1078">
        <f>+'Exhibit A'!L37</f>
        <v>0.9</v>
      </c>
      <c r="M40" s="174"/>
      <c r="N40" s="176">
        <f>+'Exhibit A'!N37</f>
        <v>33.299999999999997</v>
      </c>
      <c r="O40" s="172"/>
      <c r="P40" s="1785"/>
      <c r="Q40" s="173"/>
      <c r="R40" s="174">
        <f>ROUND(SUM(D40+H40+L40),1)</f>
        <v>556.70000000000005</v>
      </c>
      <c r="S40" s="176"/>
      <c r="T40" s="171">
        <f>ROUND(SUM(F40+J40+N40),1)</f>
        <v>4656.3</v>
      </c>
      <c r="U40" s="196"/>
      <c r="V40" s="196"/>
      <c r="W40" s="1790"/>
      <c r="X40" s="196"/>
      <c r="Y40" s="196">
        <v>422.4</v>
      </c>
      <c r="Z40" s="196" t="s">
        <v>15</v>
      </c>
      <c r="AA40" s="196">
        <f>+'Exhibit F'!AF112+'Exhibit G State'!AF103+'Exhibit H'!AD51</f>
        <v>4457.7000000000007</v>
      </c>
      <c r="AB40" s="165"/>
      <c r="AC40" s="1835"/>
      <c r="AD40" s="53">
        <f t="shared" si="8"/>
        <v>198.6</v>
      </c>
      <c r="AE40" s="2"/>
      <c r="AF40" s="45">
        <f t="shared" si="9"/>
        <v>4.4999999999999998E-2</v>
      </c>
    </row>
    <row r="41" spans="1:32" ht="18" customHeight="1">
      <c r="A41" s="157" t="s">
        <v>39</v>
      </c>
      <c r="B41" s="166"/>
      <c r="C41" s="157"/>
      <c r="D41" s="1075">
        <f>+'Exhibit A'!D38</f>
        <v>224.8</v>
      </c>
      <c r="E41" s="171"/>
      <c r="F41" s="188">
        <f>+'Exhibit A'!F38</f>
        <v>5111.8</v>
      </c>
      <c r="G41" s="171"/>
      <c r="H41" s="1188">
        <f>+'Exhibit G State'!V104</f>
        <v>250.5</v>
      </c>
      <c r="I41" s="171"/>
      <c r="J41" s="188">
        <f>+'Exhibit G State'!AC104</f>
        <v>1980.8</v>
      </c>
      <c r="K41" s="171"/>
      <c r="L41" s="1078">
        <f>+'Exhibit A'!L38</f>
        <v>0</v>
      </c>
      <c r="M41" s="171"/>
      <c r="N41" s="176">
        <f>+'Exhibit A'!N38</f>
        <v>0</v>
      </c>
      <c r="O41" s="179"/>
      <c r="P41" s="1786"/>
      <c r="Q41" s="180"/>
      <c r="R41" s="174">
        <f>ROUND(SUM(D41+H41+L41),1)</f>
        <v>475.3</v>
      </c>
      <c r="S41" s="176"/>
      <c r="T41" s="171">
        <f>ROUND(SUM(F41+J41+N41),1)</f>
        <v>7092.6</v>
      </c>
      <c r="U41" s="196"/>
      <c r="V41" s="196"/>
      <c r="W41" s="2047"/>
      <c r="X41" s="1789"/>
      <c r="Y41" s="196">
        <v>441.3</v>
      </c>
      <c r="Z41" s="196" t="s">
        <v>15</v>
      </c>
      <c r="AA41" s="196">
        <f>+'Exhibit F'!AF113+'Exhibit G State'!AF104</f>
        <v>6767.4</v>
      </c>
      <c r="AB41" s="165"/>
      <c r="AC41" s="1835"/>
      <c r="AD41" s="53">
        <f t="shared" si="8"/>
        <v>325.2</v>
      </c>
      <c r="AE41" s="2"/>
      <c r="AF41" s="45">
        <f t="shared" si="9"/>
        <v>4.8000000000000001E-2</v>
      </c>
    </row>
    <row r="42" spans="1:32" ht="18" customHeight="1">
      <c r="A42" s="157" t="s">
        <v>40</v>
      </c>
      <c r="B42" s="157"/>
      <c r="C42" s="157"/>
      <c r="D42" s="1075"/>
      <c r="E42" s="171"/>
      <c r="F42" s="171"/>
      <c r="G42" s="171"/>
      <c r="H42" s="1075"/>
      <c r="I42" s="171"/>
      <c r="J42" s="171"/>
      <c r="K42" s="171"/>
      <c r="L42" s="1075"/>
      <c r="M42" s="171"/>
      <c r="N42" s="171"/>
      <c r="O42" s="172"/>
      <c r="P42" s="1785"/>
      <c r="Q42" s="173"/>
      <c r="R42" s="1087" t="s">
        <v>15</v>
      </c>
      <c r="S42" s="171"/>
      <c r="T42" s="1075" t="s">
        <v>15</v>
      </c>
      <c r="U42" s="196"/>
      <c r="V42" s="196"/>
      <c r="W42" s="1790"/>
      <c r="X42" s="196"/>
      <c r="Y42" s="1080"/>
      <c r="Z42" s="196"/>
      <c r="AA42" s="1080" t="s">
        <v>15</v>
      </c>
      <c r="AB42" s="165"/>
      <c r="AC42" s="1835"/>
      <c r="AD42" s="53"/>
      <c r="AE42" s="2"/>
      <c r="AF42" s="45"/>
    </row>
    <row r="43" spans="1:32" ht="18" customHeight="1">
      <c r="A43" s="157" t="s">
        <v>41</v>
      </c>
      <c r="B43" s="181"/>
      <c r="C43" s="157"/>
      <c r="D43" s="1078">
        <v>0</v>
      </c>
      <c r="E43" s="171"/>
      <c r="F43" s="176">
        <v>0</v>
      </c>
      <c r="G43" s="171"/>
      <c r="H43" s="1188">
        <v>0</v>
      </c>
      <c r="I43" s="171"/>
      <c r="J43" s="176">
        <v>0</v>
      </c>
      <c r="K43" s="171"/>
      <c r="L43" s="1078">
        <f>+'Exhibit A'!L40</f>
        <v>31.099999999999909</v>
      </c>
      <c r="M43" s="174"/>
      <c r="N43" s="176">
        <f>+'Exhibit A'!N40</f>
        <v>2224.1</v>
      </c>
      <c r="O43" s="172"/>
      <c r="P43" s="1785"/>
      <c r="Q43" s="173"/>
      <c r="R43" s="174">
        <f>ROUND(SUM(D43+H43+L43),1)</f>
        <v>31.1</v>
      </c>
      <c r="S43" s="171"/>
      <c r="T43" s="171">
        <f>ROUND(SUM(F43+J43+N43),1)</f>
        <v>2224.1</v>
      </c>
      <c r="U43" s="196"/>
      <c r="V43" s="196"/>
      <c r="W43" s="1790"/>
      <c r="X43" s="196"/>
      <c r="Y43" s="196">
        <v>25.6</v>
      </c>
      <c r="Z43" s="196" t="s">
        <v>15</v>
      </c>
      <c r="AA43" s="196">
        <f>+'Exhibit H'!AD53</f>
        <v>1960</v>
      </c>
      <c r="AB43" s="165"/>
      <c r="AC43" s="1835"/>
      <c r="AD43" s="53">
        <f t="shared" si="8"/>
        <v>264.10000000000002</v>
      </c>
      <c r="AE43" s="2"/>
      <c r="AF43" s="45">
        <f t="shared" si="9"/>
        <v>0.13500000000000001</v>
      </c>
    </row>
    <row r="44" spans="1:32" ht="18" customHeight="1">
      <c r="A44" s="157" t="s">
        <v>42</v>
      </c>
      <c r="B44" s="181"/>
      <c r="C44" s="157"/>
      <c r="D44" s="1086">
        <v>0</v>
      </c>
      <c r="E44" s="174"/>
      <c r="F44" s="179">
        <v>0</v>
      </c>
      <c r="G44" s="171"/>
      <c r="H44" s="1188">
        <f>+'Exhibit G State'!V105</f>
        <v>0</v>
      </c>
      <c r="I44" s="171"/>
      <c r="J44" s="188">
        <f>+'Exhibit G State'!AC105</f>
        <v>0</v>
      </c>
      <c r="K44" s="171"/>
      <c r="L44" s="1078">
        <f>+'Exhibit A'!L41</f>
        <v>0</v>
      </c>
      <c r="M44" s="176"/>
      <c r="N44" s="176">
        <f>+'Exhibit A'!N41</f>
        <v>0</v>
      </c>
      <c r="O44" s="179"/>
      <c r="P44" s="1786"/>
      <c r="Q44" s="180"/>
      <c r="R44" s="171">
        <f>ROUND(SUM(D44+H44+L44),1)</f>
        <v>0</v>
      </c>
      <c r="S44" s="179"/>
      <c r="T44" s="171">
        <f>ROUND(SUM(F44+J44+N44),1)</f>
        <v>0</v>
      </c>
      <c r="U44" s="196"/>
      <c r="V44" s="196"/>
      <c r="W44" s="2047"/>
      <c r="X44" s="2048"/>
      <c r="Y44" s="1080">
        <v>0</v>
      </c>
      <c r="Z44" s="196" t="s">
        <v>15</v>
      </c>
      <c r="AA44" s="196">
        <f>'Exhibit G State'!AF105</f>
        <v>2.7</v>
      </c>
      <c r="AB44" s="165"/>
      <c r="AC44" s="1835"/>
      <c r="AD44" s="53">
        <f t="shared" si="8"/>
        <v>-2.7</v>
      </c>
      <c r="AE44" s="2"/>
      <c r="AF44" s="2568">
        <f>ROUND(IF(AA44=0,1,AD44/ABS(AA44)),3)</f>
        <v>-1</v>
      </c>
    </row>
    <row r="45" spans="1:32" ht="18" customHeight="1">
      <c r="A45" s="156" t="s">
        <v>59</v>
      </c>
      <c r="B45" s="157"/>
      <c r="C45" s="157"/>
      <c r="D45" s="183">
        <f>ROUND(SUM(+D39+D40+D41+D37),1)</f>
        <v>2982.3</v>
      </c>
      <c r="E45" s="184"/>
      <c r="F45" s="183">
        <f>ROUND(SUM(+F39+F40+F41+F37),1)</f>
        <v>45224.3</v>
      </c>
      <c r="G45" s="184"/>
      <c r="H45" s="183">
        <f>ROUND(SUM(H37:H44),1)</f>
        <v>4562.8</v>
      </c>
      <c r="I45" s="184"/>
      <c r="J45" s="183">
        <f>ROUND(SUM(J37:J44),1)</f>
        <v>27755.7</v>
      </c>
      <c r="K45" s="184"/>
      <c r="L45" s="183">
        <f>ROUND(SUM(L37:L44),1)</f>
        <v>32</v>
      </c>
      <c r="M45" s="184"/>
      <c r="N45" s="183">
        <f>ROUND(SUM(N37:N44),1)</f>
        <v>2257.4</v>
      </c>
      <c r="O45" s="186"/>
      <c r="P45" s="202"/>
      <c r="Q45" s="187"/>
      <c r="R45" s="183">
        <f>ROUND(SUM(R37:R44),1)</f>
        <v>7577.1</v>
      </c>
      <c r="S45" s="186"/>
      <c r="T45" s="183">
        <f>ROUND(SUM(T37:T44),1)</f>
        <v>75237.399999999994</v>
      </c>
      <c r="U45" s="204"/>
      <c r="V45" s="204"/>
      <c r="W45" s="2049"/>
      <c r="X45" s="204"/>
      <c r="Y45" s="2050">
        <f>ROUND(SUM(Y37:Y44),1)</f>
        <v>6896.1</v>
      </c>
      <c r="Z45" s="200"/>
      <c r="AA45" s="2050">
        <f>ROUND(SUM(AA37:AA44),1)</f>
        <v>73843.899999999994</v>
      </c>
      <c r="AB45" s="205"/>
      <c r="AC45" s="1837"/>
      <c r="AD45" s="2895">
        <f>ROUND(SUM(AD37:AD44),1)</f>
        <v>1393.5</v>
      </c>
      <c r="AE45" s="71"/>
      <c r="AF45" s="2586">
        <f>ROUND(+AD45/AA45,3)</f>
        <v>1.9E-2</v>
      </c>
    </row>
    <row r="46" spans="1:32" ht="15.9" customHeight="1">
      <c r="A46" s="156"/>
      <c r="B46" s="157"/>
      <c r="C46" s="157"/>
      <c r="D46" s="1076"/>
      <c r="E46" s="171"/>
      <c r="F46" s="172"/>
      <c r="G46" s="171"/>
      <c r="H46" s="1076"/>
      <c r="I46" s="171"/>
      <c r="J46" s="172"/>
      <c r="K46" s="171"/>
      <c r="L46" s="1076"/>
      <c r="M46" s="171"/>
      <c r="N46" s="172"/>
      <c r="O46" s="172"/>
      <c r="P46" s="1785"/>
      <c r="Q46" s="173"/>
      <c r="R46" s="172"/>
      <c r="S46" s="172"/>
      <c r="T46" s="172"/>
      <c r="U46" s="197"/>
      <c r="V46" s="197"/>
      <c r="W46" s="1790"/>
      <c r="X46" s="197"/>
      <c r="Y46" s="197"/>
      <c r="Z46" s="196"/>
      <c r="AA46" s="197"/>
      <c r="AB46" s="165"/>
      <c r="AC46" s="1835"/>
      <c r="AD46" s="54"/>
      <c r="AE46" s="2"/>
      <c r="AF46" s="19"/>
    </row>
    <row r="47" spans="1:32" ht="15.9" customHeight="1">
      <c r="A47" s="156" t="s">
        <v>44</v>
      </c>
      <c r="B47" s="156"/>
      <c r="C47" s="157"/>
      <c r="D47" s="1075"/>
      <c r="E47" s="171"/>
      <c r="F47" s="171"/>
      <c r="G47" s="171"/>
      <c r="H47" s="1075"/>
      <c r="I47" s="171"/>
      <c r="J47" s="171"/>
      <c r="K47" s="171"/>
      <c r="L47" s="1075"/>
      <c r="M47" s="171"/>
      <c r="N47" s="171"/>
      <c r="O47" s="172"/>
      <c r="P47" s="1785"/>
      <c r="Q47" s="173"/>
      <c r="R47" s="171"/>
      <c r="S47" s="171"/>
      <c r="T47" s="171"/>
      <c r="U47" s="196"/>
      <c r="V47" s="196"/>
      <c r="W47" s="1790"/>
      <c r="X47" s="196"/>
      <c r="Y47" s="196"/>
      <c r="Z47" s="196"/>
      <c r="AA47" s="196"/>
      <c r="AB47" s="165"/>
      <c r="AC47" s="1835"/>
      <c r="AD47" s="53"/>
      <c r="AE47" s="2"/>
      <c r="AF47" s="19"/>
    </row>
    <row r="48" spans="1:32" ht="15.9" customHeight="1">
      <c r="A48" s="156" t="s">
        <v>45</v>
      </c>
      <c r="B48" s="156"/>
      <c r="C48" s="157"/>
      <c r="D48" s="195">
        <f>ROUND(SUM(D23-D45),1)</f>
        <v>3904.4</v>
      </c>
      <c r="E48" s="184"/>
      <c r="F48" s="195">
        <f>ROUND(SUM(F23-F45),1)</f>
        <v>-406.9</v>
      </c>
      <c r="G48" s="184"/>
      <c r="H48" s="195">
        <f>ROUND(SUM(H23-H45),1)</f>
        <v>-135.6</v>
      </c>
      <c r="I48" s="184"/>
      <c r="J48" s="195">
        <f>ROUND(SUM(J23-J45),1)</f>
        <v>-6519.9</v>
      </c>
      <c r="K48" s="184"/>
      <c r="L48" s="195">
        <f>ROUND(SUM(L23-L45),1)</f>
        <v>3465.8</v>
      </c>
      <c r="M48" s="184" t="s">
        <v>15</v>
      </c>
      <c r="N48" s="195">
        <f>ROUND(SUM(N23-N45),1)</f>
        <v>16021.4</v>
      </c>
      <c r="O48" s="186"/>
      <c r="P48" s="202"/>
      <c r="Q48" s="187"/>
      <c r="R48" s="195">
        <f>ROUND(SUM(+R23-R45),1)</f>
        <v>7234.6</v>
      </c>
      <c r="S48" s="186"/>
      <c r="T48" s="195">
        <f>ROUND(SUM(+T23-T45),1)</f>
        <v>9094.6</v>
      </c>
      <c r="U48" s="204"/>
      <c r="V48" s="204"/>
      <c r="W48" s="2049"/>
      <c r="X48" s="204"/>
      <c r="Y48" s="1947">
        <f>ROUND(SUM(Y23-Y45),1)</f>
        <v>3947.8</v>
      </c>
      <c r="Z48" s="200" t="s">
        <v>15</v>
      </c>
      <c r="AA48" s="1947">
        <f>ROUND(SUM(AA23-AA45),1)</f>
        <v>5039.6000000000004</v>
      </c>
      <c r="AB48" s="205"/>
      <c r="AC48" s="1837"/>
      <c r="AD48" s="1947">
        <f>ROUND(SUM(AD23-AD45),1)</f>
        <v>4055</v>
      </c>
      <c r="AE48" s="94"/>
      <c r="AF48" s="2618">
        <f>ROUND(AD48/AA48,3)</f>
        <v>0.80500000000000005</v>
      </c>
    </row>
    <row r="49" spans="1:32" ht="15.9" customHeight="1">
      <c r="A49" s="157"/>
      <c r="B49" s="157"/>
      <c r="C49" s="157"/>
      <c r="D49" s="1076"/>
      <c r="E49" s="171"/>
      <c r="F49" s="172"/>
      <c r="G49" s="171"/>
      <c r="H49" s="1076"/>
      <c r="I49" s="171"/>
      <c r="J49" s="172"/>
      <c r="K49" s="171"/>
      <c r="L49" s="1076"/>
      <c r="M49" s="171"/>
      <c r="N49" s="172"/>
      <c r="O49" s="172"/>
      <c r="P49" s="1785"/>
      <c r="Q49" s="173"/>
      <c r="R49" s="172"/>
      <c r="S49" s="172"/>
      <c r="T49" s="172"/>
      <c r="U49" s="197"/>
      <c r="V49" s="197"/>
      <c r="W49" s="1790"/>
      <c r="X49" s="197"/>
      <c r="Y49" s="197"/>
      <c r="Z49" s="196"/>
      <c r="AA49" s="197"/>
      <c r="AB49" s="165"/>
      <c r="AC49" s="1835"/>
      <c r="AD49" s="54"/>
      <c r="AE49" s="2"/>
      <c r="AF49" s="19"/>
    </row>
    <row r="50" spans="1:32" ht="15.9" customHeight="1">
      <c r="A50" s="156" t="s">
        <v>46</v>
      </c>
      <c r="B50" s="156"/>
      <c r="C50" s="157"/>
      <c r="D50" s="1075"/>
      <c r="E50" s="171"/>
      <c r="F50" s="171"/>
      <c r="G50" s="171"/>
      <c r="H50" s="1075"/>
      <c r="I50" s="171"/>
      <c r="J50" s="171"/>
      <c r="K50" s="171"/>
      <c r="L50" s="1075"/>
      <c r="M50" s="171"/>
      <c r="N50" s="171"/>
      <c r="O50" s="172"/>
      <c r="P50" s="1785"/>
      <c r="Q50" s="173"/>
      <c r="R50" s="171"/>
      <c r="S50" s="171"/>
      <c r="T50" s="171"/>
      <c r="U50" s="196"/>
      <c r="V50" s="196"/>
      <c r="W50" s="1790"/>
      <c r="X50" s="196"/>
      <c r="Y50" s="196"/>
      <c r="Z50" s="196"/>
      <c r="AA50" s="196"/>
      <c r="AB50" s="165"/>
      <c r="AC50" s="1835"/>
      <c r="AD50" s="53"/>
      <c r="AE50" s="2"/>
      <c r="AF50" s="19"/>
    </row>
    <row r="51" spans="1:32" ht="18" customHeight="1">
      <c r="A51" s="177" t="s">
        <v>48</v>
      </c>
      <c r="B51" s="2834" t="s">
        <v>1367</v>
      </c>
      <c r="C51" s="177"/>
      <c r="D51" s="1080">
        <f>+'Exhibit A'!D49</f>
        <v>1621.3</v>
      </c>
      <c r="E51" s="171"/>
      <c r="F51" s="171">
        <f>+'Exhibit A'!F49</f>
        <v>15075.600000000002</v>
      </c>
      <c r="G51" s="196"/>
      <c r="H51" s="1188">
        <f>+'Exhibit G State'!V113</f>
        <v>350.4</v>
      </c>
      <c r="I51" s="196"/>
      <c r="J51" s="171">
        <f>+'Exhibit G State'!AC113</f>
        <v>7132</v>
      </c>
      <c r="K51" s="197"/>
      <c r="L51" s="1079">
        <f>+'Exhibit A'!L49</f>
        <v>371</v>
      </c>
      <c r="M51" s="197"/>
      <c r="N51" s="179">
        <f>+'Exhibit A'!N49</f>
        <v>2634.4</v>
      </c>
      <c r="O51" s="172"/>
      <c r="P51" s="1785"/>
      <c r="Q51" s="173"/>
      <c r="R51" s="176">
        <f>ROUND(SUM(L51+H51+D51),1)</f>
        <v>2342.6999999999998</v>
      </c>
      <c r="S51" s="171"/>
      <c r="T51" s="176">
        <f>ROUND(SUM(F51+J51+N51),1)</f>
        <v>24842</v>
      </c>
      <c r="U51" s="196"/>
      <c r="V51" s="196"/>
      <c r="W51" s="1790"/>
      <c r="X51" s="196"/>
      <c r="Y51" s="1080">
        <v>2002.6</v>
      </c>
      <c r="Z51" s="196" t="s">
        <v>15</v>
      </c>
      <c r="AA51" s="196">
        <v>23332.7</v>
      </c>
      <c r="AB51" s="165"/>
      <c r="AC51" s="1835"/>
      <c r="AD51" s="53">
        <f>ROUND(SUM(T51-AA51),1)</f>
        <v>1509.3</v>
      </c>
      <c r="AE51" s="99"/>
      <c r="AF51" s="45">
        <f>ROUND(SUM(+AD51/AA51),3)</f>
        <v>6.5000000000000002E-2</v>
      </c>
    </row>
    <row r="52" spans="1:32" ht="18" customHeight="1">
      <c r="A52" s="177" t="s">
        <v>49</v>
      </c>
      <c r="B52" s="2834" t="s">
        <v>1367</v>
      </c>
      <c r="C52" s="177"/>
      <c r="D52" s="1080">
        <f>+'Exhibit A'!D50</f>
        <v>-806.8</v>
      </c>
      <c r="E52" s="196"/>
      <c r="F52" s="171">
        <f>+'Exhibit A'!F50</f>
        <v>-7553.2</v>
      </c>
      <c r="G52" s="196"/>
      <c r="H52" s="1188">
        <f>+'Exhibit G State'!V114</f>
        <v>-80.900000000000006</v>
      </c>
      <c r="I52" s="196"/>
      <c r="J52" s="174">
        <f>'Exhibit G State'!AC114</f>
        <v>-601</v>
      </c>
      <c r="K52" s="196"/>
      <c r="L52" s="1079">
        <f>+'Exhibit A'!L50</f>
        <v>-1619.7999999999993</v>
      </c>
      <c r="M52" s="197"/>
      <c r="N52" s="179">
        <f>+'Exhibit A'!N50</f>
        <v>-15846.5</v>
      </c>
      <c r="O52" s="197"/>
      <c r="P52" s="1785"/>
      <c r="Q52" s="198"/>
      <c r="R52" s="174">
        <f>ROUND(SUM(D52+H52+L52),1)</f>
        <v>-2507.5</v>
      </c>
      <c r="S52" s="197"/>
      <c r="T52" s="171">
        <f>ROUND(SUM(F52+J52+N52),1)</f>
        <v>-24000.7</v>
      </c>
      <c r="U52" s="196"/>
      <c r="V52" s="196"/>
      <c r="W52" s="1790"/>
      <c r="X52" s="197"/>
      <c r="Y52" s="196">
        <v>-2072.4</v>
      </c>
      <c r="Z52" s="196" t="s">
        <v>15</v>
      </c>
      <c r="AA52" s="196">
        <v>-23809.7</v>
      </c>
      <c r="AB52" s="165"/>
      <c r="AC52" s="1835"/>
      <c r="AD52" s="101">
        <f>-ROUND(SUM(T52-AA52),1)</f>
        <v>191</v>
      </c>
      <c r="AE52" s="2"/>
      <c r="AF52" s="105">
        <f>ROUND(SUM(-AD52/AA52),3)</f>
        <v>8.0000000000000002E-3</v>
      </c>
    </row>
    <row r="53" spans="1:32" ht="18" customHeight="1">
      <c r="A53" s="156" t="s">
        <v>50</v>
      </c>
      <c r="B53" s="156"/>
      <c r="C53" s="157"/>
      <c r="D53" s="183">
        <f>ROUND(SUM(D51:D52),1)</f>
        <v>814.5</v>
      </c>
      <c r="E53" s="184"/>
      <c r="F53" s="183">
        <f>ROUND(SUM(F51:F52),1)</f>
        <v>7522.4</v>
      </c>
      <c r="G53" s="184"/>
      <c r="H53" s="183">
        <f>ROUND(SUM(H51:H52),1)</f>
        <v>269.5</v>
      </c>
      <c r="I53" s="184"/>
      <c r="J53" s="183">
        <f>ROUND(SUM(J51:J52),1)</f>
        <v>6531</v>
      </c>
      <c r="K53" s="184"/>
      <c r="L53" s="183">
        <f>ROUND(SUM(L51:L52),1)</f>
        <v>-1248.8</v>
      </c>
      <c r="M53" s="184"/>
      <c r="N53" s="183">
        <f>ROUND(SUM(N51:N52),1)</f>
        <v>-13212.1</v>
      </c>
      <c r="O53" s="186"/>
      <c r="P53" s="202"/>
      <c r="Q53" s="187"/>
      <c r="R53" s="183">
        <f>ROUND(SUM(R51:R52),1)</f>
        <v>-164.8</v>
      </c>
      <c r="S53" s="186"/>
      <c r="T53" s="183">
        <f>ROUND(SUM(T51:T52),1)</f>
        <v>841.3</v>
      </c>
      <c r="U53" s="204"/>
      <c r="V53" s="204"/>
      <c r="W53" s="2049"/>
      <c r="X53" s="204"/>
      <c r="Y53" s="2055">
        <f>ROUND(SUM(+Y51+Y52),1)</f>
        <v>-69.8</v>
      </c>
      <c r="Z53" s="200"/>
      <c r="AA53" s="2055">
        <f>ROUND(SUM(+AA51+AA52),1)</f>
        <v>-477</v>
      </c>
      <c r="AB53" s="205"/>
      <c r="AC53" s="1837"/>
      <c r="AD53" s="2055">
        <f>ROUND(SUM(+AD51-AD52),1)</f>
        <v>1318.3</v>
      </c>
      <c r="AE53" s="71"/>
      <c r="AF53" s="2570">
        <f>-ROUND(SUM(AD53/AA53),3)</f>
        <v>2.7639999999999998</v>
      </c>
    </row>
    <row r="54" spans="1:32" ht="15.9" customHeight="1">
      <c r="A54" s="157"/>
      <c r="B54" s="157"/>
      <c r="C54" s="157"/>
      <c r="D54" s="1076"/>
      <c r="E54" s="171"/>
      <c r="F54" s="172"/>
      <c r="G54" s="171"/>
      <c r="H54" s="1076"/>
      <c r="I54" s="171"/>
      <c r="J54" s="172"/>
      <c r="K54" s="171"/>
      <c r="L54" s="1076"/>
      <c r="M54" s="171"/>
      <c r="N54" s="172"/>
      <c r="O54" s="172"/>
      <c r="P54" s="1785"/>
      <c r="Q54" s="173"/>
      <c r="R54" s="172"/>
      <c r="S54" s="172"/>
      <c r="T54" s="172"/>
      <c r="U54" s="197"/>
      <c r="V54" s="197"/>
      <c r="W54" s="1790"/>
      <c r="X54" s="197"/>
      <c r="Y54" s="197"/>
      <c r="Z54" s="196"/>
      <c r="AA54" s="197"/>
      <c r="AB54" s="165"/>
      <c r="AC54" s="1835"/>
      <c r="AD54" s="54"/>
      <c r="AE54" s="2"/>
      <c r="AF54" s="19"/>
    </row>
    <row r="55" spans="1:32" ht="18" customHeight="1">
      <c r="A55" s="155" t="s">
        <v>44</v>
      </c>
      <c r="B55" s="156"/>
      <c r="C55" s="157"/>
      <c r="D55" s="1075"/>
      <c r="E55" s="171"/>
      <c r="F55" s="171"/>
      <c r="G55" s="171"/>
      <c r="H55" s="1075"/>
      <c r="I55" s="171"/>
      <c r="J55" s="171"/>
      <c r="K55" s="171"/>
      <c r="L55" s="1075"/>
      <c r="M55" s="171"/>
      <c r="N55" s="171"/>
      <c r="O55" s="172"/>
      <c r="P55" s="1785"/>
      <c r="Q55" s="173"/>
      <c r="R55" s="171"/>
      <c r="S55" s="171"/>
      <c r="T55" s="171"/>
      <c r="U55" s="196"/>
      <c r="V55" s="196"/>
      <c r="W55" s="1790"/>
      <c r="X55" s="196"/>
      <c r="Y55" s="196"/>
      <c r="Z55" s="196"/>
      <c r="AA55" s="196"/>
      <c r="AB55" s="165"/>
      <c r="AC55" s="1835"/>
      <c r="AD55" s="53"/>
      <c r="AE55" s="2"/>
      <c r="AF55" s="109"/>
    </row>
    <row r="56" spans="1:32" ht="18" customHeight="1">
      <c r="A56" s="155" t="s">
        <v>60</v>
      </c>
      <c r="B56" s="155"/>
      <c r="C56" s="177"/>
      <c r="D56" s="1080"/>
      <c r="E56" s="171"/>
      <c r="F56" s="171"/>
      <c r="G56" s="171"/>
      <c r="H56" s="1075"/>
      <c r="I56" s="171"/>
      <c r="J56" s="171"/>
      <c r="K56" s="171"/>
      <c r="L56" s="1075"/>
      <c r="M56" s="171"/>
      <c r="N56" s="171"/>
      <c r="O56" s="172"/>
      <c r="P56" s="1785"/>
      <c r="Q56" s="173"/>
      <c r="R56" s="171"/>
      <c r="S56" s="171"/>
      <c r="T56" s="171"/>
      <c r="U56" s="196"/>
      <c r="V56" s="196"/>
      <c r="W56" s="1790"/>
      <c r="X56" s="196"/>
      <c r="Y56" s="196" t="s">
        <v>15</v>
      </c>
      <c r="Z56" s="196"/>
      <c r="AA56" s="196"/>
      <c r="AB56" s="165"/>
      <c r="AC56" s="1835"/>
      <c r="AD56" s="53"/>
      <c r="AE56" s="2"/>
      <c r="AF56" s="19"/>
    </row>
    <row r="57" spans="1:32" ht="18" customHeight="1">
      <c r="A57" s="155" t="s">
        <v>61</v>
      </c>
      <c r="B57" s="155"/>
      <c r="C57" s="177"/>
      <c r="D57" s="200">
        <f>ROUND(SUM(D48+D53),1)</f>
        <v>4718.8999999999996</v>
      </c>
      <c r="E57" s="200"/>
      <c r="F57" s="200">
        <f>ROUND(SUM(F48)+SUM(F53),1)</f>
        <v>7115.5</v>
      </c>
      <c r="G57" s="200"/>
      <c r="H57" s="200">
        <f>ROUND(SUM(H48+H53),1)</f>
        <v>133.9</v>
      </c>
      <c r="I57" s="200"/>
      <c r="J57" s="200">
        <f>ROUND(SUM(J48)+SUM(J53),1)</f>
        <v>11.1</v>
      </c>
      <c r="K57" s="200"/>
      <c r="L57" s="200">
        <f>ROUND(SUM(L48+L53),1)</f>
        <v>2217</v>
      </c>
      <c r="M57" s="201"/>
      <c r="N57" s="201">
        <f>ROUND(SUM(N48+N53),1)</f>
        <v>2809.3</v>
      </c>
      <c r="O57" s="202"/>
      <c r="P57" s="202"/>
      <c r="Q57" s="203"/>
      <c r="R57" s="201">
        <f>ROUND(SUM(+R48+R53),1)</f>
        <v>7069.8</v>
      </c>
      <c r="S57" s="201"/>
      <c r="T57" s="201">
        <f>ROUND(SUM(T48+T53),1)</f>
        <v>9935.9</v>
      </c>
      <c r="U57" s="201"/>
      <c r="V57" s="201"/>
      <c r="W57" s="1791"/>
      <c r="X57" s="201"/>
      <c r="Y57" s="200">
        <f>ROUND(SUM(Y48)+SUM(Y53),1)</f>
        <v>3878</v>
      </c>
      <c r="Z57" s="200"/>
      <c r="AA57" s="200">
        <f>ROUND(SUM(AA48)+SUM(AA53),1)</f>
        <v>4562.6000000000004</v>
      </c>
      <c r="AB57" s="205"/>
      <c r="AC57" s="1837"/>
      <c r="AD57" s="2635">
        <f>ROUND(SUM(+AD48+AD53),1)</f>
        <v>5373.3</v>
      </c>
      <c r="AE57" s="71"/>
      <c r="AF57" s="2661">
        <f>ROUND(SUM(AD57/AA57),3)</f>
        <v>1.1779999999999999</v>
      </c>
    </row>
    <row r="58" spans="1:32" ht="15.9" customHeight="1">
      <c r="A58" s="156"/>
      <c r="B58" s="156"/>
      <c r="C58" s="157"/>
      <c r="D58" s="1075"/>
      <c r="E58" s="171"/>
      <c r="F58" s="172"/>
      <c r="G58" s="171"/>
      <c r="H58" s="1075"/>
      <c r="I58" s="171"/>
      <c r="J58" s="171"/>
      <c r="K58" s="171"/>
      <c r="L58" s="1080"/>
      <c r="M58" s="196"/>
      <c r="N58" s="196"/>
      <c r="O58" s="197"/>
      <c r="P58" s="1785"/>
      <c r="Q58" s="198"/>
      <c r="R58" s="196"/>
      <c r="S58" s="196"/>
      <c r="T58" s="196"/>
      <c r="U58" s="196"/>
      <c r="V58" s="196"/>
      <c r="W58" s="1790"/>
      <c r="X58" s="196"/>
      <c r="Y58" s="196"/>
      <c r="Z58" s="196"/>
      <c r="AA58" s="196"/>
      <c r="AB58" s="165"/>
      <c r="AC58" s="1835"/>
      <c r="AD58" s="53"/>
      <c r="AE58" s="2"/>
      <c r="AF58" s="19"/>
    </row>
    <row r="59" spans="1:32" ht="18" customHeight="1">
      <c r="A59" s="206" t="s">
        <v>53</v>
      </c>
      <c r="B59" s="182"/>
      <c r="C59" s="157"/>
      <c r="D59" s="195">
        <f>+'Exhibit A'!D57</f>
        <v>10145.200000000001</v>
      </c>
      <c r="E59" s="184"/>
      <c r="F59" s="195">
        <f>+'Exhibit A'!F57</f>
        <v>7748.6</v>
      </c>
      <c r="G59" s="184"/>
      <c r="H59" s="195">
        <f>+'Exhibit G State'!V13</f>
        <v>3609.5</v>
      </c>
      <c r="I59" s="184"/>
      <c r="J59" s="195">
        <v>3732.3</v>
      </c>
      <c r="K59" s="184"/>
      <c r="L59" s="195">
        <f>+'Exhibit A'!L57</f>
        <v>736.7</v>
      </c>
      <c r="M59" s="184"/>
      <c r="N59" s="195">
        <f>+'Exhibit A'!N57</f>
        <v>144.4</v>
      </c>
      <c r="O59" s="186"/>
      <c r="P59" s="202"/>
      <c r="Q59" s="187"/>
      <c r="R59" s="195">
        <f>ROUND(SUM(D59+H59+L59),1)</f>
        <v>14491.4</v>
      </c>
      <c r="S59" s="186"/>
      <c r="T59" s="195">
        <f>ROUND(SUM(F59+J59+N59),1)</f>
        <v>11625.3</v>
      </c>
      <c r="U59" s="204"/>
      <c r="V59" s="204"/>
      <c r="W59" s="2049"/>
      <c r="X59" s="204"/>
      <c r="Y59" s="1947">
        <v>13325.8</v>
      </c>
      <c r="Z59" s="200" t="s">
        <v>15</v>
      </c>
      <c r="AA59" s="1947">
        <v>12641.2</v>
      </c>
      <c r="AB59" s="205"/>
      <c r="AC59" s="1837"/>
      <c r="AD59" s="93">
        <f>ROUND(SUM(T59-AA59),1)</f>
        <v>-1015.9</v>
      </c>
      <c r="AE59" s="71"/>
      <c r="AF59" s="95">
        <f>ROUND(+AD59/AA59,3)</f>
        <v>-0.08</v>
      </c>
    </row>
    <row r="60" spans="1:32" ht="15.9" customHeight="1">
      <c r="A60" s="177"/>
      <c r="B60" s="157"/>
      <c r="C60" s="157"/>
      <c r="D60" s="1081"/>
      <c r="E60" s="157"/>
      <c r="F60" s="158"/>
      <c r="G60" s="157"/>
      <c r="H60" s="1073"/>
      <c r="I60" s="157"/>
      <c r="J60" s="158"/>
      <c r="K60" s="157"/>
      <c r="L60" s="1081"/>
      <c r="M60" s="157"/>
      <c r="N60" s="158"/>
      <c r="O60" s="158"/>
      <c r="P60" s="1783"/>
      <c r="Q60" s="164"/>
      <c r="R60" s="158"/>
      <c r="S60" s="158"/>
      <c r="T60" s="158"/>
      <c r="U60" s="165"/>
      <c r="V60" s="165"/>
      <c r="W60" s="2044"/>
      <c r="X60" s="165"/>
      <c r="Y60" s="165"/>
      <c r="Z60" s="177"/>
      <c r="AA60" s="165"/>
      <c r="AB60" s="165"/>
      <c r="AC60" s="1835"/>
      <c r="AD60" s="54"/>
      <c r="AE60" s="2"/>
      <c r="AF60" s="19"/>
    </row>
    <row r="61" spans="1:32" ht="18" customHeight="1" thickBot="1">
      <c r="A61" s="207" t="s">
        <v>62</v>
      </c>
      <c r="B61" s="208" t="s">
        <v>15</v>
      </c>
      <c r="C61" s="157"/>
      <c r="D61" s="209">
        <f>ROUND(SUM(D57+D59),1)</f>
        <v>14864.1</v>
      </c>
      <c r="E61" s="210"/>
      <c r="F61" s="209">
        <f>ROUND(SUM(F57+F59),1)</f>
        <v>14864.1</v>
      </c>
      <c r="G61" s="210"/>
      <c r="H61" s="209">
        <f>ROUND(SUM(H57+H59),1)</f>
        <v>3743.4</v>
      </c>
      <c r="I61" s="210"/>
      <c r="J61" s="209">
        <f>ROUND(SUM(J57)+SUM(J59),1)</f>
        <v>3743.4</v>
      </c>
      <c r="K61" s="210"/>
      <c r="L61" s="209">
        <f>ROUND(SUM(L57+L59),1)</f>
        <v>2953.7</v>
      </c>
      <c r="M61" s="212"/>
      <c r="N61" s="211">
        <f>ROUND(SUM(N57+N59),1)</f>
        <v>2953.7</v>
      </c>
      <c r="O61" s="213"/>
      <c r="P61" s="213"/>
      <c r="Q61" s="2194"/>
      <c r="R61" s="211">
        <f>ROUND(SUM(R57+R59),1)</f>
        <v>21561.200000000001</v>
      </c>
      <c r="S61" s="213"/>
      <c r="T61" s="211">
        <f>ROUND(SUM(T57+T59),1)</f>
        <v>21561.200000000001</v>
      </c>
      <c r="U61" s="213"/>
      <c r="V61" s="213"/>
      <c r="W61" s="1792"/>
      <c r="X61" s="213"/>
      <c r="Y61" s="209">
        <f>ROUND(SUM(Y57+Y59),1)</f>
        <v>17203.8</v>
      </c>
      <c r="Z61" s="210"/>
      <c r="AA61" s="209">
        <f>ROUND(SUM(AA57+AA59),1)</f>
        <v>17203.8</v>
      </c>
      <c r="AB61" s="214"/>
      <c r="AC61" s="1838"/>
      <c r="AD61" s="119">
        <f>ROUND(SUM(AD57+AD59),1)</f>
        <v>4357.3999999999996</v>
      </c>
      <c r="AE61" s="71"/>
      <c r="AF61" s="127">
        <f>ROUND(+AD61/AA61,3)</f>
        <v>0.253</v>
      </c>
    </row>
    <row r="62" spans="1:32" ht="15.6" thickTop="1">
      <c r="A62" s="215"/>
      <c r="B62" s="215"/>
      <c r="C62" s="215"/>
      <c r="D62" s="216"/>
      <c r="E62" s="216"/>
      <c r="F62" s="216"/>
      <c r="G62" s="216"/>
      <c r="H62" s="1131"/>
      <c r="I62" s="216"/>
      <c r="J62" s="216"/>
      <c r="K62" s="216"/>
      <c r="L62" s="216"/>
      <c r="M62" s="216"/>
      <c r="N62" s="216"/>
      <c r="O62" s="216"/>
      <c r="P62" s="2195"/>
      <c r="Q62" s="216"/>
      <c r="R62" s="216"/>
      <c r="S62" s="216"/>
      <c r="T62" s="216"/>
      <c r="U62" s="1834"/>
      <c r="V62" s="1834"/>
      <c r="W62" s="1834"/>
      <c r="X62" s="1834"/>
      <c r="Y62" s="1834"/>
      <c r="Z62" s="1834"/>
      <c r="AA62" s="1834"/>
      <c r="AB62" s="1834"/>
      <c r="AC62" s="1834"/>
      <c r="AD62" s="133"/>
      <c r="AE62" s="2"/>
      <c r="AF62" s="134"/>
    </row>
    <row r="63" spans="1:32">
      <c r="A63" s="154"/>
      <c r="B63" s="154"/>
      <c r="C63" s="154"/>
      <c r="D63" s="154"/>
      <c r="E63" s="154"/>
      <c r="F63" s="154"/>
      <c r="G63" s="154"/>
      <c r="H63" s="1132"/>
      <c r="I63" s="154"/>
      <c r="J63" s="154"/>
      <c r="K63" s="154"/>
      <c r="L63" s="154"/>
      <c r="M63" s="154"/>
      <c r="N63" s="154"/>
      <c r="O63" s="154"/>
      <c r="P63" s="154"/>
      <c r="Q63" s="154"/>
      <c r="R63" s="154"/>
      <c r="S63" s="154"/>
      <c r="T63" s="154"/>
      <c r="U63" s="1778"/>
      <c r="V63" s="1778"/>
      <c r="W63" s="1778"/>
      <c r="X63" s="1778"/>
      <c r="Y63" s="1778"/>
      <c r="Z63" s="1778"/>
      <c r="AA63" s="1778"/>
      <c r="AB63" s="1778"/>
    </row>
    <row r="64" spans="1:32" ht="18" customHeight="1">
      <c r="A64" s="1082" t="s">
        <v>1303</v>
      </c>
      <c r="B64" s="154"/>
      <c r="C64" s="154"/>
      <c r="D64" s="154"/>
      <c r="E64" s="154"/>
      <c r="F64" s="154"/>
      <c r="G64" s="154"/>
      <c r="H64" s="1132"/>
      <c r="I64" s="154"/>
      <c r="J64" s="154"/>
      <c r="K64" s="154"/>
      <c r="L64" s="154"/>
      <c r="M64" s="154"/>
      <c r="N64" s="154"/>
      <c r="O64" s="154"/>
      <c r="P64" s="154"/>
      <c r="Q64" s="154"/>
      <c r="R64" s="154"/>
      <c r="S64" s="154"/>
      <c r="T64" s="154"/>
      <c r="U64" s="1778"/>
      <c r="V64" s="1778"/>
      <c r="W64" s="1778"/>
      <c r="X64" s="1778"/>
      <c r="Y64" s="1778"/>
      <c r="Z64" s="1778"/>
      <c r="AA64" s="1778"/>
      <c r="AB64" s="1778"/>
    </row>
    <row r="65" spans="1:28" ht="18" customHeight="1">
      <c r="A65" s="2196" t="s">
        <v>1302</v>
      </c>
      <c r="B65" s="154"/>
      <c r="C65" s="154"/>
      <c r="D65" s="154"/>
      <c r="E65" s="154"/>
      <c r="F65" s="154"/>
      <c r="G65" s="154"/>
      <c r="H65" s="1132"/>
      <c r="I65" s="154"/>
      <c r="J65" s="154"/>
      <c r="K65" s="154"/>
      <c r="L65" s="154"/>
      <c r="M65" s="154"/>
      <c r="N65" s="154"/>
      <c r="O65" s="154"/>
      <c r="P65" s="154"/>
      <c r="Q65" s="154"/>
      <c r="R65" s="154"/>
      <c r="S65" s="154"/>
      <c r="T65" s="154"/>
      <c r="U65" s="1778"/>
      <c r="V65" s="1778"/>
      <c r="W65" s="1778"/>
      <c r="X65" s="1778"/>
      <c r="Y65" s="1778"/>
      <c r="Z65" s="1778"/>
      <c r="AA65" s="1778"/>
      <c r="AB65" s="1778"/>
    </row>
    <row r="66" spans="1:28" ht="15">
      <c r="A66" s="1083"/>
      <c r="B66" s="154"/>
      <c r="C66" s="154"/>
      <c r="D66" s="154"/>
      <c r="E66" s="154"/>
      <c r="F66" s="154"/>
      <c r="G66" s="154"/>
      <c r="H66" s="1132"/>
      <c r="I66" s="154"/>
      <c r="J66" s="154"/>
      <c r="K66" s="154"/>
      <c r="L66" s="154"/>
      <c r="M66" s="154"/>
      <c r="N66" s="154"/>
      <c r="O66" s="154"/>
      <c r="P66" s="154"/>
      <c r="Q66" s="154"/>
      <c r="R66" s="154"/>
      <c r="S66" s="154"/>
      <c r="T66" s="154"/>
      <c r="U66" s="1778"/>
      <c r="V66" s="1778"/>
      <c r="W66" s="1778"/>
      <c r="X66" s="1778"/>
      <c r="Y66" s="1778"/>
      <c r="Z66" s="1778"/>
      <c r="AA66" s="1778"/>
      <c r="AB66" s="1778"/>
    </row>
    <row r="67" spans="1:28" ht="15.6">
      <c r="A67" s="218"/>
      <c r="B67" s="219"/>
      <c r="C67" s="199"/>
      <c r="D67" s="220"/>
      <c r="E67" s="220"/>
      <c r="F67" s="220"/>
      <c r="G67" s="220"/>
      <c r="H67" s="1133"/>
      <c r="I67" s="220"/>
      <c r="J67" s="220"/>
      <c r="K67" s="220"/>
      <c r="L67" s="220"/>
      <c r="M67" s="154"/>
      <c r="N67" s="154"/>
      <c r="O67" s="154"/>
      <c r="P67" s="154"/>
      <c r="Q67" s="154"/>
      <c r="R67" s="154"/>
      <c r="S67" s="154"/>
      <c r="T67" s="154"/>
      <c r="U67" s="1778"/>
      <c r="V67" s="1778"/>
      <c r="W67" s="1778"/>
      <c r="X67" s="1778"/>
      <c r="Y67" s="1778"/>
      <c r="Z67" s="1778"/>
      <c r="AA67" s="1778"/>
      <c r="AB67" s="1778"/>
    </row>
    <row r="68" spans="1:28" ht="15">
      <c r="A68" s="161"/>
      <c r="B68" s="161"/>
      <c r="C68" s="161"/>
      <c r="D68" s="1082"/>
      <c r="E68" s="161"/>
      <c r="F68" s="161"/>
      <c r="G68" s="161"/>
      <c r="H68" s="1134"/>
      <c r="I68" s="161"/>
      <c r="J68" s="161"/>
      <c r="K68" s="161"/>
      <c r="L68" s="1082"/>
      <c r="M68" s="154"/>
      <c r="N68" s="154"/>
      <c r="O68" s="154"/>
      <c r="P68" s="154"/>
      <c r="Q68" s="154"/>
      <c r="R68" s="154"/>
      <c r="S68" s="154"/>
      <c r="T68" s="154"/>
      <c r="U68" s="1778"/>
      <c r="V68" s="1778"/>
      <c r="W68" s="1778"/>
      <c r="X68" s="1778"/>
      <c r="Y68" s="1778"/>
      <c r="Z68" s="1778"/>
      <c r="AA68" s="1778"/>
      <c r="AB68" s="1778"/>
    </row>
    <row r="69" spans="1:28" ht="15">
      <c r="A69" s="161"/>
      <c r="B69" s="161"/>
      <c r="C69" s="161"/>
      <c r="D69" s="1082"/>
      <c r="E69" s="161"/>
      <c r="F69" s="161"/>
      <c r="G69" s="161"/>
      <c r="H69" s="1134"/>
      <c r="I69" s="161"/>
      <c r="J69" s="161"/>
      <c r="K69" s="161"/>
      <c r="L69" s="1082"/>
      <c r="M69" s="154"/>
      <c r="N69" s="154"/>
      <c r="O69" s="154"/>
      <c r="P69" s="154"/>
      <c r="Q69" s="154"/>
      <c r="R69" s="154"/>
      <c r="S69" s="154"/>
      <c r="T69" s="154"/>
      <c r="U69" s="1778"/>
      <c r="V69" s="1778"/>
      <c r="W69" s="1778"/>
      <c r="X69" s="1778"/>
      <c r="Y69" s="1778"/>
      <c r="Z69" s="1778"/>
      <c r="AA69" s="1778"/>
      <c r="AB69" s="1778"/>
    </row>
    <row r="70" spans="1:28" ht="15">
      <c r="A70" s="161"/>
      <c r="B70" s="161"/>
      <c r="C70" s="161"/>
      <c r="D70" s="1082"/>
      <c r="E70" s="161"/>
      <c r="F70" s="161"/>
      <c r="G70" s="161"/>
      <c r="H70" s="1134"/>
      <c r="I70" s="161"/>
      <c r="J70" s="161"/>
      <c r="K70" s="161"/>
      <c r="L70" s="1082"/>
      <c r="M70" s="154"/>
      <c r="N70" s="154"/>
      <c r="O70" s="154"/>
      <c r="P70" s="154"/>
      <c r="Q70" s="154"/>
      <c r="R70" s="154"/>
      <c r="S70" s="154"/>
      <c r="T70" s="154"/>
      <c r="U70" s="1778"/>
      <c r="V70" s="1778"/>
      <c r="W70" s="1778"/>
      <c r="X70" s="1778"/>
      <c r="Y70" s="1778"/>
      <c r="Z70" s="1778"/>
      <c r="AA70" s="1778"/>
      <c r="AB70" s="177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5" customWidth="1"/>
    <col min="2" max="2" width="2.36328125" style="1225" customWidth="1"/>
    <col min="3" max="3" width="19" style="1371" customWidth="1"/>
    <col min="4" max="4" width="1.6328125" style="1372" customWidth="1"/>
    <col min="5" max="5" width="16.453125" style="1372" customWidth="1"/>
    <col min="6" max="6" width="1.54296875" style="1372" customWidth="1"/>
    <col min="7" max="7" width="16.54296875" style="1372" customWidth="1"/>
    <col min="8" max="8" width="1.54296875" style="1372" customWidth="1"/>
    <col min="9" max="9" width="16.54296875" style="1372" customWidth="1"/>
    <col min="10" max="10" width="1.54296875" style="1372" customWidth="1"/>
    <col min="11" max="11" width="20.1796875" style="1372" customWidth="1"/>
    <col min="12" max="12" width="9.08984375" style="1225" bestFit="1" customWidth="1"/>
    <col min="13" max="13" width="2.54296875" style="1225" customWidth="1"/>
    <col min="14" max="15" width="9" style="1225" bestFit="1" customWidth="1"/>
    <col min="16" max="16384" width="8.90625" style="1225"/>
  </cols>
  <sheetData>
    <row r="1" spans="1:14">
      <c r="A1" s="1124" t="s">
        <v>1066</v>
      </c>
    </row>
    <row r="2" spans="1:14">
      <c r="A2" s="1581"/>
    </row>
    <row r="3" spans="1:14" ht="17.399999999999999">
      <c r="A3" s="1499" t="s">
        <v>0</v>
      </c>
      <c r="B3" s="790"/>
      <c r="C3" s="1440"/>
      <c r="D3" s="1440"/>
      <c r="E3" s="1440"/>
      <c r="F3" s="1440"/>
      <c r="G3" s="1440"/>
      <c r="H3" s="1440"/>
      <c r="I3" s="1440"/>
      <c r="J3" s="1440"/>
      <c r="K3" s="3079" t="s">
        <v>235</v>
      </c>
      <c r="L3" s="790"/>
    </row>
    <row r="4" spans="1:14" ht="17.399999999999999">
      <c r="A4" s="1499" t="s">
        <v>234</v>
      </c>
      <c r="B4" s="790"/>
      <c r="C4" s="1440" t="s">
        <v>15</v>
      </c>
      <c r="D4" s="1440"/>
      <c r="E4" s="1440"/>
      <c r="F4" s="1440"/>
      <c r="G4" s="1440"/>
      <c r="H4" s="1440"/>
      <c r="I4" s="1440"/>
      <c r="J4" s="1440"/>
      <c r="L4" s="791"/>
    </row>
    <row r="5" spans="1:14" ht="17.399999999999999">
      <c r="A5" s="1499" t="s">
        <v>236</v>
      </c>
      <c r="B5" s="790"/>
      <c r="C5" s="1440"/>
      <c r="D5" s="1440"/>
      <c r="E5" s="1440"/>
      <c r="F5" s="1440"/>
      <c r="G5" s="1440"/>
      <c r="H5" s="1440"/>
      <c r="I5" s="1440"/>
      <c r="J5" s="1440"/>
      <c r="K5" s="3080"/>
      <c r="L5" s="792"/>
    </row>
    <row r="6" spans="1:14" ht="17.399999999999999">
      <c r="A6" s="1500" t="s">
        <v>237</v>
      </c>
      <c r="B6" s="790"/>
      <c r="C6" s="1440"/>
      <c r="D6" s="1440"/>
      <c r="E6" s="1440"/>
      <c r="F6" s="1440"/>
      <c r="G6" s="1440"/>
      <c r="H6" s="1440"/>
      <c r="I6" s="1440"/>
      <c r="J6" s="1440"/>
      <c r="K6" s="804"/>
      <c r="L6" s="793"/>
    </row>
    <row r="7" spans="1:14" ht="17.399999999999999">
      <c r="A7" s="1500" t="s">
        <v>1439</v>
      </c>
      <c r="B7" s="790"/>
      <c r="C7" s="1440"/>
      <c r="D7" s="1440"/>
      <c r="E7" s="1440"/>
      <c r="F7" s="1440"/>
      <c r="G7" s="1440"/>
      <c r="H7" s="1440"/>
      <c r="I7" s="1440"/>
      <c r="J7" s="1440"/>
      <c r="K7" s="804"/>
      <c r="L7" s="793"/>
    </row>
    <row r="8" spans="1:14" ht="17.399999999999999">
      <c r="A8" s="1500" t="s">
        <v>1558</v>
      </c>
      <c r="B8" s="790"/>
      <c r="C8" s="1440"/>
      <c r="D8" s="1440"/>
      <c r="E8" s="1440" t="s">
        <v>15</v>
      </c>
      <c r="F8" s="1440"/>
      <c r="G8" s="1440"/>
      <c r="H8" s="1440"/>
      <c r="I8" s="1440"/>
      <c r="J8" s="1440"/>
      <c r="K8" s="1440"/>
      <c r="L8" s="790"/>
    </row>
    <row r="9" spans="1:14" ht="17.399999999999999">
      <c r="A9" s="1499" t="s">
        <v>960</v>
      </c>
      <c r="B9" s="1349" t="s">
        <v>238</v>
      </c>
      <c r="C9" s="1354"/>
      <c r="D9" s="1354"/>
      <c r="E9" s="1354"/>
      <c r="F9" s="1354"/>
      <c r="G9" s="1354"/>
      <c r="H9" s="1354"/>
      <c r="I9" s="1354"/>
      <c r="J9" s="1354"/>
      <c r="K9" s="1354"/>
      <c r="L9" s="1350"/>
    </row>
    <row r="10" spans="1:14">
      <c r="A10" s="1350"/>
      <c r="B10" s="1350"/>
      <c r="C10" s="800" t="s">
        <v>239</v>
      </c>
      <c r="D10" s="805"/>
      <c r="E10" s="805"/>
      <c r="F10" s="805"/>
      <c r="G10" s="812"/>
      <c r="H10" s="805"/>
      <c r="I10" s="3081" t="s">
        <v>240</v>
      </c>
      <c r="J10" s="805"/>
      <c r="K10" s="3081" t="s">
        <v>239</v>
      </c>
      <c r="L10" s="795"/>
    </row>
    <row r="11" spans="1:14">
      <c r="A11" s="1350"/>
      <c r="B11" s="1350"/>
      <c r="C11" s="3164" t="s">
        <v>1559</v>
      </c>
      <c r="D11" s="805"/>
      <c r="E11" s="3082" t="s">
        <v>241</v>
      </c>
      <c r="F11" s="812"/>
      <c r="G11" s="3083" t="s">
        <v>242</v>
      </c>
      <c r="H11" s="812"/>
      <c r="I11" s="3083" t="s">
        <v>243</v>
      </c>
      <c r="J11" s="812"/>
      <c r="K11" s="3084" t="s">
        <v>1560</v>
      </c>
      <c r="L11" s="796"/>
    </row>
    <row r="12" spans="1:14">
      <c r="A12" s="1350"/>
      <c r="B12" s="1350"/>
      <c r="C12" s="3165"/>
      <c r="D12" s="805"/>
      <c r="E12" s="3081"/>
      <c r="F12" s="812"/>
      <c r="G12" s="3081"/>
      <c r="H12" s="812"/>
      <c r="I12" s="3081"/>
      <c r="J12" s="812"/>
      <c r="K12" s="3085"/>
      <c r="L12" s="796"/>
    </row>
    <row r="13" spans="1:14">
      <c r="A13" s="797" t="s">
        <v>149</v>
      </c>
      <c r="B13" s="1350"/>
      <c r="C13" s="1362"/>
      <c r="D13" s="1354"/>
      <c r="E13" s="1348"/>
      <c r="F13" s="1354"/>
      <c r="G13" s="1347"/>
      <c r="H13" s="1354"/>
      <c r="I13" s="1347"/>
      <c r="J13" s="1354"/>
      <c r="K13" s="1362"/>
      <c r="L13" s="1351"/>
    </row>
    <row r="14" spans="1:14">
      <c r="A14" s="1354" t="s">
        <v>244</v>
      </c>
      <c r="B14" s="1352"/>
      <c r="C14" s="1355">
        <v>0</v>
      </c>
      <c r="D14" s="1348"/>
      <c r="E14" s="3469">
        <v>0.255</v>
      </c>
      <c r="F14" s="2056"/>
      <c r="G14" s="3469">
        <v>2089.578</v>
      </c>
      <c r="H14" s="2056"/>
      <c r="I14" s="3469">
        <v>2089.3229999999999</v>
      </c>
      <c r="J14" s="1348"/>
      <c r="K14" s="1468">
        <f>ROUND(SUM(C14)+SUM(E14)-SUM(G14)+SUM(I14),3)</f>
        <v>0</v>
      </c>
      <c r="L14" s="1356"/>
    </row>
    <row r="15" spans="1:14">
      <c r="A15" s="1354" t="s">
        <v>245</v>
      </c>
      <c r="B15" s="1354"/>
      <c r="C15" s="1364">
        <v>10096.395</v>
      </c>
      <c r="D15" s="1109"/>
      <c r="E15" s="2056">
        <v>6526.6170000000002</v>
      </c>
      <c r="F15" s="2057"/>
      <c r="G15" s="2056">
        <v>532.24199999999996</v>
      </c>
      <c r="H15" s="2057"/>
      <c r="I15" s="2056">
        <v>-1274.855</v>
      </c>
      <c r="J15" s="1354"/>
      <c r="K15" s="1109">
        <f>ROUND(SUM(C15)+SUM(E15)-SUM(G15)+SUM(I15),3)</f>
        <v>14815.915000000001</v>
      </c>
      <c r="L15" s="1357"/>
      <c r="M15" s="1359"/>
      <c r="N15" s="1359"/>
    </row>
    <row r="16" spans="1:14">
      <c r="A16" s="1360" t="s">
        <v>246</v>
      </c>
      <c r="B16" s="1350"/>
      <c r="C16" s="1361">
        <v>0</v>
      </c>
      <c r="D16" s="1109"/>
      <c r="E16" s="2061">
        <v>0</v>
      </c>
      <c r="F16" s="2059"/>
      <c r="G16" s="2061">
        <v>0</v>
      </c>
      <c r="H16" s="2059"/>
      <c r="I16" s="2061">
        <v>0</v>
      </c>
      <c r="J16" s="1109"/>
      <c r="K16" s="1109">
        <f t="shared" ref="K16:K22" si="0">ROUND(SUM(C16)+SUM(E16)-SUM(G16)+SUM(I16),3)</f>
        <v>0</v>
      </c>
      <c r="L16" s="1357"/>
      <c r="M16" s="1359"/>
      <c r="N16" s="1359"/>
    </row>
    <row r="17" spans="1:14">
      <c r="A17" s="1350" t="s">
        <v>247</v>
      </c>
      <c r="B17" s="1350"/>
      <c r="C17" s="1361">
        <v>0</v>
      </c>
      <c r="D17" s="1109"/>
      <c r="E17" s="2061">
        <v>0</v>
      </c>
      <c r="F17" s="2059"/>
      <c r="G17" s="2061">
        <v>0</v>
      </c>
      <c r="H17" s="2059"/>
      <c r="I17" s="2061">
        <v>0</v>
      </c>
      <c r="J17" s="1109"/>
      <c r="K17" s="1109">
        <f t="shared" si="0"/>
        <v>0</v>
      </c>
      <c r="L17" s="1357"/>
      <c r="M17" s="1359"/>
      <c r="N17" s="1359"/>
    </row>
    <row r="18" spans="1:14">
      <c r="A18" s="1350" t="s">
        <v>248</v>
      </c>
      <c r="B18" s="1350"/>
      <c r="C18" s="1361">
        <v>0</v>
      </c>
      <c r="D18" s="1109"/>
      <c r="E18" s="2061">
        <v>0</v>
      </c>
      <c r="F18" s="2059"/>
      <c r="G18" s="2061">
        <v>0</v>
      </c>
      <c r="H18" s="2059"/>
      <c r="I18" s="2061">
        <v>0</v>
      </c>
      <c r="J18" s="1109"/>
      <c r="K18" s="1109">
        <f t="shared" si="0"/>
        <v>0</v>
      </c>
      <c r="L18" s="1357"/>
      <c r="M18" s="1359"/>
      <c r="N18" s="1359"/>
    </row>
    <row r="19" spans="1:14">
      <c r="A19" s="1350" t="s">
        <v>249</v>
      </c>
      <c r="B19" s="1350"/>
      <c r="C19" s="1363">
        <v>48.758000000000003</v>
      </c>
      <c r="D19" s="1109"/>
      <c r="E19" s="2061">
        <v>0</v>
      </c>
      <c r="F19" s="2059"/>
      <c r="G19" s="2061">
        <v>0.61699999999999999</v>
      </c>
      <c r="H19" s="2059"/>
      <c r="I19" s="2061">
        <v>0</v>
      </c>
      <c r="J19" s="1109"/>
      <c r="K19" s="1109">
        <f t="shared" si="0"/>
        <v>48.140999999999998</v>
      </c>
      <c r="L19" s="1358"/>
      <c r="M19" s="1359"/>
      <c r="N19" s="1359"/>
    </row>
    <row r="20" spans="1:14">
      <c r="A20" s="1350" t="s">
        <v>250</v>
      </c>
      <c r="B20" s="1350"/>
      <c r="C20" s="1364">
        <v>0</v>
      </c>
      <c r="D20" s="1363"/>
      <c r="E20" s="2061">
        <v>0</v>
      </c>
      <c r="F20" s="3086"/>
      <c r="G20" s="2061">
        <v>0</v>
      </c>
      <c r="H20" s="3086"/>
      <c r="I20" s="2061">
        <v>0</v>
      </c>
      <c r="J20" s="1363"/>
      <c r="K20" s="1109">
        <f t="shared" si="0"/>
        <v>0</v>
      </c>
      <c r="L20" s="1357"/>
      <c r="M20" s="1359"/>
      <c r="N20" s="1359"/>
    </row>
    <row r="21" spans="1:14">
      <c r="A21" s="1360" t="s">
        <v>251</v>
      </c>
      <c r="B21" s="1351"/>
      <c r="C21" s="1364">
        <v>0</v>
      </c>
      <c r="D21" s="1363"/>
      <c r="E21" s="2061">
        <v>0</v>
      </c>
      <c r="F21" s="3086"/>
      <c r="G21" s="2061">
        <v>0</v>
      </c>
      <c r="H21" s="3086"/>
      <c r="I21" s="2061">
        <v>0</v>
      </c>
      <c r="J21" s="1363"/>
      <c r="K21" s="1109">
        <f t="shared" si="0"/>
        <v>0</v>
      </c>
      <c r="L21" s="1357"/>
      <c r="M21" s="1359"/>
      <c r="N21" s="1359"/>
    </row>
    <row r="22" spans="1:14">
      <c r="A22" s="1360" t="s">
        <v>252</v>
      </c>
      <c r="B22" s="1350"/>
      <c r="C22" s="1364">
        <v>0</v>
      </c>
      <c r="D22" s="1109"/>
      <c r="E22" s="2061">
        <v>359.82</v>
      </c>
      <c r="F22" s="2059"/>
      <c r="G22" s="2061">
        <v>359.82</v>
      </c>
      <c r="H22" s="2059"/>
      <c r="I22" s="2061">
        <v>0</v>
      </c>
      <c r="J22" s="1109"/>
      <c r="K22" s="1109">
        <f t="shared" si="0"/>
        <v>0</v>
      </c>
      <c r="L22" s="1357"/>
      <c r="M22" s="1359"/>
      <c r="N22" s="1359"/>
    </row>
    <row r="23" spans="1:14">
      <c r="A23" s="1361" t="s">
        <v>253</v>
      </c>
      <c r="B23" s="1350"/>
      <c r="C23" s="1364">
        <v>0</v>
      </c>
      <c r="D23" s="1109"/>
      <c r="E23" s="2061">
        <v>0</v>
      </c>
      <c r="F23" s="2059"/>
      <c r="G23" s="2061">
        <v>0</v>
      </c>
      <c r="H23" s="2059"/>
      <c r="I23" s="2061">
        <v>0</v>
      </c>
      <c r="J23" s="1109"/>
      <c r="K23" s="1364">
        <f>ROUND(SUM(C23)+SUM(E23)-SUM(G23)+SUM(I23),3)</f>
        <v>0</v>
      </c>
      <c r="L23" s="1357"/>
      <c r="M23" s="1359"/>
      <c r="N23" s="1359"/>
    </row>
    <row r="24" spans="1:14" ht="22.5" customHeight="1">
      <c r="A24" s="798" t="s">
        <v>254</v>
      </c>
      <c r="B24" s="1350"/>
      <c r="C24" s="799">
        <f>ROUND(SUM(C14:C23),3)</f>
        <v>10145.153</v>
      </c>
      <c r="D24" s="800"/>
      <c r="E24" s="799">
        <f>ROUND(SUM(E14:E23),3)</f>
        <v>6886.692</v>
      </c>
      <c r="F24" s="800"/>
      <c r="G24" s="799">
        <f>ROUND(SUM(G14:G23),3)</f>
        <v>2982.2570000000001</v>
      </c>
      <c r="H24" s="800"/>
      <c r="I24" s="799">
        <f>ROUND(SUM(I14:I23),3)</f>
        <v>814.46799999999996</v>
      </c>
      <c r="J24" s="800"/>
      <c r="K24" s="799">
        <f>ROUND(SUM(K14:K23),3)</f>
        <v>14864.056</v>
      </c>
      <c r="L24" s="1264"/>
      <c r="M24" s="1359"/>
      <c r="N24" s="1359"/>
    </row>
    <row r="25" spans="1:14" ht="8.25" customHeight="1">
      <c r="A25" s="798"/>
      <c r="B25" s="1350"/>
      <c r="C25" s="1347"/>
      <c r="D25" s="1109"/>
      <c r="E25" s="1347"/>
      <c r="F25" s="1109"/>
      <c r="G25" s="1347"/>
      <c r="H25" s="1109"/>
      <c r="I25" s="1347"/>
      <c r="J25" s="1109"/>
      <c r="K25" s="1347"/>
      <c r="L25" s="1353"/>
      <c r="M25" s="1359"/>
      <c r="N25" s="1359"/>
    </row>
    <row r="26" spans="1:14">
      <c r="A26" s="1361"/>
      <c r="B26" s="1354"/>
      <c r="C26" s="1362"/>
      <c r="D26" s="1354"/>
      <c r="E26" s="1362"/>
      <c r="F26" s="1265"/>
      <c r="G26" s="1362"/>
      <c r="H26" s="1265"/>
      <c r="I26" s="1362"/>
      <c r="J26" s="1354"/>
      <c r="K26" s="1363"/>
      <c r="L26" s="1363"/>
      <c r="M26" s="1359"/>
      <c r="N26" s="1359"/>
    </row>
    <row r="27" spans="1:14">
      <c r="A27" s="801" t="s">
        <v>967</v>
      </c>
      <c r="B27" s="1354"/>
      <c r="C27" s="1354"/>
      <c r="D27" s="1354"/>
      <c r="E27" s="1354"/>
      <c r="F27" s="1265"/>
      <c r="G27" s="1354"/>
      <c r="H27" s="1265"/>
      <c r="I27" s="1354"/>
      <c r="J27" s="1354"/>
      <c r="K27" s="1354"/>
      <c r="L27" s="1354"/>
      <c r="M27" s="1359"/>
      <c r="N27" s="1359"/>
    </row>
    <row r="28" spans="1:14" s="1372" customFormat="1">
      <c r="A28" s="1361" t="s">
        <v>255</v>
      </c>
      <c r="B28" s="1354"/>
      <c r="C28" s="2497">
        <v>2.3330000000000002</v>
      </c>
      <c r="D28" s="2889"/>
      <c r="E28" s="2061">
        <v>6.0000000000000001E-3</v>
      </c>
      <c r="F28" s="2061">
        <v>0</v>
      </c>
      <c r="G28" s="2061">
        <v>2E-3</v>
      </c>
      <c r="H28" s="2057"/>
      <c r="I28" s="2061">
        <v>0</v>
      </c>
      <c r="J28" s="1354"/>
      <c r="K28" s="2676">
        <f t="shared" ref="K28:K33" si="1">ROUND(SUM(C28)+SUM(E28)-SUM(G28)+SUM(I28),3)</f>
        <v>2.3370000000000002</v>
      </c>
      <c r="L28" s="1109"/>
      <c r="M28" s="1371"/>
      <c r="N28" s="1371"/>
    </row>
    <row r="29" spans="1:14">
      <c r="A29" s="1360" t="s">
        <v>256</v>
      </c>
      <c r="B29" s="1350"/>
      <c r="C29" s="2496">
        <v>61.417999999999999</v>
      </c>
      <c r="D29" s="2889"/>
      <c r="E29" s="2061">
        <v>0.69299999999999995</v>
      </c>
      <c r="F29" s="2061">
        <v>0</v>
      </c>
      <c r="G29" s="2061">
        <v>0.40500000000000003</v>
      </c>
      <c r="H29" s="2057"/>
      <c r="I29" s="2061">
        <v>0</v>
      </c>
      <c r="J29" s="1354"/>
      <c r="K29" s="2676">
        <f t="shared" si="1"/>
        <v>61.706000000000003</v>
      </c>
      <c r="L29" s="1109"/>
      <c r="M29" s="1359"/>
      <c r="N29" s="1359"/>
    </row>
    <row r="30" spans="1:14">
      <c r="A30" s="1350" t="s">
        <v>257</v>
      </c>
      <c r="B30" s="1349" t="s">
        <v>238</v>
      </c>
      <c r="C30" s="2496">
        <v>39.075000000000003</v>
      </c>
      <c r="D30" s="2889"/>
      <c r="E30" s="2061">
        <v>2.1720000000000002</v>
      </c>
      <c r="F30" s="2061">
        <v>0</v>
      </c>
      <c r="G30" s="2061">
        <v>4.7300000000000004</v>
      </c>
      <c r="H30" s="2057"/>
      <c r="I30" s="2061">
        <v>0</v>
      </c>
      <c r="J30" s="1354"/>
      <c r="K30" s="2676">
        <f t="shared" si="1"/>
        <v>36.517000000000003</v>
      </c>
      <c r="L30" s="1109"/>
      <c r="M30" s="1359"/>
      <c r="N30" s="1359"/>
    </row>
    <row r="31" spans="1:14">
      <c r="A31" s="1360" t="s">
        <v>258</v>
      </c>
      <c r="B31" s="1349"/>
      <c r="C31" s="2496">
        <v>2.1000000000000001E-2</v>
      </c>
      <c r="D31" s="2889"/>
      <c r="E31" s="2061">
        <v>0.01</v>
      </c>
      <c r="F31" s="2061">
        <v>0</v>
      </c>
      <c r="G31" s="2061">
        <v>1.7000000000000001E-2</v>
      </c>
      <c r="H31" s="2057"/>
      <c r="I31" s="2061">
        <v>-0.01</v>
      </c>
      <c r="J31" s="1354"/>
      <c r="K31" s="2676">
        <f t="shared" si="1"/>
        <v>4.0000000000000001E-3</v>
      </c>
      <c r="L31" s="1109"/>
      <c r="M31" s="1359"/>
      <c r="N31" s="1359"/>
    </row>
    <row r="32" spans="1:14">
      <c r="A32" s="1360" t="s">
        <v>259</v>
      </c>
      <c r="B32" s="1349"/>
      <c r="C32" s="2496">
        <v>0.109</v>
      </c>
      <c r="D32" s="2889"/>
      <c r="E32" s="2061">
        <v>1E-3</v>
      </c>
      <c r="F32" s="2061">
        <v>0</v>
      </c>
      <c r="G32" s="2061">
        <v>2.8000000000000001E-2</v>
      </c>
      <c r="H32" s="2057"/>
      <c r="I32" s="2061">
        <v>0</v>
      </c>
      <c r="J32" s="1354"/>
      <c r="K32" s="2676">
        <f t="shared" si="1"/>
        <v>8.2000000000000003E-2</v>
      </c>
      <c r="L32" s="1109"/>
      <c r="M32" s="1359"/>
      <c r="N32" s="1359"/>
    </row>
    <row r="33" spans="1:14">
      <c r="A33" s="1350" t="s">
        <v>260</v>
      </c>
      <c r="B33" s="1350"/>
      <c r="C33" s="2496">
        <v>6.9219999999999997</v>
      </c>
      <c r="D33" s="2889"/>
      <c r="E33" s="2061">
        <v>0.254</v>
      </c>
      <c r="F33" s="2061">
        <v>0</v>
      </c>
      <c r="G33" s="2061">
        <v>0.16400000000000001</v>
      </c>
      <c r="H33" s="2057"/>
      <c r="I33" s="2061">
        <v>-5.8000000000000003E-2</v>
      </c>
      <c r="J33" s="1354"/>
      <c r="K33" s="2676">
        <f t="shared" si="1"/>
        <v>6.9539999999999997</v>
      </c>
      <c r="L33" s="1109"/>
      <c r="M33" s="1359"/>
      <c r="N33" s="1359"/>
    </row>
    <row r="34" spans="1:14">
      <c r="A34" s="1350" t="s">
        <v>261</v>
      </c>
      <c r="B34" s="1350"/>
      <c r="C34" s="3095"/>
      <c r="D34" s="2889"/>
      <c r="E34" s="3093"/>
      <c r="F34" s="2058"/>
      <c r="G34" s="3093"/>
      <c r="H34" s="2058"/>
      <c r="I34" s="3093"/>
      <c r="J34" s="803"/>
      <c r="K34" s="2677"/>
      <c r="L34" s="803"/>
      <c r="M34" s="1359"/>
      <c r="N34" s="1359"/>
    </row>
    <row r="35" spans="1:14">
      <c r="A35" s="1350" t="s">
        <v>262</v>
      </c>
      <c r="B35" s="1350"/>
      <c r="C35" s="2496">
        <v>4.4539999999999997</v>
      </c>
      <c r="D35" s="2889"/>
      <c r="E35" s="2061">
        <v>0.69899999999999995</v>
      </c>
      <c r="F35" s="2061">
        <v>0</v>
      </c>
      <c r="G35" s="2061">
        <v>0.20399999999999999</v>
      </c>
      <c r="H35" s="2057"/>
      <c r="I35" s="2061">
        <v>-5.0999999999999997E-2</v>
      </c>
      <c r="J35" s="1354"/>
      <c r="K35" s="2676">
        <f>ROUND(SUM(C35)+SUM(E35)-SUM(G35)+SUM(I35),3)</f>
        <v>4.8979999999999997</v>
      </c>
      <c r="L35" s="1109"/>
      <c r="M35" s="1359"/>
      <c r="N35" s="1359"/>
    </row>
    <row r="36" spans="1:14">
      <c r="A36" s="1350" t="s">
        <v>263</v>
      </c>
      <c r="B36" s="1350"/>
      <c r="C36" s="3095">
        <v>1.458</v>
      </c>
      <c r="D36" s="2889"/>
      <c r="E36" s="2061">
        <v>2413.5</v>
      </c>
      <c r="F36" s="2061">
        <v>0</v>
      </c>
      <c r="G36" s="2061">
        <v>2414.2869999999998</v>
      </c>
      <c r="H36" s="2057"/>
      <c r="I36" s="2061">
        <v>0</v>
      </c>
      <c r="J36" s="1354"/>
      <c r="K36" s="2676">
        <f>ROUND(SUM(C36)+SUM(E36)-SUM(G36)+SUM(I36),3)</f>
        <v>0.67100000000000004</v>
      </c>
      <c r="L36" s="1109"/>
      <c r="M36" s="1359"/>
      <c r="N36" s="1359"/>
    </row>
    <row r="37" spans="1:14">
      <c r="A37" s="1350" t="s">
        <v>264</v>
      </c>
      <c r="B37" s="1350"/>
      <c r="C37" s="2496">
        <v>5.6449999999999996</v>
      </c>
      <c r="D37" s="2889"/>
      <c r="E37" s="2061">
        <v>6.0000000000000001E-3</v>
      </c>
      <c r="F37" s="2061">
        <v>0</v>
      </c>
      <c r="G37" s="2061">
        <v>0</v>
      </c>
      <c r="H37" s="2057"/>
      <c r="I37" s="2061">
        <v>0</v>
      </c>
      <c r="J37" s="1354"/>
      <c r="K37" s="2676">
        <f>ROUND(SUM(C37)+SUM(E37)-SUM(G37)+SUM(I37),3)</f>
        <v>5.6509999999999998</v>
      </c>
      <c r="L37" s="1109"/>
      <c r="M37" s="1359"/>
      <c r="N37" s="1359"/>
    </row>
    <row r="38" spans="1:14">
      <c r="A38" s="1365" t="s">
        <v>265</v>
      </c>
      <c r="B38" s="1366"/>
      <c r="C38" s="2890">
        <v>0</v>
      </c>
      <c r="D38" s="2889"/>
      <c r="E38" s="2061">
        <v>0</v>
      </c>
      <c r="F38" s="2061">
        <v>0</v>
      </c>
      <c r="G38" s="2061">
        <v>0</v>
      </c>
      <c r="H38" s="2057"/>
      <c r="I38" s="2061">
        <v>0</v>
      </c>
      <c r="J38" s="1109"/>
      <c r="K38" s="2676">
        <f t="shared" ref="K38:K56" si="2">ROUND(SUM(C38)+SUM(E38)-SUM(G38)+SUM(I38),3)</f>
        <v>0</v>
      </c>
      <c r="L38" s="1364"/>
      <c r="M38" s="1359"/>
      <c r="N38" s="1359"/>
    </row>
    <row r="39" spans="1:14">
      <c r="A39" s="1360" t="s">
        <v>266</v>
      </c>
      <c r="B39" s="1350"/>
      <c r="C39" s="2496">
        <v>210.25399999999999</v>
      </c>
      <c r="D39" s="2889"/>
      <c r="E39" s="2061">
        <v>500.298</v>
      </c>
      <c r="F39" s="2061">
        <v>0</v>
      </c>
      <c r="G39" s="2061">
        <v>480.44200000000001</v>
      </c>
      <c r="H39" s="2057"/>
      <c r="I39" s="2061">
        <v>-1.2549999999999999</v>
      </c>
      <c r="J39" s="1354"/>
      <c r="K39" s="1109">
        <f t="shared" ref="K39:K54" si="3">ROUND(SUM(C39)+SUM(E39)-SUM(G39)+SUM(I39),3)</f>
        <v>228.85499999999999</v>
      </c>
      <c r="L39" s="1109"/>
      <c r="M39" s="1359"/>
      <c r="N39" s="1359"/>
    </row>
    <row r="40" spans="1:14">
      <c r="A40" s="1354" t="s">
        <v>267</v>
      </c>
      <c r="B40" s="1354"/>
      <c r="C40" s="2496">
        <v>79.878</v>
      </c>
      <c r="D40" s="2889"/>
      <c r="E40" s="2061">
        <v>49.820999999999998</v>
      </c>
      <c r="F40" s="2061">
        <v>0</v>
      </c>
      <c r="G40" s="2061">
        <v>59.139000000000003</v>
      </c>
      <c r="H40" s="2057"/>
      <c r="I40" s="2061">
        <v>0</v>
      </c>
      <c r="J40" s="1354"/>
      <c r="K40" s="1109">
        <f t="shared" si="3"/>
        <v>70.56</v>
      </c>
      <c r="L40" s="1109"/>
      <c r="M40" s="1359"/>
      <c r="N40" s="1359"/>
    </row>
    <row r="41" spans="1:14">
      <c r="A41" s="1361" t="s">
        <v>268</v>
      </c>
      <c r="B41" s="1354"/>
      <c r="C41" s="2496">
        <v>-290.09899999999999</v>
      </c>
      <c r="D41" s="2889"/>
      <c r="E41" s="2061">
        <v>336.81900000000002</v>
      </c>
      <c r="F41" s="2061">
        <v>0</v>
      </c>
      <c r="G41" s="2061">
        <v>151.06800000000001</v>
      </c>
      <c r="H41" s="2057"/>
      <c r="I41" s="2061">
        <v>0</v>
      </c>
      <c r="J41" s="1354"/>
      <c r="K41" s="1109">
        <f t="shared" si="3"/>
        <v>-104.348</v>
      </c>
      <c r="L41" s="1109"/>
      <c r="M41" s="1359"/>
      <c r="N41" s="1359"/>
    </row>
    <row r="42" spans="1:14">
      <c r="A42" s="1360" t="s">
        <v>269</v>
      </c>
      <c r="B42" s="1350"/>
      <c r="C42" s="2496">
        <v>12.492000000000001</v>
      </c>
      <c r="D42" s="2889"/>
      <c r="E42" s="2061">
        <v>2.9830000000000001</v>
      </c>
      <c r="F42" s="2061">
        <v>0</v>
      </c>
      <c r="G42" s="2061">
        <v>3.38</v>
      </c>
      <c r="H42" s="2057"/>
      <c r="I42" s="2061">
        <v>0</v>
      </c>
      <c r="J42" s="1354"/>
      <c r="K42" s="1109">
        <f t="shared" si="3"/>
        <v>12.095000000000001</v>
      </c>
      <c r="L42" s="1109"/>
      <c r="M42" s="1359"/>
      <c r="N42" s="1359"/>
    </row>
    <row r="43" spans="1:14">
      <c r="A43" s="1354" t="s">
        <v>270</v>
      </c>
      <c r="B43" s="1350"/>
      <c r="C43" s="2496">
        <v>-4.0220000000000002</v>
      </c>
      <c r="D43" s="2889"/>
      <c r="E43" s="2061">
        <v>0</v>
      </c>
      <c r="F43" s="2061">
        <v>0</v>
      </c>
      <c r="G43" s="2061">
        <v>9.7000000000000003E-2</v>
      </c>
      <c r="H43" s="2057"/>
      <c r="I43" s="2061">
        <v>0</v>
      </c>
      <c r="J43" s="1354"/>
      <c r="K43" s="2676">
        <f t="shared" si="3"/>
        <v>-4.1189999999999998</v>
      </c>
      <c r="L43" s="1109"/>
      <c r="M43" s="1359"/>
      <c r="N43" s="1359"/>
    </row>
    <row r="44" spans="1:14">
      <c r="A44" s="1354" t="s">
        <v>1308</v>
      </c>
      <c r="B44" s="1350"/>
      <c r="C44" s="2496">
        <v>-12.765000000000001</v>
      </c>
      <c r="D44" s="2889"/>
      <c r="E44" s="2061">
        <v>7.0149999999999997</v>
      </c>
      <c r="F44" s="2061">
        <v>0</v>
      </c>
      <c r="G44" s="2061">
        <v>11.571999999999999</v>
      </c>
      <c r="H44" s="2057"/>
      <c r="I44" s="2061">
        <v>7.4989999999999997</v>
      </c>
      <c r="J44" s="1354"/>
      <c r="K44" s="1109">
        <f t="shared" si="3"/>
        <v>-9.8230000000000004</v>
      </c>
      <c r="L44" s="1109"/>
      <c r="M44" s="1359"/>
      <c r="N44" s="1359"/>
    </row>
    <row r="45" spans="1:14">
      <c r="A45" s="1350" t="s">
        <v>271</v>
      </c>
      <c r="B45" s="1350"/>
      <c r="C45" s="2496">
        <v>80.802000000000007</v>
      </c>
      <c r="D45" s="2889"/>
      <c r="E45" s="2061">
        <v>0.93300000000000005</v>
      </c>
      <c r="F45" s="2061">
        <v>0</v>
      </c>
      <c r="G45" s="2061">
        <v>6.3860000000000001</v>
      </c>
      <c r="H45" s="2057"/>
      <c r="I45" s="2061">
        <v>0</v>
      </c>
      <c r="J45" s="1354"/>
      <c r="K45" s="1109">
        <f t="shared" si="3"/>
        <v>75.349000000000004</v>
      </c>
      <c r="L45" s="1109"/>
      <c r="M45" s="1359"/>
      <c r="N45" s="1359"/>
    </row>
    <row r="46" spans="1:14">
      <c r="A46" s="1350" t="s">
        <v>272</v>
      </c>
      <c r="B46" s="1350"/>
      <c r="C46" s="2496">
        <v>44.415999999999997</v>
      </c>
      <c r="D46" s="2889"/>
      <c r="E46" s="2061">
        <v>4.548</v>
      </c>
      <c r="F46" s="2061">
        <v>0</v>
      </c>
      <c r="G46" s="2061">
        <v>2.9750000000000001</v>
      </c>
      <c r="H46" s="2057"/>
      <c r="I46" s="2061">
        <v>-8.1959999999999997</v>
      </c>
      <c r="J46" s="1354"/>
      <c r="K46" s="2676">
        <f t="shared" si="3"/>
        <v>37.792999999999999</v>
      </c>
      <c r="L46" s="1109"/>
      <c r="M46" s="1359"/>
      <c r="N46" s="1359"/>
    </row>
    <row r="47" spans="1:14">
      <c r="A47" s="1350" t="s">
        <v>273</v>
      </c>
      <c r="B47" s="1350"/>
      <c r="C47" s="2496">
        <v>7.8760000000000003</v>
      </c>
      <c r="D47" s="2889"/>
      <c r="E47" s="2061">
        <v>0.64100000000000001</v>
      </c>
      <c r="F47" s="2061">
        <v>0</v>
      </c>
      <c r="G47" s="2061">
        <v>1.831</v>
      </c>
      <c r="H47" s="2057"/>
      <c r="I47" s="2061">
        <v>8.9999999999999993E-3</v>
      </c>
      <c r="J47" s="1354"/>
      <c r="K47" s="2676">
        <f t="shared" si="3"/>
        <v>6.6950000000000003</v>
      </c>
      <c r="L47" s="1109"/>
      <c r="M47" s="1359"/>
      <c r="N47" s="1359"/>
    </row>
    <row r="48" spans="1:14">
      <c r="A48" s="1350" t="s">
        <v>274</v>
      </c>
      <c r="B48" s="1350"/>
      <c r="C48" s="2496">
        <v>6.7779999999999996</v>
      </c>
      <c r="D48" s="2889"/>
      <c r="E48" s="2061">
        <v>1.6379999999999999</v>
      </c>
      <c r="F48" s="2061">
        <v>0</v>
      </c>
      <c r="G48" s="2061">
        <v>0.106</v>
      </c>
      <c r="H48" s="2057"/>
      <c r="I48" s="2061">
        <v>0</v>
      </c>
      <c r="J48" s="1354"/>
      <c r="K48" s="2676">
        <f t="shared" si="3"/>
        <v>8.31</v>
      </c>
      <c r="L48" s="1109"/>
      <c r="M48" s="1359"/>
      <c r="N48" s="1359"/>
    </row>
    <row r="49" spans="1:14">
      <c r="A49" s="1360" t="s">
        <v>275</v>
      </c>
      <c r="B49" s="1350"/>
      <c r="C49" s="2496">
        <v>0.53300000000000003</v>
      </c>
      <c r="D49" s="2889"/>
      <c r="E49" s="2061">
        <v>3.0000000000000001E-3</v>
      </c>
      <c r="F49" s="2061">
        <v>0</v>
      </c>
      <c r="G49" s="2061">
        <v>0</v>
      </c>
      <c r="H49" s="2057"/>
      <c r="I49" s="2061">
        <v>0</v>
      </c>
      <c r="J49" s="1354"/>
      <c r="K49" s="1109">
        <f t="shared" si="3"/>
        <v>0.53600000000000003</v>
      </c>
      <c r="L49" s="1109"/>
      <c r="M49" s="1359"/>
      <c r="N49" s="1359"/>
    </row>
    <row r="50" spans="1:14">
      <c r="A50" s="1350" t="s">
        <v>276</v>
      </c>
      <c r="B50" s="1350"/>
      <c r="C50" s="2496">
        <v>-418.70800000000003</v>
      </c>
      <c r="D50" s="2889"/>
      <c r="E50" s="2061">
        <v>147.68799999999999</v>
      </c>
      <c r="F50" s="2061">
        <v>0</v>
      </c>
      <c r="G50" s="2061">
        <v>0.76100000000000001</v>
      </c>
      <c r="H50" s="2057"/>
      <c r="I50" s="2061">
        <v>-4.5999999999999999E-2</v>
      </c>
      <c r="J50" s="1354"/>
      <c r="K50" s="2676">
        <f t="shared" si="3"/>
        <v>-271.827</v>
      </c>
      <c r="L50" s="1109"/>
      <c r="M50" s="1359"/>
      <c r="N50" s="1359"/>
    </row>
    <row r="51" spans="1:14">
      <c r="A51" s="1350" t="s">
        <v>277</v>
      </c>
      <c r="B51" s="1350"/>
      <c r="C51" s="2496">
        <v>-21.329000000000001</v>
      </c>
      <c r="D51" s="2889"/>
      <c r="E51" s="2061">
        <v>2.496</v>
      </c>
      <c r="F51" s="2061">
        <v>0</v>
      </c>
      <c r="G51" s="2061">
        <v>3.3820000000000001</v>
      </c>
      <c r="H51" s="2057"/>
      <c r="I51" s="2061">
        <v>0</v>
      </c>
      <c r="J51" s="1354"/>
      <c r="K51" s="2676">
        <f t="shared" si="3"/>
        <v>-22.215</v>
      </c>
      <c r="L51" s="1109"/>
      <c r="M51" s="1359"/>
      <c r="N51" s="1359"/>
    </row>
    <row r="52" spans="1:14">
      <c r="A52" s="1350" t="s">
        <v>278</v>
      </c>
      <c r="B52" s="1350"/>
      <c r="C52" s="2496">
        <v>6.8000000000000005E-2</v>
      </c>
      <c r="D52" s="2889"/>
      <c r="E52" s="2061">
        <v>0</v>
      </c>
      <c r="F52" s="2061">
        <v>0</v>
      </c>
      <c r="G52" s="2061">
        <v>0</v>
      </c>
      <c r="H52" s="2057"/>
      <c r="I52" s="2061">
        <v>0</v>
      </c>
      <c r="J52" s="1354"/>
      <c r="K52" s="2676">
        <f t="shared" si="3"/>
        <v>6.8000000000000005E-2</v>
      </c>
      <c r="L52" s="1109"/>
      <c r="M52" s="1359"/>
      <c r="N52" s="1359"/>
    </row>
    <row r="53" spans="1:14">
      <c r="A53" s="1350" t="s">
        <v>1094</v>
      </c>
      <c r="B53" s="1350"/>
      <c r="C53" s="2496">
        <v>10.875</v>
      </c>
      <c r="D53" s="2889"/>
      <c r="E53" s="2061">
        <v>9.1999999999999998E-2</v>
      </c>
      <c r="F53" s="2061">
        <v>0</v>
      </c>
      <c r="G53" s="2061">
        <v>4.8000000000000001E-2</v>
      </c>
      <c r="H53" s="2057"/>
      <c r="I53" s="2061">
        <v>0</v>
      </c>
      <c r="J53" s="1354"/>
      <c r="K53" s="1354">
        <f t="shared" si="3"/>
        <v>10.919</v>
      </c>
      <c r="L53" s="1109"/>
      <c r="M53" s="1359"/>
      <c r="N53" s="1359"/>
    </row>
    <row r="54" spans="1:14">
      <c r="A54" s="1350" t="s">
        <v>279</v>
      </c>
      <c r="B54" s="1350"/>
      <c r="C54" s="2890">
        <v>0</v>
      </c>
      <c r="D54" s="2889"/>
      <c r="E54" s="2061">
        <v>0</v>
      </c>
      <c r="F54" s="2061">
        <v>0</v>
      </c>
      <c r="G54" s="2061">
        <v>0</v>
      </c>
      <c r="H54" s="2057"/>
      <c r="I54" s="2061">
        <v>0</v>
      </c>
      <c r="J54" s="1354"/>
      <c r="K54" s="1354">
        <f t="shared" si="3"/>
        <v>0</v>
      </c>
      <c r="L54" s="1364"/>
      <c r="M54" s="1359"/>
      <c r="N54" s="1359"/>
    </row>
    <row r="55" spans="1:14">
      <c r="A55" s="1360" t="s">
        <v>280</v>
      </c>
      <c r="B55" s="1350"/>
      <c r="C55" s="2497">
        <v>0.46</v>
      </c>
      <c r="D55" s="2889"/>
      <c r="E55" s="2061">
        <v>0</v>
      </c>
      <c r="F55" s="2061">
        <v>0</v>
      </c>
      <c r="G55" s="2061">
        <v>0</v>
      </c>
      <c r="H55" s="2057"/>
      <c r="I55" s="2061">
        <v>0</v>
      </c>
      <c r="J55" s="1354"/>
      <c r="K55" s="1109">
        <f>ROUND(SUM(C55)+SUM(E55)-SUM(G55)+SUM(I55),3)</f>
        <v>0.46</v>
      </c>
      <c r="L55" s="1109"/>
      <c r="M55" s="1359"/>
      <c r="N55" s="1359"/>
    </row>
    <row r="56" spans="1:14">
      <c r="A56" s="1360" t="s">
        <v>281</v>
      </c>
      <c r="B56" s="1350"/>
      <c r="C56" s="2890">
        <v>0</v>
      </c>
      <c r="D56" s="2889"/>
      <c r="E56" s="2061">
        <v>0</v>
      </c>
      <c r="F56" s="2061">
        <v>0</v>
      </c>
      <c r="G56" s="2061">
        <v>0</v>
      </c>
      <c r="H56" s="2057"/>
      <c r="I56" s="2061">
        <v>0</v>
      </c>
      <c r="J56" s="1354"/>
      <c r="K56" s="1109">
        <f t="shared" si="2"/>
        <v>0</v>
      </c>
      <c r="L56" s="1109"/>
      <c r="M56" s="1359"/>
      <c r="N56" s="1359"/>
    </row>
    <row r="57" spans="1:14">
      <c r="A57" s="1360" t="s">
        <v>282</v>
      </c>
      <c r="B57" s="1350"/>
      <c r="C57" s="3095">
        <v>1E-3</v>
      </c>
      <c r="D57" s="2889"/>
      <c r="E57" s="2061">
        <v>0</v>
      </c>
      <c r="F57" s="2061">
        <v>0</v>
      </c>
      <c r="G57" s="2061">
        <v>0</v>
      </c>
      <c r="H57" s="2057"/>
      <c r="I57" s="2061">
        <v>0</v>
      </c>
      <c r="J57" s="1354"/>
      <c r="K57" s="1109">
        <f>ROUND(SUM(C57)+SUM(E57)-SUM(G57)+SUM(I57),3)</f>
        <v>1E-3</v>
      </c>
      <c r="L57" s="1109"/>
      <c r="M57" s="1359"/>
      <c r="N57" s="1359"/>
    </row>
    <row r="58" spans="1:14">
      <c r="A58" s="1360" t="s">
        <v>283</v>
      </c>
      <c r="B58" s="1350"/>
      <c r="C58" s="2497">
        <v>0.91</v>
      </c>
      <c r="D58" s="2889"/>
      <c r="E58" s="2061">
        <v>1E-3</v>
      </c>
      <c r="F58" s="2061">
        <v>0</v>
      </c>
      <c r="G58" s="2061">
        <v>0</v>
      </c>
      <c r="H58" s="2057"/>
      <c r="I58" s="2061">
        <v>0</v>
      </c>
      <c r="J58" s="1354"/>
      <c r="K58" s="1109">
        <f>ROUND(SUM(C58)+SUM(E58)-SUM(G58)+SUM(I58),3)</f>
        <v>0.91100000000000003</v>
      </c>
      <c r="L58" s="1109"/>
      <c r="M58" s="1359"/>
      <c r="N58" s="1359"/>
    </row>
    <row r="59" spans="1:14">
      <c r="A59" s="1360" t="s">
        <v>284</v>
      </c>
      <c r="B59" s="1350"/>
      <c r="C59" s="2496">
        <v>1578.154</v>
      </c>
      <c r="D59" s="2889"/>
      <c r="E59" s="2061">
        <v>127.855</v>
      </c>
      <c r="F59" s="2061">
        <v>0</v>
      </c>
      <c r="G59" s="2061">
        <v>713.43899999999996</v>
      </c>
      <c r="H59" s="2057"/>
      <c r="I59" s="2061">
        <v>327.53300000000002</v>
      </c>
      <c r="J59" s="1354"/>
      <c r="K59" s="1109">
        <f>ROUND(SUM(C59)+SUM(E59)-SUM(G59)+SUM(I59),3)</f>
        <v>1320.1030000000001</v>
      </c>
      <c r="L59" s="1109"/>
      <c r="M59" s="1367"/>
      <c r="N59" s="1359"/>
    </row>
    <row r="60" spans="1:14">
      <c r="A60" s="789"/>
      <c r="B60" s="790"/>
      <c r="C60" s="2498"/>
      <c r="D60" s="1440"/>
      <c r="E60" s="3507"/>
      <c r="F60" s="3087"/>
      <c r="G60" s="3507"/>
      <c r="H60" s="3087"/>
      <c r="I60" s="2061"/>
      <c r="J60" s="1440"/>
      <c r="K60" s="1440"/>
      <c r="L60" s="803"/>
      <c r="M60" s="1359"/>
      <c r="N60" s="1359"/>
    </row>
    <row r="61" spans="1:14">
      <c r="A61" s="797" t="s">
        <v>1019</v>
      </c>
      <c r="B61" s="1350"/>
      <c r="C61" s="2499"/>
      <c r="E61" s="3094"/>
      <c r="F61" s="3088"/>
      <c r="G61" s="3094"/>
      <c r="H61" s="3088"/>
      <c r="I61" s="3094"/>
      <c r="K61" s="1371"/>
      <c r="L61" s="1109"/>
      <c r="M61" s="1359"/>
      <c r="N61" s="1359"/>
    </row>
    <row r="62" spans="1:14">
      <c r="A62" s="1350" t="s">
        <v>285</v>
      </c>
      <c r="B62" s="1350"/>
      <c r="C62" s="2496">
        <v>28.901</v>
      </c>
      <c r="D62" s="2889"/>
      <c r="E62" s="3495">
        <v>0.03</v>
      </c>
      <c r="F62" s="2061">
        <v>0</v>
      </c>
      <c r="G62" s="3495">
        <v>2.577</v>
      </c>
      <c r="H62" s="2057"/>
      <c r="I62" s="3495">
        <v>0</v>
      </c>
      <c r="J62" s="1354"/>
      <c r="K62" s="1109">
        <f>ROUND(SUM(C62)+SUM(E62)-SUM(G62)+SUM(I62),3)</f>
        <v>26.353999999999999</v>
      </c>
      <c r="L62" s="1109"/>
      <c r="M62" s="1359"/>
      <c r="N62" s="1359"/>
    </row>
    <row r="63" spans="1:14">
      <c r="A63" s="1350" t="s">
        <v>286</v>
      </c>
      <c r="B63" s="1352"/>
      <c r="C63" s="3095">
        <v>0.05</v>
      </c>
      <c r="D63" s="2889"/>
      <c r="E63" s="3495">
        <v>0</v>
      </c>
      <c r="F63" s="2061">
        <v>0</v>
      </c>
      <c r="G63" s="3495">
        <v>0</v>
      </c>
      <c r="H63" s="2057"/>
      <c r="I63" s="3495">
        <v>0</v>
      </c>
      <c r="J63" s="1348"/>
      <c r="K63" s="1109">
        <f>ROUND(SUM(C63)+SUM(E63)-SUM(G63)+SUM(I63),3)</f>
        <v>0.05</v>
      </c>
      <c r="L63" s="1109"/>
      <c r="M63" s="1359"/>
      <c r="N63" s="1359"/>
    </row>
    <row r="64" spans="1:14">
      <c r="A64" s="1354" t="s">
        <v>287</v>
      </c>
      <c r="B64" s="1350"/>
      <c r="C64" s="2496">
        <v>1244.127</v>
      </c>
      <c r="D64" s="2889"/>
      <c r="E64" s="3495">
        <v>552.63199999999995</v>
      </c>
      <c r="F64" s="2061">
        <v>0</v>
      </c>
      <c r="G64" s="3495">
        <v>537.10599999999999</v>
      </c>
      <c r="H64" s="2057"/>
      <c r="I64" s="3495">
        <v>4.734</v>
      </c>
      <c r="J64" s="1354"/>
      <c r="K64" s="1109">
        <f>ROUND(SUM(C64)+SUM(E64)-SUM(G64)+SUM(I64),3)</f>
        <v>1264.3869999999999</v>
      </c>
      <c r="L64" s="1109"/>
      <c r="M64" s="1359"/>
      <c r="N64" s="1359"/>
    </row>
    <row r="65" spans="1:14">
      <c r="A65" s="1360" t="s">
        <v>288</v>
      </c>
      <c r="B65" s="1350"/>
      <c r="C65" s="2496">
        <v>44.512</v>
      </c>
      <c r="D65" s="2889"/>
      <c r="E65" s="3495">
        <v>0.316</v>
      </c>
      <c r="F65" s="2061">
        <v>0</v>
      </c>
      <c r="G65" s="3495">
        <v>0.42399999999999999</v>
      </c>
      <c r="H65" s="2057"/>
      <c r="I65" s="3495">
        <v>-3.5</v>
      </c>
      <c r="J65" s="1354"/>
      <c r="K65" s="1109">
        <f>ROUND(SUM(C65)+SUM(E65)-SUM(G65)+SUM(I65),3)</f>
        <v>40.904000000000003</v>
      </c>
      <c r="L65" s="1109"/>
      <c r="M65" s="1359"/>
      <c r="N65" s="1359"/>
    </row>
    <row r="66" spans="1:14">
      <c r="A66" s="1350" t="s">
        <v>289</v>
      </c>
      <c r="B66" s="1350"/>
      <c r="C66" s="2496">
        <v>2.4E-2</v>
      </c>
      <c r="D66" s="2889"/>
      <c r="E66" s="3495">
        <v>0</v>
      </c>
      <c r="F66" s="2061">
        <v>0</v>
      </c>
      <c r="G66" s="3495">
        <v>8.1000000000000003E-2</v>
      </c>
      <c r="H66" s="2057"/>
      <c r="I66" s="3495">
        <v>0</v>
      </c>
      <c r="J66" s="1354"/>
      <c r="K66" s="1109">
        <f>ROUND(SUM(C66)+SUM(E66)-SUM(G66)+SUM(I66),3)</f>
        <v>-5.7000000000000002E-2</v>
      </c>
      <c r="L66" s="1109"/>
      <c r="M66" s="1359"/>
      <c r="N66" s="1359"/>
    </row>
    <row r="67" spans="1:14">
      <c r="A67" s="1350" t="s">
        <v>290</v>
      </c>
      <c r="B67" s="1350"/>
      <c r="C67" s="3095" t="s">
        <v>15</v>
      </c>
      <c r="D67" s="2889"/>
      <c r="E67" s="3495"/>
      <c r="F67" s="2061"/>
      <c r="G67" s="2061"/>
      <c r="H67" s="2057"/>
      <c r="I67" s="2061"/>
      <c r="J67" s="1354"/>
      <c r="K67" s="1109" t="s">
        <v>15</v>
      </c>
      <c r="L67" s="1109"/>
      <c r="M67" s="1359"/>
      <c r="N67" s="1359"/>
    </row>
    <row r="68" spans="1:14">
      <c r="A68" s="1350" t="s">
        <v>291</v>
      </c>
      <c r="B68" s="1350"/>
      <c r="C68" s="2496">
        <v>114.054</v>
      </c>
      <c r="D68" s="2889"/>
      <c r="E68" s="3495">
        <v>4.0640000000000001</v>
      </c>
      <c r="F68" s="2061">
        <v>0</v>
      </c>
      <c r="G68" s="3495">
        <v>0.216</v>
      </c>
      <c r="H68" s="2057"/>
      <c r="I68" s="2061">
        <v>-38.805999999999997</v>
      </c>
      <c r="J68" s="1354"/>
      <c r="K68" s="1109">
        <f t="shared" ref="K68:K73" si="4">ROUND(SUM(C68)+SUM(E68)-SUM(G68)+SUM(I68),3)</f>
        <v>79.096000000000004</v>
      </c>
      <c r="L68" s="1109"/>
      <c r="M68" s="1359"/>
      <c r="N68" s="1359"/>
    </row>
    <row r="69" spans="1:14">
      <c r="A69" s="1350" t="s">
        <v>292</v>
      </c>
      <c r="B69" s="793"/>
      <c r="C69" s="2496">
        <v>0.56499999999999995</v>
      </c>
      <c r="D69" s="2889"/>
      <c r="E69" s="3495">
        <v>1E-3</v>
      </c>
      <c r="F69" s="2061">
        <v>0</v>
      </c>
      <c r="G69" s="3495">
        <v>0.02</v>
      </c>
      <c r="H69" s="2057"/>
      <c r="I69" s="2061">
        <v>0</v>
      </c>
      <c r="J69" s="803"/>
      <c r="K69" s="1109">
        <f t="shared" si="4"/>
        <v>0.54600000000000004</v>
      </c>
      <c r="L69" s="1109"/>
      <c r="M69" s="1359"/>
      <c r="N69" s="1359"/>
    </row>
    <row r="70" spans="1:14">
      <c r="A70" s="1350" t="s">
        <v>293</v>
      </c>
      <c r="B70" s="1350"/>
      <c r="C70" s="3095">
        <v>2.3E-2</v>
      </c>
      <c r="D70" s="2889"/>
      <c r="E70" s="3495">
        <v>0</v>
      </c>
      <c r="F70" s="2061">
        <v>0</v>
      </c>
      <c r="G70" s="3495">
        <v>0</v>
      </c>
      <c r="H70" s="2057"/>
      <c r="I70" s="2061">
        <v>0</v>
      </c>
      <c r="J70" s="1354"/>
      <c r="K70" s="1109">
        <f t="shared" si="4"/>
        <v>2.3E-2</v>
      </c>
      <c r="L70" s="1109"/>
      <c r="M70" s="1359"/>
      <c r="N70" s="1359"/>
    </row>
    <row r="71" spans="1:14">
      <c r="A71" s="1360" t="s">
        <v>294</v>
      </c>
      <c r="B71" s="1350"/>
      <c r="C71" s="2497">
        <v>9.1549999999999994</v>
      </c>
      <c r="D71" s="2889"/>
      <c r="E71" s="3495">
        <v>0.01</v>
      </c>
      <c r="F71" s="2061">
        <v>0</v>
      </c>
      <c r="G71" s="3495">
        <v>0</v>
      </c>
      <c r="H71" s="2057"/>
      <c r="I71" s="2061">
        <v>0</v>
      </c>
      <c r="J71" s="1354"/>
      <c r="K71" s="1109">
        <f t="shared" si="4"/>
        <v>9.1649999999999991</v>
      </c>
      <c r="L71" s="1109"/>
      <c r="M71" s="1359"/>
      <c r="N71" s="1359"/>
    </row>
    <row r="72" spans="1:14">
      <c r="A72" s="1350" t="s">
        <v>295</v>
      </c>
      <c r="B72" s="1350"/>
      <c r="C72" s="2496">
        <v>-10.412000000000001</v>
      </c>
      <c r="D72" s="2889"/>
      <c r="E72" s="3495">
        <v>0.185</v>
      </c>
      <c r="F72" s="2061">
        <v>0.25800000000000001</v>
      </c>
      <c r="G72" s="3495">
        <v>0.25800000000000001</v>
      </c>
      <c r="H72" s="2057"/>
      <c r="I72" s="2061">
        <v>0</v>
      </c>
      <c r="J72" s="1354"/>
      <c r="K72" s="1109">
        <f t="shared" si="4"/>
        <v>-10.484999999999999</v>
      </c>
      <c r="L72" s="1109"/>
      <c r="M72" s="1359"/>
      <c r="N72" s="1359"/>
    </row>
    <row r="73" spans="1:14">
      <c r="A73" s="1350" t="s">
        <v>296</v>
      </c>
      <c r="B73" s="1350"/>
      <c r="C73" s="2496">
        <v>2.5000000000000001E-2</v>
      </c>
      <c r="D73" s="2889"/>
      <c r="E73" s="3495">
        <v>6.0000000000000001E-3</v>
      </c>
      <c r="F73" s="2061">
        <v>0</v>
      </c>
      <c r="G73" s="3495">
        <v>0</v>
      </c>
      <c r="H73" s="2057"/>
      <c r="I73" s="2061">
        <v>0</v>
      </c>
      <c r="J73" s="1354"/>
      <c r="K73" s="1109">
        <f t="shared" si="4"/>
        <v>3.1E-2</v>
      </c>
      <c r="L73" s="1109"/>
      <c r="M73" s="1359"/>
      <c r="N73" s="1359"/>
    </row>
    <row r="74" spans="1:14">
      <c r="A74" s="1350" t="s">
        <v>297</v>
      </c>
      <c r="B74" s="1350"/>
      <c r="C74" s="3095"/>
      <c r="D74" s="2889"/>
      <c r="E74" s="3495"/>
      <c r="F74" s="2057"/>
      <c r="G74" s="2061"/>
      <c r="H74" s="2057"/>
      <c r="I74" s="2061"/>
      <c r="J74" s="1354"/>
      <c r="K74" s="1109"/>
      <c r="L74" s="1109"/>
      <c r="M74" s="1359"/>
      <c r="N74" s="1359"/>
    </row>
    <row r="75" spans="1:14">
      <c r="A75" s="1350" t="s">
        <v>298</v>
      </c>
      <c r="B75" s="1350"/>
      <c r="C75" s="2496">
        <v>-5.351</v>
      </c>
      <c r="D75" s="2889"/>
      <c r="E75" s="3495">
        <v>0</v>
      </c>
      <c r="F75" s="2061">
        <v>0</v>
      </c>
      <c r="G75" s="3495">
        <v>0</v>
      </c>
      <c r="H75" s="2057"/>
      <c r="I75" s="3495">
        <v>0</v>
      </c>
      <c r="J75" s="1354"/>
      <c r="K75" s="1109">
        <f>ROUND(SUM(C75)+SUM(E75)-SUM(G75)+SUM(I75),3)</f>
        <v>-5.351</v>
      </c>
      <c r="L75" s="1109"/>
      <c r="M75" s="1359"/>
      <c r="N75" s="1359"/>
    </row>
    <row r="76" spans="1:14">
      <c r="A76" s="1350" t="s">
        <v>299</v>
      </c>
      <c r="B76" s="1350"/>
      <c r="C76" s="2496">
        <v>-48.018999999999998</v>
      </c>
      <c r="D76" s="2889"/>
      <c r="E76" s="3495">
        <v>0</v>
      </c>
      <c r="F76" s="2061">
        <v>0</v>
      </c>
      <c r="G76" s="3495">
        <v>2.3140000000000001</v>
      </c>
      <c r="H76" s="2057"/>
      <c r="I76" s="3495">
        <v>0</v>
      </c>
      <c r="J76" s="1354"/>
      <c r="K76" s="1109">
        <f>ROUND(SUM(C76)+SUM(E76)-SUM(G76)+SUM(I76),3)</f>
        <v>-50.332999999999998</v>
      </c>
      <c r="L76" s="1109"/>
      <c r="M76" s="1359"/>
      <c r="N76" s="1359"/>
    </row>
    <row r="77" spans="1:14">
      <c r="A77" s="1350" t="s">
        <v>300</v>
      </c>
      <c r="B77" s="1350"/>
      <c r="C77" s="2496">
        <v>21.071000000000002</v>
      </c>
      <c r="D77" s="2889"/>
      <c r="E77" s="3495">
        <v>2.9740000000000002</v>
      </c>
      <c r="F77" s="2061">
        <v>0</v>
      </c>
      <c r="G77" s="3495">
        <v>2.1230000000000002</v>
      </c>
      <c r="H77" s="2057"/>
      <c r="I77" s="3495">
        <v>0</v>
      </c>
      <c r="J77" s="1354"/>
      <c r="K77" s="1109">
        <f>ROUND(SUM(C77)+SUM(E77)-SUM(G77)+SUM(I77),3)</f>
        <v>21.922000000000001</v>
      </c>
      <c r="L77" s="1109"/>
      <c r="M77" s="1359"/>
      <c r="N77" s="1359"/>
    </row>
    <row r="78" spans="1:14">
      <c r="A78" s="1350" t="s">
        <v>1053</v>
      </c>
      <c r="B78" s="1350"/>
      <c r="C78" s="2496">
        <v>170.33799999999999</v>
      </c>
      <c r="D78" s="2889"/>
      <c r="E78" s="3495">
        <v>5.8540000000000001</v>
      </c>
      <c r="F78" s="2061">
        <v>0</v>
      </c>
      <c r="G78" s="3495">
        <v>8.3689999999999998</v>
      </c>
      <c r="H78" s="2057"/>
      <c r="I78" s="3495">
        <v>0</v>
      </c>
      <c r="J78" s="1354"/>
      <c r="K78" s="1109">
        <f t="shared" ref="K78:K86" si="5">ROUND(SUM(C78)+SUM(E78)-SUM(G78)+SUM(I78),3)</f>
        <v>167.82300000000001</v>
      </c>
      <c r="L78" s="1109"/>
      <c r="M78" s="1359"/>
      <c r="N78" s="1359"/>
    </row>
    <row r="79" spans="1:14">
      <c r="A79" s="1350" t="s">
        <v>301</v>
      </c>
      <c r="B79" s="1350"/>
      <c r="C79" s="2496">
        <v>0.17</v>
      </c>
      <c r="D79" s="2889"/>
      <c r="E79" s="3495">
        <v>1E-3</v>
      </c>
      <c r="F79" s="2061">
        <v>0</v>
      </c>
      <c r="G79" s="3495">
        <v>0</v>
      </c>
      <c r="H79" s="2057"/>
      <c r="I79" s="3495">
        <v>0</v>
      </c>
      <c r="J79" s="1354"/>
      <c r="K79" s="1109">
        <f t="shared" ref="K79:K84" si="6">ROUND(SUM(C79)+SUM(E79)-SUM(G79)+SUM(I79),3)</f>
        <v>0.17100000000000001</v>
      </c>
      <c r="L79" s="1109"/>
      <c r="M79" s="1359"/>
      <c r="N79" s="1359"/>
    </row>
    <row r="80" spans="1:14">
      <c r="A80" s="1360" t="s">
        <v>302</v>
      </c>
      <c r="B80" s="1350"/>
      <c r="C80" s="2496">
        <v>282.57100000000003</v>
      </c>
      <c r="D80" s="2889"/>
      <c r="E80" s="3495">
        <v>8.1760000000000002</v>
      </c>
      <c r="F80" s="2061">
        <v>0</v>
      </c>
      <c r="G80" s="3495">
        <v>3.6030000000000002</v>
      </c>
      <c r="H80" s="2057"/>
      <c r="I80" s="3495">
        <v>0</v>
      </c>
      <c r="J80" s="1354"/>
      <c r="K80" s="1109">
        <f t="shared" si="6"/>
        <v>287.14400000000001</v>
      </c>
      <c r="L80" s="1109"/>
      <c r="M80" s="1359"/>
      <c r="N80" s="1359"/>
    </row>
    <row r="81" spans="1:15">
      <c r="A81" s="1350" t="s">
        <v>303</v>
      </c>
      <c r="B81" s="1350"/>
      <c r="C81" s="2496">
        <v>32.228000000000002</v>
      </c>
      <c r="D81" s="2889"/>
      <c r="E81" s="3495">
        <v>1.319</v>
      </c>
      <c r="F81" s="2061">
        <v>0</v>
      </c>
      <c r="G81" s="3495">
        <v>0.20200000000000001</v>
      </c>
      <c r="H81" s="2057"/>
      <c r="I81" s="3495">
        <v>0</v>
      </c>
      <c r="J81" s="1354"/>
      <c r="K81" s="1109">
        <f t="shared" si="6"/>
        <v>33.344999999999999</v>
      </c>
      <c r="L81" s="1109"/>
      <c r="M81" s="1359"/>
      <c r="N81" s="1359"/>
    </row>
    <row r="82" spans="1:15">
      <c r="A82" s="1360" t="s">
        <v>304</v>
      </c>
      <c r="B82" s="1350"/>
      <c r="C82" s="2496">
        <v>81.323999999999998</v>
      </c>
      <c r="D82" s="3096"/>
      <c r="E82" s="3495">
        <v>229.92500000000001</v>
      </c>
      <c r="F82" s="2061">
        <v>0</v>
      </c>
      <c r="G82" s="3495">
        <v>145</v>
      </c>
      <c r="H82" s="2057"/>
      <c r="I82" s="3495">
        <v>1.708</v>
      </c>
      <c r="J82" s="1354"/>
      <c r="K82" s="1109">
        <f t="shared" si="6"/>
        <v>167.95699999999999</v>
      </c>
      <c r="L82" s="1109"/>
      <c r="M82" s="1359"/>
      <c r="N82" s="1359"/>
    </row>
    <row r="83" spans="1:15">
      <c r="A83" s="1360" t="s">
        <v>1307</v>
      </c>
      <c r="B83" s="1350"/>
      <c r="C83" s="2496">
        <v>51.390999999999998</v>
      </c>
      <c r="D83" s="2889"/>
      <c r="E83" s="3495">
        <v>10.563000000000001</v>
      </c>
      <c r="F83" s="2061">
        <v>0</v>
      </c>
      <c r="G83" s="3495">
        <v>5.7169999999999996</v>
      </c>
      <c r="H83" s="2057"/>
      <c r="I83" s="3495">
        <v>0</v>
      </c>
      <c r="J83" s="1354"/>
      <c r="K83" s="1109">
        <f t="shared" si="6"/>
        <v>56.237000000000002</v>
      </c>
      <c r="L83" s="1109"/>
      <c r="M83" s="1359"/>
      <c r="N83" s="1359"/>
    </row>
    <row r="84" spans="1:15">
      <c r="A84" s="1360" t="s">
        <v>1313</v>
      </c>
      <c r="B84" s="1350"/>
      <c r="C84" s="2496">
        <v>7.4320000000000004</v>
      </c>
      <c r="D84" s="2889"/>
      <c r="E84" s="3495">
        <v>0.23799999999999999</v>
      </c>
      <c r="F84" s="2061">
        <v>0</v>
      </c>
      <c r="G84" s="3495">
        <v>0.435</v>
      </c>
      <c r="H84" s="2057"/>
      <c r="I84" s="3495">
        <v>0</v>
      </c>
      <c r="J84" s="1354"/>
      <c r="K84" s="1109">
        <f t="shared" si="6"/>
        <v>7.2350000000000003</v>
      </c>
      <c r="L84" s="1109"/>
      <c r="M84" s="1359"/>
      <c r="N84" s="1359"/>
    </row>
    <row r="85" spans="1:15">
      <c r="A85" s="1360" t="s">
        <v>1378</v>
      </c>
      <c r="B85" s="1350"/>
      <c r="C85" s="2496">
        <v>3.8159999999999998</v>
      </c>
      <c r="D85" s="2889"/>
      <c r="E85" s="3495">
        <v>0.23799999999999999</v>
      </c>
      <c r="F85" s="2061">
        <v>0</v>
      </c>
      <c r="G85" s="3495">
        <v>0.02</v>
      </c>
      <c r="H85" s="2057"/>
      <c r="I85" s="3495">
        <v>-8.0000000000000002E-3</v>
      </c>
      <c r="J85" s="1354"/>
      <c r="K85" s="1109">
        <f t="shared" si="5"/>
        <v>4.0259999999999998</v>
      </c>
      <c r="L85" s="1109"/>
      <c r="M85" s="1359"/>
      <c r="N85" s="1359"/>
    </row>
    <row r="86" spans="1:15">
      <c r="A86" s="1360" t="s">
        <v>1433</v>
      </c>
      <c r="B86" s="1350"/>
      <c r="C86" s="2496">
        <v>6.6360000000000001</v>
      </c>
      <c r="D86" s="2889"/>
      <c r="E86" s="3495">
        <v>0.60899999999999999</v>
      </c>
      <c r="F86" s="2061">
        <v>0</v>
      </c>
      <c r="G86" s="3495">
        <v>0</v>
      </c>
      <c r="H86" s="2057"/>
      <c r="I86" s="3495">
        <v>0</v>
      </c>
      <c r="J86" s="1354"/>
      <c r="K86" s="1109">
        <f t="shared" si="5"/>
        <v>7.2450000000000001</v>
      </c>
      <c r="L86" s="1109"/>
      <c r="M86" s="1359"/>
      <c r="N86" s="1359"/>
    </row>
    <row r="87" spans="1:15">
      <c r="A87" s="1342" t="s">
        <v>986</v>
      </c>
      <c r="B87" s="1350"/>
      <c r="C87" s="2496">
        <v>166.82900000000001</v>
      </c>
      <c r="D87" s="2889"/>
      <c r="E87" s="3495">
        <v>10.006</v>
      </c>
      <c r="F87" s="2061">
        <v>0</v>
      </c>
      <c r="G87" s="3495">
        <v>0</v>
      </c>
      <c r="H87" s="2057"/>
      <c r="I87" s="3495">
        <v>-20.012</v>
      </c>
      <c r="J87" s="1354"/>
      <c r="K87" s="1109">
        <f>ROUND(SUM(C87)+SUM(E87)-SUM(G87)+SUM(I87),3)</f>
        <v>156.82300000000001</v>
      </c>
      <c r="L87" s="1109"/>
      <c r="M87" s="1359"/>
      <c r="N87" s="1359"/>
    </row>
    <row r="88" spans="1:15">
      <c r="A88" s="794" t="s">
        <v>305</v>
      </c>
      <c r="B88" s="1350"/>
      <c r="C88" s="811">
        <f>ROUND(SUM(C28:C87),3)</f>
        <v>3609.4690000000001</v>
      </c>
      <c r="D88" s="805"/>
      <c r="E88" s="811">
        <f>ROUND(SUM(E28:E87),3)</f>
        <v>4427.3190000000004</v>
      </c>
      <c r="F88" s="805"/>
      <c r="G88" s="811">
        <f>ROUND(SUM(G28:G87),3)</f>
        <v>4562.9279999999999</v>
      </c>
      <c r="H88" s="805"/>
      <c r="I88" s="811">
        <f>ROUND(SUM(I28:I87),3)</f>
        <v>269.541</v>
      </c>
      <c r="J88" s="805"/>
      <c r="K88" s="811">
        <f>ROUND(SUM(K28:K87),3)</f>
        <v>3743.4009999999998</v>
      </c>
      <c r="L88" s="812"/>
      <c r="M88" s="808"/>
      <c r="N88" s="1359"/>
      <c r="O88" s="1368"/>
    </row>
    <row r="89" spans="1:15" ht="11.25" customHeight="1">
      <c r="A89" s="1350"/>
      <c r="B89" s="1350"/>
      <c r="C89" s="1362"/>
      <c r="D89" s="1354"/>
      <c r="E89" s="1362"/>
      <c r="F89" s="1354"/>
      <c r="H89" s="1354"/>
      <c r="I89" s="1362"/>
      <c r="J89" s="1354"/>
      <c r="K89" s="1362"/>
      <c r="L89" s="1362"/>
      <c r="M89" s="1359"/>
      <c r="N89" s="1359"/>
    </row>
    <row r="90" spans="1:15">
      <c r="A90" s="797" t="s">
        <v>306</v>
      </c>
      <c r="B90" s="1350"/>
      <c r="C90" s="1354"/>
      <c r="D90" s="1354"/>
      <c r="E90" s="1354"/>
      <c r="F90" s="1354"/>
      <c r="G90" s="1362"/>
      <c r="H90" s="1354"/>
      <c r="I90" s="1354"/>
      <c r="J90" s="1354"/>
      <c r="K90" s="1354"/>
      <c r="L90" s="1354"/>
      <c r="M90" s="1359"/>
      <c r="N90" s="1359"/>
    </row>
    <row r="91" spans="1:15">
      <c r="A91" s="1350" t="s">
        <v>1054</v>
      </c>
      <c r="B91" s="1350"/>
      <c r="C91" s="1109">
        <v>11.737</v>
      </c>
      <c r="D91" s="1354"/>
      <c r="E91" s="2061">
        <v>227.83500000000001</v>
      </c>
      <c r="F91" s="2057"/>
      <c r="G91" s="2061">
        <v>221.83099999999999</v>
      </c>
      <c r="H91" s="2057"/>
      <c r="I91" s="2061">
        <v>-2.5030000000000001</v>
      </c>
      <c r="J91" s="1354"/>
      <c r="K91" s="1109">
        <f>ROUND(SUM(C91)+SUM(E91)-SUM(G91)+SUM(I91),3)</f>
        <v>15.238</v>
      </c>
      <c r="L91" s="1109"/>
      <c r="M91" s="1359"/>
      <c r="N91" s="1359"/>
    </row>
    <row r="92" spans="1:15">
      <c r="A92" s="1350" t="s">
        <v>307</v>
      </c>
      <c r="B92" s="1350"/>
      <c r="C92" s="1109">
        <v>423.07600000000002</v>
      </c>
      <c r="D92" s="1354"/>
      <c r="E92" s="2061">
        <v>3097.9989999999998</v>
      </c>
      <c r="F92" s="2057"/>
      <c r="G92" s="2061">
        <v>3606.8470000000002</v>
      </c>
      <c r="H92" s="2057"/>
      <c r="I92" s="2061">
        <v>-55.619</v>
      </c>
      <c r="J92" s="1354"/>
      <c r="K92" s="1109">
        <f t="shared" ref="K92:K97" si="7">ROUND(SUM(C92)+SUM(E92)-SUM(G92)+SUM(I92),3)</f>
        <v>-141.39099999999999</v>
      </c>
      <c r="L92" s="1109"/>
      <c r="M92" s="1359"/>
      <c r="N92" s="1359"/>
    </row>
    <row r="93" spans="1:15">
      <c r="A93" s="1350" t="s">
        <v>308</v>
      </c>
      <c r="B93" s="802"/>
      <c r="C93" s="1109">
        <v>-9.7200000000000006</v>
      </c>
      <c r="D93" s="1354"/>
      <c r="E93" s="2061">
        <v>163.667</v>
      </c>
      <c r="F93" s="2057"/>
      <c r="G93" s="2061">
        <v>160.90899999999999</v>
      </c>
      <c r="H93" s="2057"/>
      <c r="I93" s="2061">
        <v>-1.075</v>
      </c>
      <c r="J93" s="1354"/>
      <c r="K93" s="1109">
        <f t="shared" si="7"/>
        <v>-8.0370000000000008</v>
      </c>
      <c r="L93" s="1109"/>
      <c r="M93" s="1359"/>
      <c r="N93" s="1359"/>
    </row>
    <row r="94" spans="1:15">
      <c r="A94" s="1350" t="s">
        <v>309</v>
      </c>
      <c r="B94" s="1350"/>
      <c r="C94" s="1109">
        <v>-248.73599999999999</v>
      </c>
      <c r="D94" s="1354"/>
      <c r="E94" s="2061">
        <v>119.47</v>
      </c>
      <c r="F94" s="2057"/>
      <c r="G94" s="2061">
        <v>211.637</v>
      </c>
      <c r="H94" s="2057"/>
      <c r="I94" s="2061">
        <v>-6.2489999999999997</v>
      </c>
      <c r="J94" s="1354"/>
      <c r="K94" s="1109">
        <f t="shared" si="7"/>
        <v>-347.15199999999999</v>
      </c>
      <c r="L94" s="1109"/>
      <c r="M94" s="1359"/>
      <c r="N94" s="1359"/>
    </row>
    <row r="95" spans="1:15">
      <c r="A95" s="1350" t="s">
        <v>310</v>
      </c>
      <c r="B95" s="1350"/>
      <c r="C95" s="1109">
        <v>130.11099999999999</v>
      </c>
      <c r="D95" s="1354"/>
      <c r="E95" s="2061">
        <v>16.344000000000001</v>
      </c>
      <c r="F95" s="2057"/>
      <c r="G95" s="2061">
        <v>15.565</v>
      </c>
      <c r="H95" s="2057"/>
      <c r="I95" s="2061">
        <v>-8.9999999999999993E-3</v>
      </c>
      <c r="J95" s="1354"/>
      <c r="K95" s="1109">
        <f t="shared" si="7"/>
        <v>130.881</v>
      </c>
      <c r="L95" s="1109"/>
      <c r="M95" s="1359"/>
      <c r="N95" s="1359"/>
    </row>
    <row r="96" spans="1:15">
      <c r="A96" s="1354" t="s">
        <v>311</v>
      </c>
      <c r="B96" s="1350"/>
      <c r="C96" s="1364">
        <v>-0.55400000000000005</v>
      </c>
      <c r="D96" s="1354"/>
      <c r="E96" s="2061">
        <v>0.69499999999999995</v>
      </c>
      <c r="F96" s="2057"/>
      <c r="G96" s="2061">
        <v>0.58399999999999996</v>
      </c>
      <c r="H96" s="2057"/>
      <c r="I96" s="2061">
        <v>0</v>
      </c>
      <c r="J96" s="1354"/>
      <c r="K96" s="1109">
        <f t="shared" si="7"/>
        <v>-0.443</v>
      </c>
      <c r="L96" s="1109"/>
      <c r="M96" s="1359"/>
      <c r="N96" s="1359"/>
    </row>
    <row r="97" spans="1:15">
      <c r="A97" s="1360" t="s">
        <v>312</v>
      </c>
      <c r="B97" s="1350"/>
      <c r="C97" s="1364">
        <v>-0.441</v>
      </c>
      <c r="D97" s="1354"/>
      <c r="E97" s="2061">
        <v>19.231999999999999</v>
      </c>
      <c r="F97" s="2057"/>
      <c r="G97" s="2061">
        <v>19.132999999999999</v>
      </c>
      <c r="H97" s="2057"/>
      <c r="I97" s="2061">
        <v>0</v>
      </c>
      <c r="J97" s="1354"/>
      <c r="K97" s="1109">
        <f t="shared" si="7"/>
        <v>-0.34200000000000003</v>
      </c>
      <c r="L97" s="1109"/>
      <c r="M97" s="1359"/>
      <c r="N97" s="1359"/>
    </row>
    <row r="98" spans="1:15">
      <c r="A98" s="794" t="s">
        <v>313</v>
      </c>
      <c r="B98" s="1350"/>
      <c r="C98" s="811">
        <f>ROUND(SUM(C91:C97),3)</f>
        <v>305.47300000000001</v>
      </c>
      <c r="D98" s="805"/>
      <c r="E98" s="811">
        <f>ROUND(SUM(E91:E97),3)</f>
        <v>3645.2420000000002</v>
      </c>
      <c r="F98" s="805"/>
      <c r="G98" s="811">
        <f>ROUND(SUM(G91:G97),3)</f>
        <v>4236.5060000000003</v>
      </c>
      <c r="H98" s="805"/>
      <c r="I98" s="811">
        <f>ROUND(SUM(I91:I97),3)</f>
        <v>-65.454999999999998</v>
      </c>
      <c r="J98" s="805"/>
      <c r="K98" s="811">
        <f>ROUND(SUM(K91:K97),3)</f>
        <v>-351.24599999999998</v>
      </c>
      <c r="L98" s="812"/>
      <c r="M98" s="1359"/>
      <c r="N98" s="1359"/>
    </row>
    <row r="99" spans="1:15" ht="12" customHeight="1">
      <c r="A99" s="789"/>
      <c r="B99" s="1350"/>
      <c r="C99" s="1362"/>
      <c r="D99" s="1354"/>
      <c r="E99" s="1362"/>
      <c r="F99" s="1354"/>
      <c r="G99" s="1362"/>
      <c r="H99" s="1354"/>
      <c r="I99" s="1362"/>
      <c r="J99" s="1354"/>
      <c r="K99" s="1362"/>
      <c r="L99" s="1362"/>
      <c r="M99" s="1359"/>
      <c r="N99" s="1359"/>
    </row>
    <row r="100" spans="1:15">
      <c r="A100" s="807" t="s">
        <v>314</v>
      </c>
      <c r="B100" s="1350"/>
      <c r="C100" s="3089">
        <f>C88+C98</f>
        <v>3914.942</v>
      </c>
      <c r="D100" s="805"/>
      <c r="E100" s="3089">
        <f>E88+E98</f>
        <v>8072.5610000000006</v>
      </c>
      <c r="F100" s="805"/>
      <c r="G100" s="3089">
        <f>G88+G98</f>
        <v>8799.4340000000011</v>
      </c>
      <c r="H100" s="805"/>
      <c r="I100" s="3089">
        <f>I88+I98</f>
        <v>204.08600000000001</v>
      </c>
      <c r="J100" s="805"/>
      <c r="K100" s="3089">
        <f>K88+K98</f>
        <v>3392.1549999999997</v>
      </c>
      <c r="L100" s="812"/>
      <c r="M100" s="808"/>
      <c r="N100" s="808"/>
      <c r="O100" s="1359"/>
    </row>
    <row r="101" spans="1:15" ht="10.5" customHeight="1">
      <c r="A101" s="1369"/>
      <c r="B101" s="1350"/>
      <c r="C101" s="1362"/>
      <c r="D101" s="1354"/>
      <c r="E101" s="1362"/>
      <c r="F101" s="1354"/>
      <c r="G101" s="1362"/>
      <c r="H101" s="1354"/>
      <c r="I101" s="1362"/>
      <c r="J101" s="1354"/>
      <c r="K101" s="1362"/>
      <c r="L101" s="1362"/>
      <c r="M101" s="1359"/>
      <c r="N101" s="1359"/>
    </row>
    <row r="102" spans="1:15">
      <c r="A102" s="797" t="s">
        <v>189</v>
      </c>
      <c r="B102" s="1350"/>
      <c r="C102" s="1354"/>
      <c r="D102" s="1354"/>
      <c r="E102" s="1265"/>
      <c r="F102" s="1265"/>
      <c r="G102" s="1265"/>
      <c r="H102" s="1265"/>
      <c r="I102" s="1265"/>
      <c r="J102" s="803"/>
      <c r="K102" s="1265"/>
      <c r="L102" s="1354"/>
      <c r="M102" s="1359"/>
      <c r="N102" s="1359"/>
    </row>
    <row r="103" spans="1:15">
      <c r="A103" s="1350" t="s">
        <v>315</v>
      </c>
      <c r="B103" s="1350"/>
      <c r="C103" s="3166">
        <v>0</v>
      </c>
      <c r="D103" s="1354"/>
      <c r="E103" s="3137">
        <v>0</v>
      </c>
      <c r="F103" s="2057"/>
      <c r="G103" s="3137">
        <v>0</v>
      </c>
      <c r="H103" s="2057"/>
      <c r="I103" s="3137">
        <v>0</v>
      </c>
      <c r="J103" s="1354"/>
      <c r="K103" s="1364">
        <f>ROUND(SUM(C103)+SUM(E103)+SUM(I103)-SUM(G103),3)</f>
        <v>0</v>
      </c>
      <c r="L103" s="1364"/>
      <c r="M103" s="1359"/>
      <c r="N103" s="1359"/>
    </row>
    <row r="104" spans="1:15">
      <c r="A104" s="1354" t="s">
        <v>316</v>
      </c>
      <c r="B104" s="1354"/>
      <c r="C104" s="1364">
        <v>303.416</v>
      </c>
      <c r="D104" s="1348"/>
      <c r="E104" s="3137">
        <v>26.49</v>
      </c>
      <c r="F104" s="2057"/>
      <c r="G104" s="3137">
        <v>0.20300000000000001</v>
      </c>
      <c r="H104" s="2057"/>
      <c r="I104" s="3137">
        <v>-21.766999999999999</v>
      </c>
      <c r="J104" s="1354"/>
      <c r="K104" s="1364">
        <f t="shared" ref="K104:K106" si="8">ROUND(SUM(C104)+SUM(E104)+SUM(I104)-SUM(G104),3)</f>
        <v>307.93599999999998</v>
      </c>
      <c r="L104" s="1363"/>
      <c r="M104" s="1359"/>
      <c r="N104" s="1359"/>
    </row>
    <row r="105" spans="1:15">
      <c r="A105" s="1350" t="s">
        <v>317</v>
      </c>
      <c r="B105" s="1350"/>
      <c r="C105" s="1364">
        <v>378.87900000000002</v>
      </c>
      <c r="D105" s="1348"/>
      <c r="E105" s="3137">
        <v>3088.8339999999998</v>
      </c>
      <c r="F105" s="2057"/>
      <c r="G105" s="3137">
        <v>31.524000000000001</v>
      </c>
      <c r="H105" s="2057"/>
      <c r="I105" s="3137">
        <v>-854.48500000000001</v>
      </c>
      <c r="J105" s="1354"/>
      <c r="K105" s="1364">
        <f>ROUND(SUM(C105)+SUM(E105)+SUM(I105)-SUM(G105),3)</f>
        <v>2581.7040000000002</v>
      </c>
      <c r="L105" s="1363"/>
      <c r="M105" s="1359"/>
      <c r="N105" s="1359"/>
    </row>
    <row r="106" spans="1:15">
      <c r="A106" s="1350" t="s">
        <v>318</v>
      </c>
      <c r="B106" s="1350"/>
      <c r="C106" s="1364">
        <v>0</v>
      </c>
      <c r="D106" s="1348"/>
      <c r="E106" s="3137">
        <v>1.268</v>
      </c>
      <c r="F106" s="2057"/>
      <c r="G106" s="3137">
        <v>0</v>
      </c>
      <c r="H106" s="2057" t="s">
        <v>15</v>
      </c>
      <c r="I106" s="3137">
        <v>-1.268</v>
      </c>
      <c r="J106" s="1354"/>
      <c r="K106" s="1364">
        <f t="shared" si="8"/>
        <v>0</v>
      </c>
      <c r="L106" s="1364"/>
      <c r="M106" s="1359"/>
      <c r="N106" s="1359"/>
    </row>
    <row r="107" spans="1:15">
      <c r="A107" s="1350" t="s">
        <v>319</v>
      </c>
      <c r="B107" s="1350"/>
      <c r="C107" s="1109">
        <v>30.78</v>
      </c>
      <c r="D107" s="1348"/>
      <c r="E107" s="3137">
        <v>18.245999999999999</v>
      </c>
      <c r="F107" s="2057"/>
      <c r="G107" s="3137">
        <v>0</v>
      </c>
      <c r="H107" s="2057"/>
      <c r="I107" s="3137">
        <v>-13.510999999999999</v>
      </c>
      <c r="J107" s="1354"/>
      <c r="K107" s="1364">
        <f>ROUND(SUM(C107)+SUM(E107)+SUM(I107)-SUM(G107),3)</f>
        <v>35.515000000000001</v>
      </c>
      <c r="L107" s="1363"/>
      <c r="M107" s="1359"/>
      <c r="N107" s="1359"/>
    </row>
    <row r="108" spans="1:15">
      <c r="A108" s="1350" t="s">
        <v>320</v>
      </c>
      <c r="B108" s="1350"/>
      <c r="C108" s="1364">
        <v>21.797999999999998</v>
      </c>
      <c r="D108" s="1348"/>
      <c r="E108" s="3137">
        <v>82.989000000000004</v>
      </c>
      <c r="F108" s="2057"/>
      <c r="G108" s="3137">
        <v>0</v>
      </c>
      <c r="H108" s="2057"/>
      <c r="I108" s="3137">
        <v>-77.947000000000003</v>
      </c>
      <c r="J108" s="1354"/>
      <c r="K108" s="1364">
        <f>ROUND(SUM(C108)+SUM(E108)+SUM(I108)-SUM(G108),3)</f>
        <v>26.84</v>
      </c>
      <c r="L108" s="1363"/>
      <c r="M108" s="1359"/>
      <c r="N108" s="1359"/>
    </row>
    <row r="109" spans="1:15">
      <c r="A109" s="1360" t="s">
        <v>321</v>
      </c>
      <c r="B109" s="1354"/>
      <c r="C109" s="1364">
        <v>1.81</v>
      </c>
      <c r="D109" s="1354"/>
      <c r="E109" s="3137">
        <v>279.93</v>
      </c>
      <c r="F109" s="2057"/>
      <c r="G109" s="3137">
        <v>0.254</v>
      </c>
      <c r="H109" s="2057"/>
      <c r="I109" s="3137">
        <v>-279.79599999999999</v>
      </c>
      <c r="J109" s="1354"/>
      <c r="K109" s="1364">
        <f>ROUND(SUM(C109)+SUM(E109)+SUM(I109)-SUM(G109),3)</f>
        <v>1.69</v>
      </c>
      <c r="L109" s="1363"/>
      <c r="M109" s="1359"/>
      <c r="N109" s="1359"/>
    </row>
    <row r="110" spans="1:15">
      <c r="A110" s="809" t="s">
        <v>322</v>
      </c>
      <c r="B110" s="1370"/>
      <c r="C110" s="811">
        <f>ROUND(SUM(C103:C109),3)</f>
        <v>736.68299999999999</v>
      </c>
      <c r="D110" s="813"/>
      <c r="E110" s="811">
        <f>ROUND(SUM(E103:E109),3)</f>
        <v>3497.7570000000001</v>
      </c>
      <c r="F110" s="813"/>
      <c r="G110" s="811">
        <f>ROUND(SUM(G103:G109),3)</f>
        <v>31.981000000000002</v>
      </c>
      <c r="H110" s="813"/>
      <c r="I110" s="811">
        <f>ROUND(SUM(I103:I109),3)</f>
        <v>-1248.7739999999999</v>
      </c>
      <c r="J110" s="813"/>
      <c r="K110" s="811">
        <f>ROUND(SUM(K103:K109),3)</f>
        <v>2953.6849999999999</v>
      </c>
      <c r="L110" s="812"/>
      <c r="M110" s="808"/>
      <c r="N110" s="1359"/>
    </row>
    <row r="111" spans="1:15" ht="16.95" customHeight="1">
      <c r="A111" s="1350"/>
      <c r="B111" s="1350"/>
      <c r="C111" s="1362"/>
      <c r="D111" s="1354"/>
      <c r="E111" s="1362"/>
      <c r="F111" s="1354"/>
      <c r="G111" s="1362"/>
      <c r="H111" s="1354"/>
      <c r="I111" s="1362"/>
      <c r="J111" s="1354"/>
      <c r="K111" s="1362" t="s">
        <v>15</v>
      </c>
      <c r="L111" s="1362"/>
      <c r="M111" s="1359"/>
      <c r="N111" s="1359"/>
    </row>
    <row r="112" spans="1:15">
      <c r="A112" s="810" t="s">
        <v>1020</v>
      </c>
      <c r="B112" s="1350"/>
      <c r="K112" s="1371"/>
      <c r="L112" s="1109"/>
      <c r="M112" s="1359"/>
      <c r="N112" s="1359"/>
    </row>
    <row r="113" spans="1:14" s="1372" customFormat="1" ht="16.2" customHeight="1">
      <c r="A113" s="1354" t="s">
        <v>323</v>
      </c>
      <c r="B113" s="1348"/>
      <c r="C113" s="2890">
        <v>0</v>
      </c>
      <c r="D113" s="2889"/>
      <c r="E113" s="2060">
        <v>8.5000000000000006E-2</v>
      </c>
      <c r="F113" s="2056"/>
      <c r="G113" s="2060">
        <v>247.096</v>
      </c>
      <c r="H113" s="2056"/>
      <c r="I113" s="2060">
        <v>247.011</v>
      </c>
      <c r="J113" s="1348"/>
      <c r="K113" s="1364">
        <f t="shared" ref="K113:K118" si="9">ROUND(SUM(C113)+SUM(E113)-SUM(G113)+SUM(I113),3)</f>
        <v>0</v>
      </c>
      <c r="L113" s="1364"/>
      <c r="M113" s="1371"/>
      <c r="N113" s="1371"/>
    </row>
    <row r="114" spans="1:14" s="1372" customFormat="1">
      <c r="A114" s="1354" t="s">
        <v>324</v>
      </c>
      <c r="B114" s="1361"/>
      <c r="C114" s="1348">
        <v>-190.702</v>
      </c>
      <c r="D114" s="2889"/>
      <c r="E114" s="2060">
        <v>304.88400000000001</v>
      </c>
      <c r="F114" s="2056"/>
      <c r="G114" s="2060">
        <v>267.209</v>
      </c>
      <c r="H114" s="2056"/>
      <c r="I114" s="2060">
        <v>-20.927</v>
      </c>
      <c r="J114" s="1354"/>
      <c r="K114" s="1364">
        <f>ROUND(SUM(C114)+SUM(E114)-SUM(G114)+SUM(I114),3)</f>
        <v>-173.95400000000001</v>
      </c>
      <c r="L114" s="1109"/>
      <c r="M114" s="1371"/>
      <c r="N114" s="1371"/>
    </row>
    <row r="115" spans="1:14" s="1372" customFormat="1">
      <c r="A115" s="1354" t="s">
        <v>325</v>
      </c>
      <c r="B115" s="1354"/>
      <c r="C115" s="1348">
        <v>144.49199999999999</v>
      </c>
      <c r="D115" s="2889"/>
      <c r="E115" s="2060">
        <v>0.158</v>
      </c>
      <c r="F115" s="2056"/>
      <c r="G115" s="2060">
        <v>4.1999999999999996E-2</v>
      </c>
      <c r="H115" s="2056"/>
      <c r="I115" s="2060">
        <v>0.60499999999999998</v>
      </c>
      <c r="J115" s="1354"/>
      <c r="K115" s="1364">
        <f t="shared" si="9"/>
        <v>145.21299999999999</v>
      </c>
      <c r="L115" s="1109"/>
      <c r="M115" s="1371"/>
      <c r="N115" s="1371"/>
    </row>
    <row r="116" spans="1:14" s="1372" customFormat="1">
      <c r="A116" s="1354" t="s">
        <v>326</v>
      </c>
      <c r="B116" s="1354"/>
      <c r="C116" s="2890">
        <v>7.3659999999999997</v>
      </c>
      <c r="D116" s="2889"/>
      <c r="E116" s="2060">
        <v>8.0000000000000002E-3</v>
      </c>
      <c r="F116" s="2056"/>
      <c r="G116" s="2060">
        <v>0</v>
      </c>
      <c r="H116" s="2056"/>
      <c r="I116" s="2060">
        <v>0</v>
      </c>
      <c r="J116" s="1354"/>
      <c r="K116" s="1364">
        <f t="shared" si="9"/>
        <v>7.3739999999999997</v>
      </c>
      <c r="L116" s="1109"/>
      <c r="M116" s="1371"/>
      <c r="N116" s="1371"/>
    </row>
    <row r="117" spans="1:14" s="1372" customFormat="1">
      <c r="A117" s="1354" t="s">
        <v>327</v>
      </c>
      <c r="B117" s="1354"/>
      <c r="C117" s="1348">
        <v>-63.779000000000003</v>
      </c>
      <c r="D117" s="2889"/>
      <c r="E117" s="2060">
        <v>0</v>
      </c>
      <c r="F117" s="2056"/>
      <c r="G117" s="2060">
        <v>15.34</v>
      </c>
      <c r="H117" s="2056"/>
      <c r="I117" s="2060">
        <v>0</v>
      </c>
      <c r="J117" s="1354"/>
      <c r="K117" s="1364">
        <f t="shared" si="9"/>
        <v>-79.119</v>
      </c>
      <c r="L117" s="1109"/>
      <c r="M117" s="1371"/>
      <c r="N117" s="1371"/>
    </row>
    <row r="118" spans="1:14" s="1372" customFormat="1">
      <c r="A118" s="1354" t="s">
        <v>328</v>
      </c>
      <c r="B118" s="1354"/>
      <c r="C118" s="2890">
        <v>1.4999999999999999E-2</v>
      </c>
      <c r="D118" s="2889"/>
      <c r="E118" s="2060">
        <v>0</v>
      </c>
      <c r="F118" s="2056"/>
      <c r="G118" s="2060">
        <v>0</v>
      </c>
      <c r="H118" s="2056"/>
      <c r="I118" s="2060">
        <v>0</v>
      </c>
      <c r="J118" s="1354"/>
      <c r="K118" s="1364">
        <f t="shared" si="9"/>
        <v>1.4999999999999999E-2</v>
      </c>
      <c r="L118" s="1109"/>
      <c r="M118" s="1371"/>
      <c r="N118" s="1371"/>
    </row>
    <row r="119" spans="1:14" s="1372" customFormat="1">
      <c r="A119" s="1354" t="s">
        <v>329</v>
      </c>
      <c r="B119" s="1354"/>
      <c r="C119" s="1348">
        <v>164.946</v>
      </c>
      <c r="D119" s="2889"/>
      <c r="E119" s="2060">
        <v>13.952</v>
      </c>
      <c r="F119" s="2056"/>
      <c r="G119" s="2060">
        <v>12.618</v>
      </c>
      <c r="H119" s="2056"/>
      <c r="I119" s="2060">
        <v>0</v>
      </c>
      <c r="J119" s="1354"/>
      <c r="K119" s="1364">
        <f t="shared" ref="K119" si="10">ROUND(SUM(C119)+SUM(E119)-SUM(G119)+SUM(I119),3)</f>
        <v>166.28</v>
      </c>
      <c r="L119" s="1109"/>
      <c r="M119" s="1371"/>
      <c r="N119" s="1371"/>
    </row>
    <row r="120" spans="1:14" s="1372" customFormat="1">
      <c r="A120" s="1354" t="s">
        <v>330</v>
      </c>
      <c r="B120" s="1354"/>
      <c r="C120" s="2890">
        <v>0</v>
      </c>
      <c r="D120" s="2889"/>
      <c r="E120" s="2060">
        <v>0</v>
      </c>
      <c r="F120" s="2056"/>
      <c r="G120" s="2060">
        <v>0</v>
      </c>
      <c r="H120" s="2056"/>
      <c r="I120" s="2060">
        <v>0</v>
      </c>
      <c r="J120" s="1354"/>
      <c r="K120" s="1364">
        <f t="shared" ref="K120" si="11">ROUND(SUM(C120)+SUM(E120)-SUM(G120)+SUM(I120),3)</f>
        <v>0</v>
      </c>
      <c r="L120" s="1109"/>
      <c r="M120" s="1371"/>
      <c r="N120" s="1371"/>
    </row>
    <row r="121" spans="1:14" s="1372" customFormat="1">
      <c r="A121" s="1354" t="s">
        <v>331</v>
      </c>
      <c r="B121" s="1354"/>
      <c r="C121" s="2890">
        <v>0.16400000000000001</v>
      </c>
      <c r="D121" s="2889"/>
      <c r="E121" s="2060">
        <v>0</v>
      </c>
      <c r="F121" s="2056"/>
      <c r="G121" s="2060">
        <v>0</v>
      </c>
      <c r="H121" s="2056"/>
      <c r="I121" s="2060">
        <v>0</v>
      </c>
      <c r="J121" s="1354"/>
      <c r="K121" s="1364">
        <f t="shared" ref="K121:K128" si="12">ROUND(SUM(C121)+SUM(E121)-SUM(G121)+SUM(I121),3)</f>
        <v>0.16400000000000001</v>
      </c>
      <c r="L121" s="1109"/>
      <c r="M121" s="1371"/>
      <c r="N121" s="1371"/>
    </row>
    <row r="122" spans="1:14" s="1372" customFormat="1">
      <c r="A122" s="1354" t="s">
        <v>1052</v>
      </c>
      <c r="B122" s="1354"/>
      <c r="C122" s="2890">
        <v>0</v>
      </c>
      <c r="D122" s="2889"/>
      <c r="E122" s="2060">
        <v>0</v>
      </c>
      <c r="F122" s="2056"/>
      <c r="G122" s="2060">
        <v>0</v>
      </c>
      <c r="H122" s="2056"/>
      <c r="I122" s="2060">
        <v>0</v>
      </c>
      <c r="J122" s="1354"/>
      <c r="K122" s="1364">
        <f t="shared" si="12"/>
        <v>0</v>
      </c>
      <c r="L122" s="1109"/>
      <c r="M122" s="1371"/>
      <c r="N122" s="1371"/>
    </row>
    <row r="123" spans="1:14" s="1372" customFormat="1">
      <c r="A123" s="1354" t="s">
        <v>332</v>
      </c>
      <c r="B123" s="1354"/>
      <c r="C123" s="1348">
        <v>0.66800000000000004</v>
      </c>
      <c r="D123" s="2889"/>
      <c r="E123" s="2060">
        <v>0</v>
      </c>
      <c r="F123" s="2056"/>
      <c r="G123" s="2060">
        <v>0</v>
      </c>
      <c r="H123" s="2056"/>
      <c r="I123" s="2060">
        <v>0</v>
      </c>
      <c r="J123" s="1354"/>
      <c r="K123" s="1364">
        <f t="shared" si="12"/>
        <v>0.66800000000000004</v>
      </c>
      <c r="L123" s="1109"/>
      <c r="M123" s="1371"/>
      <c r="N123" s="1371"/>
    </row>
    <row r="124" spans="1:14" s="1372" customFormat="1">
      <c r="A124" s="1354" t="s">
        <v>333</v>
      </c>
      <c r="B124" s="1354"/>
      <c r="C124" s="2890">
        <v>3.3279999999999998</v>
      </c>
      <c r="D124" s="2889"/>
      <c r="E124" s="2060">
        <v>0</v>
      </c>
      <c r="F124" s="2056"/>
      <c r="G124" s="2060">
        <v>0</v>
      </c>
      <c r="H124" s="2056"/>
      <c r="I124" s="2060">
        <v>0</v>
      </c>
      <c r="J124" s="1354"/>
      <c r="K124" s="1364">
        <f t="shared" si="12"/>
        <v>3.3279999999999998</v>
      </c>
      <c r="L124" s="1109"/>
      <c r="M124" s="1371"/>
      <c r="N124" s="1371"/>
    </row>
    <row r="125" spans="1:14" s="1372" customFormat="1">
      <c r="A125" s="1354" t="s">
        <v>334</v>
      </c>
      <c r="B125" s="1354"/>
      <c r="C125" s="2890">
        <v>1.4510000000000001</v>
      </c>
      <c r="D125" s="2889"/>
      <c r="E125" s="2060">
        <v>0</v>
      </c>
      <c r="F125" s="2056"/>
      <c r="G125" s="2060">
        <v>0</v>
      </c>
      <c r="H125" s="2056"/>
      <c r="I125" s="2060">
        <v>0</v>
      </c>
      <c r="J125" s="1354"/>
      <c r="K125" s="1364">
        <f t="shared" si="12"/>
        <v>1.4510000000000001</v>
      </c>
      <c r="L125" s="1109"/>
      <c r="M125" s="1371"/>
      <c r="N125" s="1371"/>
    </row>
    <row r="126" spans="1:14" s="1372" customFormat="1">
      <c r="A126" s="1354" t="s">
        <v>335</v>
      </c>
      <c r="B126" s="1354"/>
      <c r="C126" s="1348">
        <v>18.959</v>
      </c>
      <c r="D126" s="2889"/>
      <c r="E126" s="2060">
        <v>0</v>
      </c>
      <c r="F126" s="2056"/>
      <c r="G126" s="2060">
        <v>0</v>
      </c>
      <c r="H126" s="2056"/>
      <c r="I126" s="2060">
        <v>-2E-3</v>
      </c>
      <c r="J126" s="1354"/>
      <c r="K126" s="1364">
        <f t="shared" si="12"/>
        <v>18.957000000000001</v>
      </c>
      <c r="L126" s="1109"/>
      <c r="M126" s="1371"/>
      <c r="N126" s="1371"/>
    </row>
    <row r="127" spans="1:14" s="1372" customFormat="1">
      <c r="A127" s="1354" t="s">
        <v>336</v>
      </c>
      <c r="B127" s="1354"/>
      <c r="C127" s="2890">
        <v>4.2549999999999999</v>
      </c>
      <c r="D127" s="2889"/>
      <c r="E127" s="2060">
        <v>0</v>
      </c>
      <c r="F127" s="2056"/>
      <c r="G127" s="2060">
        <v>0</v>
      </c>
      <c r="H127" s="2056"/>
      <c r="I127" s="2060">
        <v>0</v>
      </c>
      <c r="J127" s="1354"/>
      <c r="K127" s="1364">
        <f t="shared" si="12"/>
        <v>4.2549999999999999</v>
      </c>
      <c r="L127" s="1109"/>
      <c r="M127" s="1371"/>
      <c r="N127" s="1371"/>
    </row>
    <row r="128" spans="1:14" s="1372" customFormat="1">
      <c r="A128" s="1354" t="s">
        <v>337</v>
      </c>
      <c r="B128" s="1354"/>
      <c r="C128" s="2890">
        <v>5.5519999999999996</v>
      </c>
      <c r="D128" s="2889"/>
      <c r="E128" s="2060">
        <v>0</v>
      </c>
      <c r="F128" s="2056"/>
      <c r="G128" s="2060">
        <v>0</v>
      </c>
      <c r="H128" s="2056"/>
      <c r="I128" s="2060">
        <v>0</v>
      </c>
      <c r="J128" s="1354"/>
      <c r="K128" s="1364">
        <f t="shared" si="12"/>
        <v>5.5519999999999996</v>
      </c>
      <c r="L128" s="1109"/>
      <c r="M128" s="1371"/>
      <c r="N128" s="1371"/>
    </row>
    <row r="129" spans="1:14" s="1372" customFormat="1">
      <c r="A129" s="1354" t="s">
        <v>338</v>
      </c>
      <c r="B129" s="1354"/>
      <c r="C129" s="2890"/>
      <c r="D129" s="2889"/>
      <c r="E129" s="2060"/>
      <c r="F129" s="2056"/>
      <c r="G129" s="2060"/>
      <c r="H129" s="2056"/>
      <c r="I129" s="2060"/>
      <c r="J129" s="1354"/>
      <c r="K129" s="1364"/>
      <c r="L129" s="1109"/>
      <c r="M129" s="1371"/>
      <c r="N129" s="1371"/>
    </row>
    <row r="130" spans="1:14" s="1372" customFormat="1">
      <c r="A130" s="1354" t="s">
        <v>339</v>
      </c>
      <c r="B130" s="1354"/>
      <c r="C130" s="2890">
        <v>2.778</v>
      </c>
      <c r="D130" s="2889"/>
      <c r="E130" s="2060">
        <v>0</v>
      </c>
      <c r="F130" s="2056"/>
      <c r="G130" s="2060">
        <v>0</v>
      </c>
      <c r="H130" s="2056"/>
      <c r="I130" s="2060">
        <v>0</v>
      </c>
      <c r="J130" s="1354"/>
      <c r="K130" s="1364">
        <f>ROUND(SUM(C130)+SUM(E130)-SUM(G130)+SUM(I130),3)</f>
        <v>2.778</v>
      </c>
      <c r="L130" s="1109"/>
      <c r="M130" s="1371"/>
      <c r="N130" s="1371"/>
    </row>
    <row r="131" spans="1:14" s="1372" customFormat="1">
      <c r="A131" s="1354" t="s">
        <v>340</v>
      </c>
      <c r="B131" s="1354"/>
      <c r="C131" s="2890">
        <v>1.4279999999999999</v>
      </c>
      <c r="D131" s="2889"/>
      <c r="E131" s="2060">
        <v>0</v>
      </c>
      <c r="F131" s="2056"/>
      <c r="G131" s="2060">
        <v>0</v>
      </c>
      <c r="H131" s="2056"/>
      <c r="I131" s="2060">
        <v>0</v>
      </c>
      <c r="J131" s="1354"/>
      <c r="K131" s="1364">
        <f>ROUND(SUM(C131)+SUM(E131)-SUM(G131)+SUM(I131),3)</f>
        <v>1.4279999999999999</v>
      </c>
      <c r="L131" s="1109"/>
      <c r="M131" s="1371"/>
      <c r="N131" s="1371"/>
    </row>
    <row r="132" spans="1:14" s="1372" customFormat="1">
      <c r="A132" s="1354" t="s">
        <v>1312</v>
      </c>
      <c r="B132" s="1354"/>
      <c r="C132" s="2890">
        <v>0</v>
      </c>
      <c r="D132" s="2889"/>
      <c r="E132" s="2060">
        <v>0</v>
      </c>
      <c r="F132" s="2056"/>
      <c r="G132" s="2060">
        <v>0</v>
      </c>
      <c r="H132" s="2056"/>
      <c r="I132" s="2060">
        <v>0</v>
      </c>
      <c r="J132" s="1354"/>
      <c r="K132" s="1364">
        <f>ROUND(SUM(C132)+SUM(E132)-SUM(G132)+SUM(I132),3)</f>
        <v>0</v>
      </c>
      <c r="L132" s="1109"/>
      <c r="M132" s="1371"/>
      <c r="N132" s="1371"/>
    </row>
    <row r="133" spans="1:14" s="1372" customFormat="1">
      <c r="A133" s="1354" t="s">
        <v>1311</v>
      </c>
      <c r="B133" s="1354"/>
      <c r="C133" s="2890">
        <v>0</v>
      </c>
      <c r="D133" s="2889"/>
      <c r="E133" s="2060">
        <v>0</v>
      </c>
      <c r="F133" s="2056"/>
      <c r="G133" s="2060">
        <v>0</v>
      </c>
      <c r="H133" s="2056"/>
      <c r="I133" s="2060">
        <v>0</v>
      </c>
      <c r="J133" s="1354" t="s">
        <v>15</v>
      </c>
      <c r="K133" s="1109">
        <f t="shared" ref="K133:K135" si="13">ROUND(SUM(C133)+SUM(E133)-SUM(G133)+SUM(I133),3)</f>
        <v>0</v>
      </c>
      <c r="L133" s="1109"/>
      <c r="M133" s="1371"/>
      <c r="N133" s="1371"/>
    </row>
    <row r="134" spans="1:14" s="1372" customFormat="1">
      <c r="A134" s="1354" t="s">
        <v>341</v>
      </c>
      <c r="B134" s="1354"/>
      <c r="C134" s="2890">
        <v>0</v>
      </c>
      <c r="D134" s="2889"/>
      <c r="E134" s="2060">
        <v>0</v>
      </c>
      <c r="F134" s="2056"/>
      <c r="G134" s="2060">
        <v>0</v>
      </c>
      <c r="H134" s="2056"/>
      <c r="I134" s="2060">
        <v>0</v>
      </c>
      <c r="J134" s="1354"/>
      <c r="K134" s="1109">
        <f t="shared" si="13"/>
        <v>0</v>
      </c>
      <c r="L134" s="1109"/>
      <c r="M134" s="1371"/>
      <c r="N134" s="1371"/>
    </row>
    <row r="135" spans="1:14" s="1372" customFormat="1">
      <c r="A135" s="1354" t="s">
        <v>342</v>
      </c>
      <c r="B135" s="1354"/>
      <c r="C135" s="2890">
        <v>0</v>
      </c>
      <c r="D135" s="2889"/>
      <c r="E135" s="2060">
        <v>0</v>
      </c>
      <c r="F135" s="2056"/>
      <c r="G135" s="2060">
        <v>0</v>
      </c>
      <c r="H135" s="2056"/>
      <c r="I135" s="2060">
        <v>0</v>
      </c>
      <c r="J135" s="1354"/>
      <c r="K135" s="1109">
        <f t="shared" si="13"/>
        <v>0</v>
      </c>
      <c r="L135" s="1109"/>
      <c r="M135" s="1371"/>
      <c r="N135" s="1371"/>
    </row>
    <row r="136" spans="1:14" s="1372" customFormat="1">
      <c r="A136" s="1354" t="s">
        <v>343</v>
      </c>
      <c r="B136" s="1354"/>
      <c r="C136" s="1348">
        <v>-417.88900000000001</v>
      </c>
      <c r="D136" s="2889"/>
      <c r="E136" s="2060">
        <v>126.54300000000001</v>
      </c>
      <c r="F136" s="2056"/>
      <c r="G136" s="2060">
        <v>122.551</v>
      </c>
      <c r="H136" s="2056"/>
      <c r="I136" s="2060">
        <v>0</v>
      </c>
      <c r="J136" s="1354"/>
      <c r="K136" s="1364">
        <f>ROUND(SUM(C136)+SUM(E136)-SUM(G136)+SUM(I136),3)</f>
        <v>-413.89699999999999</v>
      </c>
      <c r="L136" s="1109"/>
      <c r="M136" s="1371"/>
      <c r="N136" s="1371"/>
    </row>
    <row r="137" spans="1:14" s="1372" customFormat="1">
      <c r="A137" s="1354" t="s">
        <v>344</v>
      </c>
      <c r="B137" s="1354"/>
      <c r="C137" s="2890">
        <v>0.91400000000000003</v>
      </c>
      <c r="D137" s="2889"/>
      <c r="E137" s="2060">
        <v>1E-3</v>
      </c>
      <c r="F137" s="2056"/>
      <c r="G137" s="2060">
        <v>0</v>
      </c>
      <c r="H137" s="2056"/>
      <c r="I137" s="2060">
        <v>0</v>
      </c>
      <c r="J137" s="1354"/>
      <c r="K137" s="1364">
        <f>ROUND(SUM(C137)+SUM(E137)-SUM(G137)+SUM(I137),3)</f>
        <v>0.91500000000000004</v>
      </c>
      <c r="L137" s="1109"/>
      <c r="M137" s="1371"/>
      <c r="N137" s="1371"/>
    </row>
    <row r="138" spans="1:14" s="1372" customFormat="1">
      <c r="A138" s="1361" t="s">
        <v>345</v>
      </c>
      <c r="B138" s="1354"/>
      <c r="C138" s="1348">
        <v>-123.818</v>
      </c>
      <c r="D138" s="2889"/>
      <c r="E138" s="2060">
        <v>2.4209999999999998</v>
      </c>
      <c r="F138" s="2056"/>
      <c r="G138" s="2060">
        <v>9.16</v>
      </c>
      <c r="H138" s="2056"/>
      <c r="I138" s="2060">
        <v>-0.51400000000000001</v>
      </c>
      <c r="J138" s="1354"/>
      <c r="K138" s="1364">
        <f>ROUND(SUM(C138)+SUM(E138)-SUM(G138)+SUM(I138),3)</f>
        <v>-131.071</v>
      </c>
      <c r="L138" s="1109"/>
      <c r="M138" s="1371"/>
      <c r="N138" s="1371"/>
    </row>
    <row r="139" spans="1:14" s="1372" customFormat="1">
      <c r="A139" s="1354" t="s">
        <v>346</v>
      </c>
      <c r="B139" s="1354"/>
      <c r="C139" s="2890">
        <v>0.51400000000000001</v>
      </c>
      <c r="D139" s="2889"/>
      <c r="E139" s="2060">
        <v>1E-3</v>
      </c>
      <c r="F139" s="2056"/>
      <c r="G139" s="2060">
        <v>0</v>
      </c>
      <c r="H139" s="2056"/>
      <c r="I139" s="2060">
        <v>0</v>
      </c>
      <c r="J139" s="1354"/>
      <c r="K139" s="1364">
        <f t="shared" ref="K139:K150" si="14">ROUND(SUM(C139)+SUM(E139)-SUM(G139)+SUM(I139),3)</f>
        <v>0.51500000000000001</v>
      </c>
      <c r="L139" s="1109"/>
      <c r="M139" s="1371"/>
      <c r="N139" s="1371"/>
    </row>
    <row r="140" spans="1:14" s="1372" customFormat="1">
      <c r="A140" s="1354" t="s">
        <v>347</v>
      </c>
      <c r="B140" s="1354"/>
      <c r="C140" s="1348">
        <v>-8.2710000000000008</v>
      </c>
      <c r="D140" s="2889"/>
      <c r="E140" s="2060">
        <v>0</v>
      </c>
      <c r="F140" s="2056"/>
      <c r="G140" s="2060">
        <v>3.2280000000000002</v>
      </c>
      <c r="H140" s="2056"/>
      <c r="I140" s="2060">
        <v>0</v>
      </c>
      <c r="J140" s="1354"/>
      <c r="K140" s="1364">
        <f t="shared" si="14"/>
        <v>-11.499000000000001</v>
      </c>
      <c r="L140" s="1109"/>
      <c r="M140" s="1371"/>
      <c r="N140" s="1371"/>
    </row>
    <row r="141" spans="1:14" s="1372" customFormat="1">
      <c r="A141" s="1354" t="s">
        <v>348</v>
      </c>
      <c r="B141" s="1354"/>
      <c r="C141" s="2890">
        <v>-13.109</v>
      </c>
      <c r="D141" s="2889"/>
      <c r="E141" s="2060">
        <v>0</v>
      </c>
      <c r="F141" s="2056"/>
      <c r="G141" s="2060">
        <v>0</v>
      </c>
      <c r="H141" s="2056"/>
      <c r="I141" s="2060">
        <v>0</v>
      </c>
      <c r="J141" s="1354"/>
      <c r="K141" s="1364">
        <f t="shared" si="14"/>
        <v>-13.109</v>
      </c>
      <c r="L141" s="1109"/>
      <c r="M141" s="1371"/>
      <c r="N141" s="1371"/>
    </row>
    <row r="142" spans="1:14" s="1372" customFormat="1">
      <c r="A142" s="1354" t="s">
        <v>349</v>
      </c>
      <c r="B142" s="1354"/>
      <c r="C142" s="1348">
        <v>-150.67599999999999</v>
      </c>
      <c r="D142" s="2889"/>
      <c r="E142" s="2060">
        <v>0</v>
      </c>
      <c r="F142" s="2056"/>
      <c r="G142" s="2060">
        <v>4.7480000000000002</v>
      </c>
      <c r="H142" s="2056"/>
      <c r="I142" s="2060">
        <v>0</v>
      </c>
      <c r="J142" s="1354"/>
      <c r="K142" s="1364">
        <f t="shared" si="14"/>
        <v>-155.42400000000001</v>
      </c>
      <c r="L142" s="1109"/>
      <c r="M142" s="1371"/>
      <c r="N142" s="1371"/>
    </row>
    <row r="143" spans="1:14" s="1372" customFormat="1">
      <c r="A143" s="1354" t="s">
        <v>350</v>
      </c>
      <c r="B143" s="1354"/>
      <c r="C143" s="1364">
        <v>18.14</v>
      </c>
      <c r="D143" s="2889"/>
      <c r="E143" s="2060">
        <v>1.9E-2</v>
      </c>
      <c r="F143" s="2056"/>
      <c r="G143" s="2060">
        <v>8.3000000000000004E-2</v>
      </c>
      <c r="H143" s="2056"/>
      <c r="I143" s="2060">
        <v>0</v>
      </c>
      <c r="J143" s="1354"/>
      <c r="K143" s="1364">
        <f t="shared" si="14"/>
        <v>18.076000000000001</v>
      </c>
      <c r="L143" s="1109"/>
      <c r="M143" s="1371"/>
      <c r="N143" s="1371"/>
    </row>
    <row r="144" spans="1:14" s="1372" customFormat="1">
      <c r="A144" s="1354" t="s">
        <v>1060</v>
      </c>
      <c r="B144" s="1354"/>
      <c r="C144" s="1348">
        <v>-12.48</v>
      </c>
      <c r="D144" s="2889"/>
      <c r="E144" s="2060">
        <v>0</v>
      </c>
      <c r="F144" s="2056"/>
      <c r="G144" s="2060">
        <v>0</v>
      </c>
      <c r="H144" s="2056"/>
      <c r="I144" s="2060">
        <v>0</v>
      </c>
      <c r="J144" s="1354"/>
      <c r="K144" s="1364">
        <f t="shared" si="14"/>
        <v>-12.48</v>
      </c>
      <c r="L144" s="1109"/>
      <c r="M144" s="1371"/>
      <c r="N144" s="1371"/>
    </row>
    <row r="145" spans="1:15" s="1372" customFormat="1">
      <c r="A145" s="1354" t="s">
        <v>351</v>
      </c>
      <c r="B145" s="1354"/>
      <c r="C145" s="1348">
        <v>52.569000000000003</v>
      </c>
      <c r="D145" s="2889"/>
      <c r="E145" s="2060">
        <v>5.8940000000000001</v>
      </c>
      <c r="F145" s="2056"/>
      <c r="G145" s="2060">
        <v>3.887</v>
      </c>
      <c r="H145" s="2056"/>
      <c r="I145" s="2060">
        <v>1.1379999999999999</v>
      </c>
      <c r="J145" s="1354"/>
      <c r="K145" s="1364">
        <f t="shared" si="14"/>
        <v>55.713999999999999</v>
      </c>
      <c r="L145" s="1109"/>
      <c r="M145" s="1371"/>
      <c r="N145" s="1371"/>
    </row>
    <row r="146" spans="1:15" s="1372" customFormat="1">
      <c r="A146" s="1354" t="s">
        <v>352</v>
      </c>
      <c r="B146" s="1354"/>
      <c r="C146" s="2890">
        <v>-2.5999999999999999E-2</v>
      </c>
      <c r="D146" s="2889"/>
      <c r="E146" s="2060">
        <v>0</v>
      </c>
      <c r="F146" s="2056"/>
      <c r="G146" s="2060">
        <v>0</v>
      </c>
      <c r="H146" s="2056"/>
      <c r="I146" s="2060">
        <v>0</v>
      </c>
      <c r="J146" s="1354"/>
      <c r="K146" s="1364">
        <f t="shared" si="14"/>
        <v>-2.5999999999999999E-2</v>
      </c>
      <c r="L146" s="1109"/>
      <c r="M146" s="1371"/>
      <c r="N146" s="1371"/>
    </row>
    <row r="147" spans="1:15" s="1372" customFormat="1">
      <c r="A147" s="1354" t="s">
        <v>353</v>
      </c>
      <c r="B147" s="1354"/>
      <c r="C147" s="1348">
        <v>-575.85</v>
      </c>
      <c r="D147" s="2889"/>
      <c r="E147" s="2060">
        <v>8.5280000000000005</v>
      </c>
      <c r="F147" s="2056"/>
      <c r="G147" s="2060">
        <v>11.765000000000001</v>
      </c>
      <c r="H147" s="2056"/>
      <c r="I147" s="2060">
        <v>0</v>
      </c>
      <c r="J147" s="1354"/>
      <c r="K147" s="1364">
        <f t="shared" si="14"/>
        <v>-579.08699999999999</v>
      </c>
      <c r="L147" s="1109"/>
      <c r="M147" s="1371"/>
      <c r="N147" s="1371"/>
    </row>
    <row r="148" spans="1:15" s="1372" customFormat="1">
      <c r="A148" s="1354" t="s">
        <v>354</v>
      </c>
      <c r="B148" s="1354"/>
      <c r="C148" s="1347">
        <v>-154.55000000000001</v>
      </c>
      <c r="D148" s="2889"/>
      <c r="E148" s="2060">
        <v>0</v>
      </c>
      <c r="F148" s="2056"/>
      <c r="G148" s="2060">
        <v>37.526000000000003</v>
      </c>
      <c r="H148" s="2056"/>
      <c r="I148" s="2060">
        <v>0</v>
      </c>
      <c r="J148" s="1354"/>
      <c r="K148" s="1364">
        <f t="shared" si="14"/>
        <v>-192.07599999999999</v>
      </c>
      <c r="L148" s="1109"/>
      <c r="M148" s="1371"/>
      <c r="N148" s="1371"/>
    </row>
    <row r="149" spans="1:15" s="1372" customFormat="1">
      <c r="A149" s="1354" t="s">
        <v>355</v>
      </c>
      <c r="B149" s="1354"/>
      <c r="C149" s="1348">
        <v>178.053</v>
      </c>
      <c r="D149" s="2889"/>
      <c r="E149" s="2060">
        <v>0.17299999999999999</v>
      </c>
      <c r="F149" s="2056"/>
      <c r="G149" s="2060">
        <v>7.69</v>
      </c>
      <c r="H149" s="2056"/>
      <c r="I149" s="2060">
        <v>-2.9000000000000001E-2</v>
      </c>
      <c r="J149" s="1354"/>
      <c r="K149" s="1364">
        <f t="shared" si="14"/>
        <v>170.50700000000001</v>
      </c>
      <c r="L149" s="1109"/>
      <c r="M149" s="1371"/>
      <c r="N149" s="1371"/>
    </row>
    <row r="150" spans="1:15" s="1372" customFormat="1">
      <c r="A150" s="1354" t="s">
        <v>356</v>
      </c>
      <c r="B150" s="1354"/>
      <c r="C150" s="2890">
        <v>-66.775000000000006</v>
      </c>
      <c r="D150" s="2889"/>
      <c r="E150" s="2060">
        <v>0</v>
      </c>
      <c r="F150" s="2056"/>
      <c r="G150" s="2060">
        <v>4.46</v>
      </c>
      <c r="H150" s="2056"/>
      <c r="I150" s="2060">
        <v>0</v>
      </c>
      <c r="J150" s="1354"/>
      <c r="K150" s="1364">
        <f t="shared" si="14"/>
        <v>-71.234999999999999</v>
      </c>
      <c r="L150" s="1109"/>
      <c r="M150" s="1371"/>
      <c r="N150" s="1371"/>
    </row>
    <row r="151" spans="1:15" s="1372" customFormat="1">
      <c r="A151" s="1354" t="s">
        <v>1323</v>
      </c>
      <c r="B151" s="1354"/>
      <c r="C151" s="2890">
        <v>228.31</v>
      </c>
      <c r="D151" s="2889"/>
      <c r="E151" s="2060">
        <v>0</v>
      </c>
      <c r="F151" s="2056"/>
      <c r="G151" s="2060">
        <v>71.786000000000001</v>
      </c>
      <c r="H151" s="2056"/>
      <c r="I151" s="2060">
        <v>0</v>
      </c>
      <c r="J151" s="1354"/>
      <c r="K151" s="1364">
        <f>ROUND(SUM(C151)+SUM(E151)-SUM(G151)+SUM(I151),3)</f>
        <v>156.524</v>
      </c>
      <c r="L151" s="1109"/>
      <c r="M151" s="1371"/>
      <c r="N151" s="1371"/>
    </row>
    <row r="152" spans="1:15">
      <c r="A152" s="805" t="s">
        <v>357</v>
      </c>
      <c r="B152" s="1354"/>
      <c r="C152" s="811">
        <f>ROUND(SUM(C113:C151),3)</f>
        <v>-944.02300000000002</v>
      </c>
      <c r="D152" s="805"/>
      <c r="E152" s="811">
        <f>ROUND(SUM(E113:E151),3)</f>
        <v>462.66699999999997</v>
      </c>
      <c r="F152" s="805"/>
      <c r="G152" s="811">
        <f>ROUND(SUM(G113:G151),3)</f>
        <v>819.18899999999996</v>
      </c>
      <c r="H152" s="805"/>
      <c r="I152" s="811">
        <f>ROUND(SUM(I113:I151),3)</f>
        <v>227.28200000000001</v>
      </c>
      <c r="J152" s="805"/>
      <c r="K152" s="811">
        <f>ROUND(SUM(K114:K151),3)</f>
        <v>-1073.2629999999999</v>
      </c>
      <c r="L152" s="812"/>
      <c r="M152" s="808"/>
      <c r="N152" s="808"/>
      <c r="O152" s="806"/>
    </row>
    <row r="153" spans="1:15">
      <c r="A153" s="805"/>
      <c r="B153" s="1354"/>
      <c r="C153" s="1362"/>
      <c r="D153" s="1354"/>
      <c r="E153" s="1373"/>
      <c r="F153" s="1374"/>
      <c r="G153" s="1373"/>
      <c r="H153" s="1374"/>
      <c r="I153" s="1373"/>
      <c r="J153" s="1354"/>
      <c r="K153" s="1362"/>
      <c r="L153" s="1362"/>
    </row>
    <row r="154" spans="1:15" ht="16.2" thickBot="1">
      <c r="A154" s="805" t="s">
        <v>358</v>
      </c>
      <c r="B154" s="813"/>
      <c r="C154" s="814">
        <f>ROUND(SUM(C24+C100+C110+C152),3)</f>
        <v>13852.754999999999</v>
      </c>
      <c r="D154" s="813"/>
      <c r="E154" s="814">
        <f>ROUND(SUM(E24+E100+E110+E152),3)</f>
        <v>18919.677</v>
      </c>
      <c r="F154" s="815"/>
      <c r="G154" s="814">
        <f>ROUND(SUM(G24+G100+G110+G152),3)</f>
        <v>12632.861000000001</v>
      </c>
      <c r="H154" s="815"/>
      <c r="I154" s="814">
        <f>ROUND(SUM(I24+I100+I110+I152),3)</f>
        <v>-2.9380000000000002</v>
      </c>
      <c r="J154" s="813"/>
      <c r="K154" s="814">
        <f>ROUND(SUM(K24+K100+K110+K152),3)</f>
        <v>20136.633000000002</v>
      </c>
      <c r="L154" s="816"/>
    </row>
    <row r="155" spans="1:15" ht="16.2" thickTop="1">
      <c r="A155" s="1354"/>
      <c r="B155" s="1354"/>
      <c r="C155" s="1362"/>
      <c r="D155" s="1354"/>
      <c r="E155" s="1362"/>
      <c r="F155" s="1354"/>
      <c r="G155" s="1362"/>
      <c r="H155" s="1354"/>
      <c r="I155" s="1362"/>
      <c r="J155" s="1354"/>
      <c r="K155" s="1362"/>
      <c r="L155" s="1362"/>
    </row>
    <row r="156" spans="1:15">
      <c r="A156" s="1354"/>
      <c r="B156" s="1354"/>
      <c r="C156" s="1354"/>
      <c r="D156" s="1354"/>
      <c r="E156" s="1354"/>
      <c r="F156" s="1354"/>
      <c r="G156" s="1354"/>
      <c r="H156" s="1354"/>
      <c r="I156" s="1354"/>
      <c r="J156" s="1354"/>
      <c r="K156" s="1354"/>
      <c r="L156" s="1354"/>
    </row>
    <row r="157" spans="1:15">
      <c r="A157" s="804"/>
      <c r="B157" s="1354"/>
      <c r="C157" s="1354"/>
      <c r="D157" s="1354"/>
      <c r="E157" s="1354"/>
      <c r="F157" s="1354"/>
      <c r="G157" s="1354"/>
      <c r="H157" s="1354"/>
      <c r="I157" s="1374"/>
      <c r="J157" s="1354"/>
      <c r="K157" s="2900"/>
      <c r="L157" s="1354"/>
    </row>
    <row r="158" spans="1:15">
      <c r="A158" s="1354"/>
      <c r="B158" s="1354"/>
      <c r="C158" s="1354"/>
      <c r="D158" s="1354"/>
      <c r="E158" s="1354"/>
      <c r="F158" s="1354"/>
      <c r="G158" s="1354"/>
      <c r="H158" s="1354"/>
      <c r="I158" s="1354"/>
      <c r="J158" s="1354"/>
      <c r="K158" s="1354"/>
      <c r="L158" s="1354"/>
    </row>
    <row r="159" spans="1:15">
      <c r="A159" s="1354"/>
      <c r="B159" s="1354"/>
      <c r="C159" s="1354"/>
      <c r="D159" s="1354"/>
      <c r="E159" s="1354"/>
      <c r="F159" s="1354"/>
      <c r="G159" s="1354"/>
      <c r="H159" s="1354"/>
      <c r="I159" s="1354"/>
      <c r="J159" s="1354"/>
      <c r="K159" s="1354"/>
      <c r="L159" s="1354"/>
    </row>
    <row r="160" spans="1:15">
      <c r="A160" s="1375"/>
      <c r="B160" s="1354"/>
      <c r="C160" s="1354"/>
      <c r="D160" s="1354"/>
      <c r="E160" s="1354"/>
      <c r="F160" s="1354"/>
      <c r="G160" s="1354"/>
      <c r="H160" s="1354"/>
      <c r="I160" s="1376"/>
      <c r="J160" s="1354"/>
      <c r="K160" s="1354"/>
      <c r="L160" s="1354"/>
    </row>
    <row r="161" spans="9:9">
      <c r="I161" s="3090"/>
    </row>
    <row r="162" spans="9:9">
      <c r="I162" s="3090"/>
    </row>
    <row r="163" spans="9:9">
      <c r="I163" s="3090"/>
    </row>
    <row r="164" spans="9:9">
      <c r="I164" s="3090"/>
    </row>
    <row r="165" spans="9:9">
      <c r="I165" s="816"/>
    </row>
    <row r="166" spans="9:9">
      <c r="I166" s="3090"/>
    </row>
    <row r="167" spans="9:9">
      <c r="I167" s="3090"/>
    </row>
    <row r="168" spans="9:9">
      <c r="I168" s="3090"/>
    </row>
    <row r="169" spans="9:9">
      <c r="I169" s="3090"/>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1" customWidth="1"/>
    <col min="2" max="2" width="6.36328125" style="851" customWidth="1"/>
    <col min="3" max="3" width="20.1796875" style="851" customWidth="1"/>
    <col min="4" max="4" width="3.08984375" style="851" customWidth="1"/>
    <col min="5" max="5" width="17.36328125" style="851" customWidth="1"/>
    <col min="6" max="6" width="3.54296875" style="851" customWidth="1"/>
    <col min="7" max="7" width="18.1796875" style="851" customWidth="1"/>
    <col min="8" max="8" width="3.08984375" style="851" customWidth="1"/>
    <col min="9" max="9" width="18.54296875" style="851" customWidth="1"/>
    <col min="10" max="10" width="3.453125" style="851" customWidth="1"/>
    <col min="11" max="11" width="22.08984375" style="851" customWidth="1"/>
    <col min="12" max="12" width="15.54296875" style="851" customWidth="1"/>
    <col min="13" max="16384" width="8.90625" style="851"/>
  </cols>
  <sheetData>
    <row r="1" spans="1:15">
      <c r="A1" s="1124" t="s">
        <v>1066</v>
      </c>
    </row>
    <row r="2" spans="1:15">
      <c r="A2" s="1580"/>
    </row>
    <row r="3" spans="1:15" s="822" customFormat="1" ht="18" customHeight="1">
      <c r="A3" s="817" t="s">
        <v>0</v>
      </c>
      <c r="B3" s="818"/>
      <c r="C3" s="818"/>
      <c r="D3" s="818"/>
      <c r="E3" s="819"/>
      <c r="F3" s="819"/>
      <c r="G3" s="820"/>
      <c r="H3" s="820"/>
      <c r="I3" s="817"/>
      <c r="J3" s="817"/>
      <c r="K3" s="821" t="s">
        <v>359</v>
      </c>
      <c r="L3" s="820"/>
      <c r="M3" s="820"/>
      <c r="N3" s="820"/>
      <c r="O3" s="820"/>
    </row>
    <row r="4" spans="1:15" s="822" customFormat="1" ht="18" customHeight="1">
      <c r="A4" s="817" t="s">
        <v>360</v>
      </c>
      <c r="B4" s="818"/>
      <c r="C4" s="818"/>
      <c r="D4" s="818"/>
      <c r="E4" s="819"/>
      <c r="F4" s="819"/>
      <c r="G4" s="820"/>
      <c r="H4" s="820"/>
      <c r="I4" s="817"/>
      <c r="J4" s="817"/>
      <c r="K4" s="817"/>
      <c r="L4" s="820"/>
      <c r="M4" s="820"/>
      <c r="N4" s="820"/>
      <c r="O4" s="820"/>
    </row>
    <row r="5" spans="1:15" s="822" customFormat="1" ht="18" customHeight="1">
      <c r="A5" s="823" t="s">
        <v>361</v>
      </c>
      <c r="B5" s="818"/>
      <c r="C5" s="818"/>
      <c r="D5" s="818"/>
      <c r="E5" s="819"/>
      <c r="F5" s="819"/>
      <c r="G5" s="820"/>
      <c r="H5" s="820"/>
      <c r="I5" s="817"/>
      <c r="J5" s="817"/>
      <c r="K5" s="817"/>
      <c r="L5" s="820"/>
      <c r="M5" s="820"/>
      <c r="N5" s="820"/>
      <c r="O5" s="820"/>
    </row>
    <row r="6" spans="1:15" s="822" customFormat="1" ht="18" customHeight="1">
      <c r="A6" s="823" t="s">
        <v>362</v>
      </c>
      <c r="B6" s="818"/>
      <c r="C6" s="818"/>
      <c r="D6" s="818"/>
      <c r="E6" s="819"/>
      <c r="F6" s="819"/>
      <c r="G6" s="820"/>
      <c r="H6" s="820"/>
      <c r="I6" s="817"/>
      <c r="J6" s="817"/>
      <c r="K6" s="817"/>
      <c r="L6" s="820"/>
      <c r="M6" s="820"/>
      <c r="N6" s="820"/>
      <c r="O6" s="820"/>
    </row>
    <row r="7" spans="1:15" s="822" customFormat="1" ht="18" customHeight="1">
      <c r="A7" s="1926" t="s">
        <v>1437</v>
      </c>
      <c r="B7" s="818"/>
      <c r="C7" s="818"/>
      <c r="D7" s="818"/>
      <c r="E7" s="819"/>
      <c r="F7" s="819"/>
      <c r="G7" s="820"/>
      <c r="H7" s="820"/>
      <c r="I7" s="817"/>
      <c r="J7" s="817"/>
      <c r="K7" s="817"/>
      <c r="L7" s="820"/>
      <c r="M7" s="820"/>
      <c r="N7" s="820"/>
      <c r="O7" s="820"/>
    </row>
    <row r="8" spans="1:15" s="822" customFormat="1" ht="18" customHeight="1">
      <c r="A8" s="1926" t="s">
        <v>1558</v>
      </c>
      <c r="B8" s="818"/>
      <c r="C8" s="818"/>
      <c r="D8" s="818"/>
      <c r="E8" s="819"/>
      <c r="F8" s="819"/>
      <c r="G8" s="820"/>
      <c r="H8" s="820"/>
      <c r="I8" s="817"/>
      <c r="J8" s="817"/>
      <c r="K8" s="817"/>
      <c r="L8" s="820"/>
      <c r="M8" s="820"/>
      <c r="N8" s="820"/>
      <c r="O8" s="820"/>
    </row>
    <row r="9" spans="1:15" s="822" customFormat="1" ht="18" customHeight="1">
      <c r="A9" s="817" t="s">
        <v>958</v>
      </c>
      <c r="B9" s="818"/>
      <c r="C9" s="818"/>
      <c r="D9" s="818"/>
      <c r="E9" s="819"/>
      <c r="F9" s="819"/>
      <c r="G9" s="820"/>
      <c r="H9" s="820"/>
      <c r="I9" s="817"/>
      <c r="J9" s="817"/>
      <c r="K9" s="817"/>
      <c r="L9" s="820"/>
      <c r="M9" s="820"/>
      <c r="N9" s="820"/>
      <c r="O9" s="820"/>
    </row>
    <row r="10" spans="1:15" s="822" customFormat="1">
      <c r="A10" s="817"/>
      <c r="B10" s="817"/>
      <c r="C10" s="820"/>
      <c r="D10" s="817"/>
      <c r="E10" s="820"/>
      <c r="F10" s="820"/>
      <c r="G10" s="820"/>
      <c r="H10" s="820"/>
      <c r="I10" s="820"/>
      <c r="J10" s="820"/>
      <c r="K10" s="820"/>
      <c r="L10" s="820"/>
      <c r="M10" s="820"/>
      <c r="N10" s="820"/>
      <c r="O10" s="820"/>
    </row>
    <row r="11" spans="1:15" s="822" customFormat="1">
      <c r="A11" s="817"/>
      <c r="B11" s="817"/>
      <c r="C11" s="817"/>
      <c r="D11" s="817"/>
      <c r="E11" s="817"/>
      <c r="F11" s="817"/>
      <c r="G11" s="817"/>
      <c r="H11" s="817"/>
      <c r="I11" s="817"/>
      <c r="J11" s="817"/>
      <c r="K11" s="817"/>
      <c r="L11" s="820"/>
      <c r="M11" s="820"/>
      <c r="N11" s="820"/>
      <c r="O11" s="820"/>
    </row>
    <row r="12" spans="1:15" s="822" customFormat="1">
      <c r="A12" s="817"/>
      <c r="B12" s="817"/>
      <c r="C12" s="824"/>
      <c r="D12" s="817"/>
      <c r="E12" s="817"/>
      <c r="F12" s="817"/>
      <c r="G12" s="817"/>
      <c r="H12" s="817"/>
      <c r="I12" s="824" t="s">
        <v>363</v>
      </c>
      <c r="J12" s="817"/>
      <c r="K12" s="824"/>
      <c r="L12" s="820"/>
      <c r="M12" s="820"/>
      <c r="N12" s="820"/>
      <c r="O12" s="820"/>
    </row>
    <row r="13" spans="1:15" s="822" customFormat="1">
      <c r="A13" s="817"/>
      <c r="B13" s="817"/>
      <c r="C13" s="824" t="s">
        <v>239</v>
      </c>
      <c r="D13" s="817"/>
      <c r="E13" s="817"/>
      <c r="F13" s="817"/>
      <c r="G13" s="817"/>
      <c r="H13" s="817"/>
      <c r="I13" s="824" t="s">
        <v>364</v>
      </c>
      <c r="J13" s="817"/>
      <c r="K13" s="824" t="s">
        <v>239</v>
      </c>
      <c r="L13" s="820"/>
      <c r="M13" s="820"/>
      <c r="N13" s="820"/>
      <c r="O13" s="820"/>
    </row>
    <row r="14" spans="1:15" s="822" customFormat="1">
      <c r="A14" s="825" t="s">
        <v>365</v>
      </c>
      <c r="B14" s="817"/>
      <c r="C14" s="1688" t="s">
        <v>1559</v>
      </c>
      <c r="D14" s="817"/>
      <c r="E14" s="824" t="s">
        <v>241</v>
      </c>
      <c r="F14" s="817"/>
      <c r="G14" s="824" t="s">
        <v>242</v>
      </c>
      <c r="H14" s="817"/>
      <c r="I14" s="824" t="s">
        <v>243</v>
      </c>
      <c r="J14" s="817"/>
      <c r="K14" s="1689" t="s">
        <v>1560</v>
      </c>
      <c r="L14" s="820"/>
      <c r="M14" s="820"/>
      <c r="N14" s="820"/>
      <c r="O14" s="820"/>
    </row>
    <row r="15" spans="1:15" s="822" customFormat="1" ht="12" customHeight="1">
      <c r="A15" s="820"/>
      <c r="B15" s="820"/>
      <c r="C15" s="826"/>
      <c r="D15" s="820"/>
      <c r="E15" s="827"/>
      <c r="F15" s="820"/>
      <c r="G15" s="827"/>
      <c r="H15" s="820"/>
      <c r="I15" s="827"/>
      <c r="J15" s="820"/>
      <c r="K15" s="827"/>
      <c r="L15" s="820"/>
      <c r="M15" s="820"/>
      <c r="N15" s="820"/>
      <c r="O15" s="820"/>
    </row>
    <row r="16" spans="1:15" s="822" customFormat="1">
      <c r="A16" s="828" t="s">
        <v>220</v>
      </c>
      <c r="B16" s="820"/>
      <c r="C16" s="829"/>
      <c r="D16" s="829"/>
      <c r="E16" s="861"/>
      <c r="F16" s="829"/>
      <c r="G16" s="829"/>
      <c r="H16" s="829"/>
      <c r="I16" s="829"/>
      <c r="J16" s="829"/>
      <c r="K16" s="829"/>
      <c r="L16" s="820"/>
      <c r="M16" s="820"/>
      <c r="N16" s="820"/>
      <c r="O16" s="820"/>
    </row>
    <row r="17" spans="1:15" s="822" customFormat="1" ht="12" customHeight="1">
      <c r="A17" s="820"/>
      <c r="B17" s="820"/>
      <c r="C17" s="829"/>
      <c r="D17" s="829"/>
      <c r="E17" s="861"/>
      <c r="F17" s="829"/>
      <c r="G17" s="829"/>
      <c r="H17" s="829"/>
      <c r="I17" s="829"/>
      <c r="J17" s="829"/>
      <c r="K17" s="829"/>
      <c r="L17" s="820"/>
      <c r="M17" s="820"/>
      <c r="N17" s="820"/>
      <c r="O17" s="820"/>
    </row>
    <row r="18" spans="1:15" s="832" customFormat="1" ht="15.9" customHeight="1">
      <c r="A18" s="829" t="s">
        <v>366</v>
      </c>
      <c r="B18" s="830"/>
      <c r="C18" s="831">
        <v>0.11799999999999999</v>
      </c>
      <c r="D18" s="831"/>
      <c r="E18" s="831">
        <v>3.0000000000000001E-3</v>
      </c>
      <c r="F18" s="831"/>
      <c r="G18" s="831">
        <v>5.0000000000000001E-3</v>
      </c>
      <c r="H18" s="831"/>
      <c r="I18" s="831">
        <v>0</v>
      </c>
      <c r="J18" s="831"/>
      <c r="K18" s="831">
        <f t="shared" ref="K18:K25" si="0">ROUND(SUM(C18,E18,I18) - SUM(G18),3)</f>
        <v>0.11600000000000001</v>
      </c>
      <c r="L18" s="829"/>
      <c r="M18" s="829"/>
      <c r="N18" s="829"/>
      <c r="O18" s="829"/>
    </row>
    <row r="19" spans="1:15" s="832" customFormat="1" ht="15.75" customHeight="1">
      <c r="A19" s="829" t="s">
        <v>367</v>
      </c>
      <c r="B19" s="829"/>
      <c r="C19" s="833">
        <v>1.9490000000000001</v>
      </c>
      <c r="D19" s="834"/>
      <c r="E19" s="833">
        <v>0.26100000000000001</v>
      </c>
      <c r="F19" s="833"/>
      <c r="G19" s="833">
        <v>0.45</v>
      </c>
      <c r="H19" s="834"/>
      <c r="I19" s="833">
        <v>0</v>
      </c>
      <c r="J19" s="834"/>
      <c r="K19" s="833">
        <f t="shared" si="0"/>
        <v>1.76</v>
      </c>
      <c r="L19" s="829"/>
      <c r="M19" s="829"/>
      <c r="N19" s="829"/>
      <c r="O19" s="829"/>
    </row>
    <row r="20" spans="1:15" s="832" customFormat="1" ht="15.9" customHeight="1">
      <c r="A20" s="829" t="s">
        <v>368</v>
      </c>
      <c r="B20" s="829"/>
      <c r="C20" s="833">
        <v>2.91</v>
      </c>
      <c r="D20" s="834"/>
      <c r="E20" s="833">
        <v>3.444</v>
      </c>
      <c r="F20" s="833"/>
      <c r="G20" s="833">
        <v>3.3929999999999998</v>
      </c>
      <c r="H20" s="834"/>
      <c r="I20" s="833">
        <v>0</v>
      </c>
      <c r="J20" s="834"/>
      <c r="K20" s="833">
        <f t="shared" si="0"/>
        <v>2.9609999999999999</v>
      </c>
      <c r="L20" s="829"/>
      <c r="M20" s="829"/>
      <c r="N20" s="829"/>
      <c r="O20" s="829"/>
    </row>
    <row r="21" spans="1:15" s="832" customFormat="1" ht="15.9" customHeight="1">
      <c r="A21" s="829" t="s">
        <v>1110</v>
      </c>
      <c r="B21" s="829"/>
      <c r="C21" s="833">
        <v>3.0750000000000002</v>
      </c>
      <c r="D21" s="834"/>
      <c r="E21" s="833">
        <v>0.23499999999999999</v>
      </c>
      <c r="F21" s="833"/>
      <c r="G21" s="833">
        <v>0.17399999999999999</v>
      </c>
      <c r="H21" s="834"/>
      <c r="I21" s="833">
        <v>0</v>
      </c>
      <c r="J21" s="834"/>
      <c r="K21" s="833">
        <f t="shared" si="0"/>
        <v>3.1360000000000001</v>
      </c>
      <c r="L21" s="829"/>
      <c r="M21" s="829"/>
      <c r="N21" s="829"/>
      <c r="O21" s="829"/>
    </row>
    <row r="22" spans="1:15" s="832" customFormat="1" ht="15.9" customHeight="1">
      <c r="A22" s="829" t="s">
        <v>1111</v>
      </c>
      <c r="B22" s="829"/>
      <c r="C22" s="833">
        <v>2.1379999999999999</v>
      </c>
      <c r="D22" s="834"/>
      <c r="E22" s="833">
        <v>2.8000000000000001E-2</v>
      </c>
      <c r="F22" s="833"/>
      <c r="G22" s="833">
        <v>2.8000000000000001E-2</v>
      </c>
      <c r="H22" s="834"/>
      <c r="I22" s="833">
        <v>0</v>
      </c>
      <c r="J22" s="834"/>
      <c r="K22" s="833">
        <f t="shared" si="0"/>
        <v>2.1379999999999999</v>
      </c>
      <c r="L22" s="829"/>
      <c r="M22" s="829"/>
      <c r="N22" s="829"/>
      <c r="O22" s="829"/>
    </row>
    <row r="23" spans="1:15" s="832" customFormat="1" ht="15.9" customHeight="1">
      <c r="A23" s="829" t="s">
        <v>1112</v>
      </c>
      <c r="B23" s="829"/>
      <c r="C23" s="833">
        <v>1.8080000000000001</v>
      </c>
      <c r="D23" s="834"/>
      <c r="E23" s="833">
        <v>2.7E-2</v>
      </c>
      <c r="F23" s="833"/>
      <c r="G23" s="833">
        <v>7.9000000000000001E-2</v>
      </c>
      <c r="H23" s="834"/>
      <c r="I23" s="833">
        <v>0</v>
      </c>
      <c r="J23" s="834"/>
      <c r="K23" s="833">
        <f t="shared" si="0"/>
        <v>1.756</v>
      </c>
      <c r="L23" s="829"/>
      <c r="M23" s="829"/>
      <c r="N23" s="829"/>
      <c r="O23" s="829"/>
    </row>
    <row r="24" spans="1:15" s="832" customFormat="1" ht="15.9" customHeight="1">
      <c r="A24" s="829" t="s">
        <v>369</v>
      </c>
      <c r="B24" s="829"/>
      <c r="C24" s="833">
        <v>4.2039999999999997</v>
      </c>
      <c r="D24" s="834"/>
      <c r="E24" s="833">
        <v>0.09</v>
      </c>
      <c r="F24" s="833"/>
      <c r="G24" s="833">
        <v>6.7000000000000004E-2</v>
      </c>
      <c r="H24" s="834"/>
      <c r="I24" s="833">
        <v>0</v>
      </c>
      <c r="J24" s="834"/>
      <c r="K24" s="833">
        <f t="shared" si="0"/>
        <v>4.2270000000000003</v>
      </c>
      <c r="L24" s="829"/>
      <c r="M24" s="829"/>
      <c r="N24" s="829"/>
      <c r="O24" s="829"/>
    </row>
    <row r="25" spans="1:15" s="832" customFormat="1" ht="15.9" customHeight="1">
      <c r="A25" s="836" t="s">
        <v>370</v>
      </c>
      <c r="B25" s="829"/>
      <c r="C25" s="833">
        <v>7.8339999999999996</v>
      </c>
      <c r="D25" s="837"/>
      <c r="E25" s="833">
        <v>256.32600000000002</v>
      </c>
      <c r="F25" s="833"/>
      <c r="G25" s="833">
        <v>256.56299999999999</v>
      </c>
      <c r="H25" s="834"/>
      <c r="I25" s="833">
        <v>0</v>
      </c>
      <c r="J25" s="834"/>
      <c r="K25" s="833">
        <f t="shared" si="0"/>
        <v>7.5970000000000004</v>
      </c>
      <c r="L25" s="829"/>
      <c r="M25" s="829"/>
      <c r="N25" s="829"/>
      <c r="O25" s="829"/>
    </row>
    <row r="26" spans="1:15" s="822" customFormat="1" ht="20.100000000000001" customHeight="1">
      <c r="A26" s="817" t="s">
        <v>371</v>
      </c>
      <c r="B26" s="820"/>
      <c r="C26" s="2886">
        <f>ROUND(SUM(C18:C25),3)</f>
        <v>24.036000000000001</v>
      </c>
      <c r="D26" s="2931"/>
      <c r="E26" s="2886">
        <f>ROUND(SUM(E18:E25),3)</f>
        <v>260.41399999999999</v>
      </c>
      <c r="F26" s="2931"/>
      <c r="G26" s="2886">
        <f>ROUND(SUM(G18:G25),3)</f>
        <v>260.75900000000001</v>
      </c>
      <c r="H26" s="1296"/>
      <c r="I26" s="2886">
        <f>ROUND(SUM(I18:I25),3)</f>
        <v>0</v>
      </c>
      <c r="J26" s="1296"/>
      <c r="K26" s="2886">
        <f>ROUND(SUM(K18:K25),3)</f>
        <v>23.690999999999999</v>
      </c>
      <c r="L26" s="840"/>
      <c r="M26" s="820"/>
      <c r="N26" s="820"/>
      <c r="O26" s="820"/>
    </row>
    <row r="27" spans="1:15" s="822" customFormat="1" ht="15" customHeight="1">
      <c r="A27" s="820"/>
      <c r="B27" s="820"/>
      <c r="C27" s="1266"/>
      <c r="D27" s="898"/>
      <c r="E27" s="1266"/>
      <c r="F27" s="898"/>
      <c r="G27" s="1266"/>
      <c r="H27" s="898"/>
      <c r="I27" s="1267"/>
      <c r="J27" s="898"/>
      <c r="K27" s="1266"/>
      <c r="L27" s="820"/>
      <c r="M27" s="820"/>
      <c r="N27" s="820"/>
      <c r="O27" s="820"/>
    </row>
    <row r="28" spans="1:15" s="822" customFormat="1" ht="15" customHeight="1">
      <c r="A28" s="820"/>
      <c r="B28" s="820"/>
      <c r="C28" s="898"/>
      <c r="D28" s="1268" t="s">
        <v>238</v>
      </c>
      <c r="E28" s="898"/>
      <c r="F28" s="898"/>
      <c r="G28" s="898"/>
      <c r="H28" s="898"/>
      <c r="I28" s="898"/>
      <c r="J28" s="898"/>
      <c r="K28" s="898"/>
      <c r="L28" s="820"/>
      <c r="M28" s="820"/>
      <c r="N28" s="820"/>
      <c r="O28" s="820"/>
    </row>
    <row r="29" spans="1:15" s="822" customFormat="1" ht="15" customHeight="1">
      <c r="A29" s="820"/>
      <c r="B29" s="820"/>
      <c r="C29" s="898"/>
      <c r="D29" s="898"/>
      <c r="E29" s="898"/>
      <c r="F29" s="898"/>
      <c r="G29" s="898"/>
      <c r="H29" s="898"/>
      <c r="I29" s="898"/>
      <c r="J29" s="898"/>
      <c r="K29" s="898"/>
      <c r="L29" s="820"/>
      <c r="M29" s="820"/>
      <c r="N29" s="820"/>
      <c r="O29" s="820"/>
    </row>
    <row r="30" spans="1:15" s="822" customFormat="1" ht="15" customHeight="1">
      <c r="A30" s="828" t="s">
        <v>225</v>
      </c>
      <c r="B30" s="820"/>
      <c r="C30" s="898"/>
      <c r="D30" s="898"/>
      <c r="E30" s="898"/>
      <c r="F30" s="898"/>
      <c r="G30" s="898"/>
      <c r="H30" s="898"/>
      <c r="I30" s="898"/>
      <c r="J30" s="898"/>
      <c r="K30" s="898"/>
      <c r="L30" s="820"/>
      <c r="M30" s="820"/>
      <c r="N30" s="820"/>
      <c r="O30" s="820"/>
    </row>
    <row r="31" spans="1:15" s="822" customFormat="1" ht="15" customHeight="1">
      <c r="A31" s="828"/>
      <c r="B31" s="820"/>
      <c r="C31" s="898"/>
      <c r="D31" s="898"/>
      <c r="E31" s="834"/>
      <c r="F31" s="834"/>
      <c r="G31" s="834"/>
      <c r="H31" s="834"/>
      <c r="I31" s="834"/>
      <c r="J31" s="834"/>
      <c r="K31" s="834"/>
      <c r="L31" s="820"/>
      <c r="M31" s="820"/>
      <c r="N31" s="820"/>
      <c r="O31" s="820"/>
    </row>
    <row r="32" spans="1:15" s="822" customFormat="1" ht="15.9" customHeight="1">
      <c r="A32" s="820" t="s">
        <v>1113</v>
      </c>
      <c r="B32" s="820"/>
      <c r="C32" s="1269">
        <v>-67.774000000000001</v>
      </c>
      <c r="D32" s="898"/>
      <c r="E32" s="833">
        <v>22.399000000000001</v>
      </c>
      <c r="F32" s="3138"/>
      <c r="G32" s="833">
        <v>38.68</v>
      </c>
      <c r="H32" s="834"/>
      <c r="I32" s="833">
        <v>0.59199999999999997</v>
      </c>
      <c r="J32" s="834"/>
      <c r="K32" s="833">
        <f t="shared" ref="K32:K39" si="1">ROUND(SUM(C32,E32,I32) - SUM(G32),3)</f>
        <v>-83.462999999999994</v>
      </c>
      <c r="L32" s="829"/>
      <c r="M32" s="820"/>
      <c r="N32" s="820"/>
      <c r="O32" s="820"/>
    </row>
    <row r="33" spans="1:15" s="822" customFormat="1" ht="15.9" customHeight="1">
      <c r="A33" s="820" t="s">
        <v>372</v>
      </c>
      <c r="B33" s="820"/>
      <c r="C33" s="1269">
        <v>-135.28700000000001</v>
      </c>
      <c r="D33" s="898"/>
      <c r="E33" s="833">
        <v>8.1660000000000004</v>
      </c>
      <c r="F33" s="3138"/>
      <c r="G33" s="833">
        <v>8.657</v>
      </c>
      <c r="H33" s="834"/>
      <c r="I33" s="833">
        <v>2.351</v>
      </c>
      <c r="J33" s="834"/>
      <c r="K33" s="833">
        <f t="shared" si="1"/>
        <v>-133.42699999999999</v>
      </c>
      <c r="L33" s="829"/>
      <c r="M33" s="820"/>
      <c r="N33" s="820"/>
      <c r="O33" s="820"/>
    </row>
    <row r="34" spans="1:15" s="822" customFormat="1" ht="15.9" customHeight="1">
      <c r="A34" s="820" t="s">
        <v>373</v>
      </c>
      <c r="B34" s="820"/>
      <c r="C34" s="1269">
        <v>5.5E-2</v>
      </c>
      <c r="D34" s="898"/>
      <c r="E34" s="833">
        <v>0.114</v>
      </c>
      <c r="F34" s="3138"/>
      <c r="G34" s="833">
        <v>4.2000000000000003E-2</v>
      </c>
      <c r="H34" s="834"/>
      <c r="I34" s="833">
        <v>0</v>
      </c>
      <c r="J34" s="834"/>
      <c r="K34" s="833">
        <f t="shared" si="1"/>
        <v>0.127</v>
      </c>
      <c r="L34" s="829"/>
      <c r="M34" s="820"/>
      <c r="N34" s="820"/>
      <c r="O34" s="820"/>
    </row>
    <row r="35" spans="1:15" s="822" customFormat="1" ht="15.9" customHeight="1">
      <c r="A35" s="820" t="s">
        <v>374</v>
      </c>
      <c r="B35" s="820"/>
      <c r="C35" s="1269">
        <v>6.5000000000000002E-2</v>
      </c>
      <c r="D35" s="898"/>
      <c r="E35" s="833">
        <v>2E-3</v>
      </c>
      <c r="F35" s="3138"/>
      <c r="G35" s="833">
        <v>1E-3</v>
      </c>
      <c r="H35" s="834"/>
      <c r="I35" s="833">
        <v>0</v>
      </c>
      <c r="J35" s="834"/>
      <c r="K35" s="833">
        <f t="shared" si="1"/>
        <v>6.6000000000000003E-2</v>
      </c>
      <c r="L35" s="829"/>
      <c r="M35" s="820"/>
      <c r="N35" s="820"/>
      <c r="O35" s="820"/>
    </row>
    <row r="36" spans="1:15" s="822" customFormat="1" ht="15.9" customHeight="1">
      <c r="A36" s="820" t="s">
        <v>1114</v>
      </c>
      <c r="B36" s="820"/>
      <c r="C36" s="1269">
        <v>0.97499999999999998</v>
      </c>
      <c r="D36" s="898"/>
      <c r="E36" s="833">
        <v>1E-3</v>
      </c>
      <c r="F36" s="3138"/>
      <c r="G36" s="833">
        <v>4.2999999999999997E-2</v>
      </c>
      <c r="H36" s="834"/>
      <c r="I36" s="833">
        <v>0</v>
      </c>
      <c r="J36" s="834"/>
      <c r="K36" s="833">
        <f t="shared" si="1"/>
        <v>0.93300000000000005</v>
      </c>
      <c r="L36" s="829"/>
      <c r="M36" s="820"/>
      <c r="N36" s="820"/>
      <c r="O36" s="820"/>
    </row>
    <row r="37" spans="1:15" s="822" customFormat="1" ht="15.9" customHeight="1">
      <c r="A37" s="820" t="s">
        <v>375</v>
      </c>
      <c r="B37" s="820"/>
      <c r="C37" s="1269">
        <v>-30.47</v>
      </c>
      <c r="D37" s="898"/>
      <c r="E37" s="833">
        <v>10.984999999999999</v>
      </c>
      <c r="F37" s="3138"/>
      <c r="G37" s="833">
        <v>3.8570000000000002</v>
      </c>
      <c r="H37" s="834"/>
      <c r="I37" s="833">
        <v>0</v>
      </c>
      <c r="J37" s="834"/>
      <c r="K37" s="833">
        <f t="shared" si="1"/>
        <v>-23.341999999999999</v>
      </c>
      <c r="L37" s="829"/>
      <c r="M37" s="820"/>
      <c r="N37" s="820"/>
      <c r="O37" s="820"/>
    </row>
    <row r="38" spans="1:15" s="822" customFormat="1" ht="15.9" customHeight="1">
      <c r="A38" s="820" t="s">
        <v>376</v>
      </c>
      <c r="B38" s="820"/>
      <c r="C38" s="1269">
        <v>-7.7859999999999996</v>
      </c>
      <c r="D38" s="898"/>
      <c r="E38" s="833">
        <v>0.69399999999999995</v>
      </c>
      <c r="F38" s="3138"/>
      <c r="G38" s="833">
        <v>1.071</v>
      </c>
      <c r="H38" s="834"/>
      <c r="I38" s="833">
        <v>-1E-3</v>
      </c>
      <c r="J38" s="834"/>
      <c r="K38" s="833">
        <f t="shared" si="1"/>
        <v>-8.1639999999999997</v>
      </c>
      <c r="L38" s="829"/>
      <c r="M38" s="820"/>
      <c r="N38" s="820"/>
      <c r="O38" s="820"/>
    </row>
    <row r="39" spans="1:15" s="822" customFormat="1" ht="15.9" customHeight="1">
      <c r="A39" s="820" t="s">
        <v>377</v>
      </c>
      <c r="B39" s="820"/>
      <c r="C39" s="1269">
        <v>-33.625</v>
      </c>
      <c r="D39" s="1267"/>
      <c r="E39" s="833">
        <v>3.9169999999999998</v>
      </c>
      <c r="F39" s="3138"/>
      <c r="G39" s="833">
        <v>3.8159999999999998</v>
      </c>
      <c r="H39" s="834"/>
      <c r="I39" s="833">
        <v>-3.0000000000000001E-3</v>
      </c>
      <c r="J39" s="834"/>
      <c r="K39" s="833">
        <f t="shared" si="1"/>
        <v>-33.527000000000001</v>
      </c>
      <c r="L39" s="820"/>
      <c r="M39" s="820"/>
      <c r="N39" s="820"/>
      <c r="O39" s="820"/>
    </row>
    <row r="40" spans="1:15" s="822" customFormat="1" ht="20.100000000000001" customHeight="1">
      <c r="A40" s="817" t="s">
        <v>378</v>
      </c>
      <c r="B40" s="820"/>
      <c r="C40" s="839">
        <f>ROUND(SUM(C32:C39),3)</f>
        <v>-273.84699999999998</v>
      </c>
      <c r="D40" s="1270"/>
      <c r="E40" s="2886">
        <f>ROUND(SUM(E32:E39),3)</f>
        <v>46.277999999999999</v>
      </c>
      <c r="F40" s="1299"/>
      <c r="G40" s="2886">
        <f>ROUND(SUM(G32:G39),3)</f>
        <v>56.167000000000002</v>
      </c>
      <c r="H40" s="1297"/>
      <c r="I40" s="2886">
        <f>ROUND(SUM(I32:I39),3)</f>
        <v>2.9390000000000001</v>
      </c>
      <c r="J40" s="1297"/>
      <c r="K40" s="2886">
        <f>ROUND(SUM(K32:K39),3)</f>
        <v>-280.79700000000003</v>
      </c>
      <c r="L40" s="844"/>
      <c r="M40" s="820"/>
      <c r="N40" s="820"/>
      <c r="O40" s="820"/>
    </row>
    <row r="41" spans="1:15" s="822" customFormat="1" ht="15" customHeight="1">
      <c r="A41" s="817"/>
      <c r="B41" s="820"/>
      <c r="C41" s="845"/>
      <c r="D41" s="842"/>
      <c r="E41" s="841"/>
      <c r="F41" s="842"/>
      <c r="G41" s="841"/>
      <c r="H41" s="842"/>
      <c r="I41" s="843"/>
      <c r="J41" s="842"/>
      <c r="K41" s="841"/>
      <c r="L41" s="820"/>
      <c r="M41" s="820"/>
      <c r="N41" s="820"/>
      <c r="O41" s="820"/>
    </row>
    <row r="42" spans="1:15" s="822" customFormat="1" ht="15" customHeight="1">
      <c r="A42" s="817"/>
      <c r="B42" s="820"/>
      <c r="C42" s="843"/>
      <c r="D42" s="842"/>
      <c r="E42" s="842"/>
      <c r="F42" s="842"/>
      <c r="G42" s="842" t="s">
        <v>15</v>
      </c>
      <c r="H42" s="842"/>
      <c r="I42" s="846"/>
      <c r="J42" s="842"/>
      <c r="K42" s="842"/>
      <c r="L42" s="820"/>
      <c r="M42" s="820"/>
      <c r="N42" s="820"/>
      <c r="O42" s="820"/>
    </row>
    <row r="43" spans="1:15" s="822" customFormat="1" ht="20.100000000000001" customHeight="1" thickBot="1">
      <c r="A43" s="817" t="s">
        <v>66</v>
      </c>
      <c r="B43" s="847"/>
      <c r="C43" s="1271">
        <f>ROUND(SUM(C40)+SUM(C26),3)</f>
        <v>-249.81100000000001</v>
      </c>
      <c r="D43" s="901"/>
      <c r="E43" s="1271">
        <f>ROUND(SUM(E40)+SUM(E26),3)</f>
        <v>306.69200000000001</v>
      </c>
      <c r="F43" s="901"/>
      <c r="G43" s="1271">
        <f>ROUND(SUM(G40)+SUM(G26),3)</f>
        <v>316.92599999999999</v>
      </c>
      <c r="H43" s="901"/>
      <c r="I43" s="1271">
        <f>ROUND(SUM(I40)+SUM(I26),3)</f>
        <v>2.9390000000000001</v>
      </c>
      <c r="J43" s="901"/>
      <c r="K43" s="1271">
        <f>ROUND(SUM(K40)+SUM(K26),3)</f>
        <v>-257.10599999999999</v>
      </c>
      <c r="L43" s="840"/>
      <c r="M43" s="820"/>
      <c r="N43" s="820"/>
      <c r="O43" s="820"/>
    </row>
    <row r="44" spans="1:15" s="822" customFormat="1" ht="18" thickTop="1">
      <c r="A44" s="820"/>
      <c r="B44" s="820"/>
      <c r="C44" s="848"/>
      <c r="D44" s="842"/>
      <c r="E44" s="848"/>
      <c r="F44" s="842"/>
      <c r="G44" s="848"/>
      <c r="H44" s="842"/>
      <c r="I44" s="849"/>
      <c r="J44" s="842"/>
      <c r="K44" s="848"/>
      <c r="L44" s="820"/>
      <c r="M44" s="820"/>
      <c r="N44" s="820"/>
      <c r="O44" s="820"/>
    </row>
    <row r="45" spans="1:15" s="822" customFormat="1">
      <c r="A45" s="850"/>
      <c r="B45" s="851"/>
      <c r="C45" s="852"/>
      <c r="D45" s="852"/>
      <c r="E45" s="853"/>
      <c r="F45" s="853"/>
      <c r="G45" s="2977"/>
      <c r="H45" s="853"/>
      <c r="I45" s="2976"/>
      <c r="J45" s="852"/>
      <c r="K45" s="2975"/>
      <c r="L45" s="851"/>
      <c r="M45" s="851"/>
      <c r="N45" s="851"/>
      <c r="O45" s="851"/>
    </row>
    <row r="46" spans="1:15" s="822" customFormat="1">
      <c r="A46" s="851"/>
      <c r="B46" s="851"/>
      <c r="C46" s="852"/>
      <c r="D46" s="852"/>
      <c r="E46" s="2950"/>
      <c r="F46" s="2950"/>
      <c r="G46" s="2950"/>
      <c r="H46" s="2950"/>
      <c r="I46" s="2950"/>
      <c r="J46" s="2950"/>
      <c r="K46" s="2950"/>
      <c r="L46" s="851"/>
      <c r="M46" s="851"/>
      <c r="N46" s="851"/>
      <c r="O46" s="851"/>
    </row>
    <row r="47" spans="1:15" s="822" customFormat="1">
      <c r="A47" s="851"/>
      <c r="B47" s="851"/>
      <c r="C47" s="852"/>
      <c r="D47" s="852"/>
      <c r="E47" s="852"/>
      <c r="F47" s="852"/>
      <c r="G47" s="855"/>
      <c r="H47" s="851"/>
      <c r="I47" s="854"/>
      <c r="J47" s="852"/>
      <c r="K47" s="852"/>
      <c r="L47" s="851"/>
      <c r="M47" s="851"/>
      <c r="N47" s="851"/>
      <c r="O47" s="851"/>
    </row>
    <row r="48" spans="1:15" s="822" customFormat="1">
      <c r="A48" s="851"/>
      <c r="B48" s="851"/>
      <c r="C48" s="852"/>
      <c r="D48" s="852"/>
      <c r="E48" s="852"/>
      <c r="F48" s="852"/>
      <c r="G48" s="852"/>
      <c r="H48" s="851"/>
      <c r="I48" s="854"/>
      <c r="J48" s="852"/>
      <c r="K48" s="852"/>
      <c r="L48" s="851"/>
      <c r="M48" s="851"/>
      <c r="N48" s="851"/>
      <c r="O48" s="851"/>
    </row>
    <row r="49" spans="1:15" s="822" customFormat="1">
      <c r="A49" s="851"/>
      <c r="B49" s="851"/>
      <c r="C49" s="852"/>
      <c r="D49" s="852"/>
      <c r="E49" s="852"/>
      <c r="F49" s="852"/>
      <c r="G49" s="852"/>
      <c r="H49" s="851"/>
      <c r="I49" s="854"/>
      <c r="J49" s="852"/>
      <c r="K49" s="852"/>
      <c r="L49" s="851"/>
      <c r="M49" s="851"/>
      <c r="N49" s="851"/>
      <c r="O49" s="851"/>
    </row>
    <row r="50" spans="1:15" s="822" customFormat="1">
      <c r="A50" s="851"/>
      <c r="B50" s="851"/>
      <c r="C50" s="852"/>
      <c r="D50" s="852"/>
      <c r="E50" s="852"/>
      <c r="F50" s="852"/>
      <c r="G50" s="852"/>
      <c r="H50" s="851"/>
      <c r="I50" s="854"/>
      <c r="J50" s="852"/>
      <c r="K50" s="852"/>
      <c r="L50" s="851"/>
      <c r="M50" s="851"/>
      <c r="N50" s="851"/>
      <c r="O50" s="851"/>
    </row>
    <row r="51" spans="1:15" s="822" customFormat="1">
      <c r="A51" s="820"/>
      <c r="B51" s="851"/>
      <c r="C51" s="852"/>
      <c r="D51" s="852"/>
      <c r="E51" s="852"/>
      <c r="F51" s="852"/>
      <c r="G51" s="852"/>
      <c r="H51" s="851"/>
      <c r="I51" s="851"/>
      <c r="J51" s="852"/>
      <c r="K51" s="852"/>
      <c r="L51" s="851"/>
      <c r="M51" s="851"/>
      <c r="N51" s="851"/>
      <c r="O51" s="851"/>
    </row>
    <row r="52" spans="1:15" s="822" customFormat="1">
      <c r="A52" s="851"/>
      <c r="B52" s="851"/>
      <c r="C52" s="852"/>
      <c r="D52" s="852"/>
      <c r="E52" s="852"/>
      <c r="F52" s="852"/>
      <c r="G52" s="852"/>
      <c r="H52" s="851"/>
      <c r="I52" s="851"/>
      <c r="J52" s="852"/>
      <c r="K52" s="852"/>
      <c r="L52" s="851"/>
      <c r="M52" s="851"/>
      <c r="N52" s="851"/>
      <c r="O52" s="851"/>
    </row>
    <row r="53" spans="1:15" s="822" customFormat="1">
      <c r="A53" s="851"/>
      <c r="B53" s="851"/>
      <c r="C53" s="852"/>
      <c r="D53" s="852"/>
      <c r="E53" s="852"/>
      <c r="F53" s="852"/>
      <c r="G53" s="852"/>
      <c r="H53" s="851"/>
      <c r="I53" s="851"/>
      <c r="J53" s="852"/>
      <c r="K53" s="852"/>
      <c r="L53" s="851"/>
      <c r="M53" s="851"/>
      <c r="N53" s="851"/>
      <c r="O53" s="851"/>
    </row>
    <row r="54" spans="1:15" s="822" customFormat="1">
      <c r="A54" s="851"/>
      <c r="B54" s="851"/>
      <c r="C54" s="852"/>
      <c r="D54" s="852"/>
      <c r="E54" s="852"/>
      <c r="F54" s="852"/>
      <c r="G54" s="852"/>
      <c r="H54" s="851"/>
      <c r="I54" s="851"/>
      <c r="J54" s="852"/>
      <c r="K54" s="852"/>
      <c r="L54" s="851"/>
      <c r="M54" s="851"/>
      <c r="N54" s="851"/>
      <c r="O54" s="851"/>
    </row>
    <row r="55" spans="1:15" s="822" customFormat="1">
      <c r="A55" s="851"/>
      <c r="B55" s="851"/>
      <c r="C55" s="852"/>
      <c r="D55" s="852"/>
      <c r="E55" s="852"/>
      <c r="F55" s="852"/>
      <c r="G55" s="852"/>
      <c r="H55" s="851"/>
      <c r="I55" s="851"/>
      <c r="J55" s="852"/>
      <c r="K55" s="852"/>
      <c r="L55" s="851"/>
      <c r="M55" s="851"/>
      <c r="N55" s="851"/>
      <c r="O55" s="851"/>
    </row>
    <row r="56" spans="1:15" s="822" customFormat="1">
      <c r="A56" s="851"/>
      <c r="B56" s="851"/>
      <c r="C56" s="852"/>
      <c r="D56" s="852"/>
      <c r="E56" s="852"/>
      <c r="F56" s="852"/>
      <c r="G56" s="852"/>
      <c r="H56" s="851"/>
      <c r="I56" s="851"/>
      <c r="J56" s="852"/>
      <c r="K56" s="852"/>
      <c r="L56" s="851"/>
      <c r="M56" s="851"/>
      <c r="N56" s="851"/>
      <c r="O56" s="851"/>
    </row>
    <row r="57" spans="1:15" s="822" customFormat="1">
      <c r="A57" s="851"/>
      <c r="B57" s="851"/>
      <c r="C57" s="852"/>
      <c r="D57" s="852"/>
      <c r="E57" s="852"/>
      <c r="F57" s="852"/>
      <c r="G57" s="852"/>
      <c r="H57" s="851"/>
      <c r="I57" s="851"/>
      <c r="J57" s="852"/>
      <c r="K57" s="852"/>
      <c r="L57" s="851"/>
      <c r="M57" s="851"/>
      <c r="N57" s="851"/>
      <c r="O57" s="851"/>
    </row>
    <row r="58" spans="1:15" s="822" customFormat="1">
      <c r="A58" s="851"/>
      <c r="B58" s="851"/>
      <c r="C58" s="852"/>
      <c r="D58" s="852"/>
      <c r="E58" s="852"/>
      <c r="F58" s="852"/>
      <c r="G58" s="852"/>
      <c r="H58" s="851"/>
      <c r="I58" s="851"/>
      <c r="J58" s="852"/>
      <c r="K58" s="852"/>
      <c r="L58" s="851"/>
      <c r="M58" s="851"/>
      <c r="N58" s="851"/>
      <c r="O58" s="851"/>
    </row>
    <row r="59" spans="1:15" s="822" customFormat="1">
      <c r="A59" s="851"/>
      <c r="B59" s="851"/>
      <c r="C59" s="852"/>
      <c r="D59" s="852"/>
      <c r="E59" s="852"/>
      <c r="F59" s="852"/>
      <c r="G59" s="852"/>
      <c r="H59" s="851"/>
      <c r="I59" s="851"/>
      <c r="J59" s="852"/>
      <c r="K59" s="852"/>
      <c r="L59" s="851"/>
      <c r="M59" s="851"/>
      <c r="N59" s="851"/>
      <c r="O59" s="851"/>
    </row>
    <row r="60" spans="1:15" s="822" customFormat="1">
      <c r="A60" s="851"/>
      <c r="B60" s="851"/>
      <c r="C60" s="852"/>
      <c r="D60" s="852"/>
      <c r="E60" s="852"/>
      <c r="F60" s="852"/>
      <c r="G60" s="852"/>
      <c r="H60" s="851"/>
      <c r="I60" s="851"/>
      <c r="J60" s="852"/>
      <c r="K60" s="852"/>
      <c r="L60" s="851"/>
      <c r="M60" s="851"/>
      <c r="N60" s="851"/>
      <c r="O60" s="851"/>
    </row>
    <row r="61" spans="1:15" s="822" customFormat="1">
      <c r="A61" s="851"/>
      <c r="B61" s="851"/>
      <c r="C61" s="852"/>
      <c r="D61" s="852"/>
      <c r="E61" s="852"/>
      <c r="F61" s="852"/>
      <c r="G61" s="852"/>
      <c r="H61" s="851"/>
      <c r="I61" s="851"/>
      <c r="J61" s="852"/>
      <c r="K61" s="852"/>
      <c r="L61" s="851"/>
      <c r="M61" s="851"/>
      <c r="N61" s="851"/>
      <c r="O61" s="851"/>
    </row>
    <row r="62" spans="1:15" s="822" customFormat="1">
      <c r="A62" s="851"/>
      <c r="B62" s="851"/>
      <c r="C62" s="852"/>
      <c r="D62" s="852"/>
      <c r="E62" s="852"/>
      <c r="F62" s="852"/>
      <c r="G62" s="852"/>
      <c r="H62" s="851"/>
      <c r="I62" s="851"/>
      <c r="J62" s="852"/>
      <c r="K62" s="852"/>
      <c r="L62" s="851"/>
      <c r="M62" s="851"/>
      <c r="N62" s="851"/>
      <c r="O62" s="851"/>
    </row>
    <row r="63" spans="1:15" s="822" customFormat="1">
      <c r="A63" s="851"/>
      <c r="B63" s="851"/>
      <c r="C63" s="852"/>
      <c r="D63" s="852"/>
      <c r="E63" s="852"/>
      <c r="F63" s="852"/>
      <c r="G63" s="852"/>
      <c r="H63" s="851"/>
      <c r="I63" s="851"/>
      <c r="J63" s="852"/>
      <c r="K63" s="852"/>
      <c r="L63" s="851"/>
      <c r="M63" s="851"/>
      <c r="N63" s="851"/>
      <c r="O63" s="851"/>
    </row>
    <row r="64" spans="1:15" s="822" customFormat="1">
      <c r="A64" s="851"/>
      <c r="B64" s="851"/>
      <c r="C64" s="852"/>
      <c r="D64" s="852"/>
      <c r="E64" s="852"/>
      <c r="F64" s="852"/>
      <c r="G64" s="852"/>
      <c r="H64" s="851"/>
      <c r="I64" s="851"/>
      <c r="J64" s="852"/>
      <c r="K64" s="852"/>
      <c r="L64" s="851"/>
      <c r="M64" s="851"/>
      <c r="N64" s="851"/>
      <c r="O64" s="851"/>
    </row>
    <row r="65" spans="1:15" s="822" customFormat="1">
      <c r="A65" s="851"/>
      <c r="B65" s="851"/>
      <c r="C65" s="852"/>
      <c r="D65" s="852"/>
      <c r="E65" s="852"/>
      <c r="F65" s="852"/>
      <c r="G65" s="852"/>
      <c r="H65" s="851"/>
      <c r="I65" s="851"/>
      <c r="J65" s="852"/>
      <c r="K65" s="852"/>
      <c r="L65" s="851"/>
      <c r="M65" s="851"/>
      <c r="N65" s="851"/>
      <c r="O65" s="851"/>
    </row>
    <row r="66" spans="1:15" s="822" customFormat="1">
      <c r="A66" s="851"/>
      <c r="B66" s="851"/>
      <c r="C66" s="852"/>
      <c r="D66" s="852"/>
      <c r="E66" s="852"/>
      <c r="F66" s="852"/>
      <c r="G66" s="852"/>
      <c r="H66" s="851"/>
      <c r="I66" s="851"/>
      <c r="J66" s="852"/>
      <c r="K66" s="852"/>
      <c r="L66" s="851"/>
      <c r="M66" s="851"/>
      <c r="N66" s="851"/>
      <c r="O66" s="851"/>
    </row>
    <row r="67" spans="1:15" s="822" customFormat="1">
      <c r="A67" s="851"/>
      <c r="B67" s="851"/>
      <c r="C67" s="852"/>
      <c r="D67" s="852"/>
      <c r="E67" s="852"/>
      <c r="F67" s="852"/>
      <c r="G67" s="852"/>
      <c r="H67" s="851"/>
      <c r="I67" s="851"/>
      <c r="J67" s="852"/>
      <c r="K67" s="852"/>
      <c r="L67" s="851"/>
      <c r="M67" s="851"/>
      <c r="N67" s="851"/>
      <c r="O67" s="851"/>
    </row>
    <row r="68" spans="1:15" s="822" customFormat="1">
      <c r="A68" s="851"/>
      <c r="B68" s="851"/>
      <c r="C68" s="852"/>
      <c r="D68" s="852"/>
      <c r="E68" s="852"/>
      <c r="F68" s="852"/>
      <c r="G68" s="852"/>
      <c r="H68" s="851"/>
      <c r="I68" s="851"/>
      <c r="J68" s="852"/>
      <c r="K68" s="852"/>
      <c r="L68" s="851"/>
      <c r="M68" s="851"/>
      <c r="N68" s="851"/>
      <c r="O68" s="851"/>
    </row>
    <row r="69" spans="1:15" s="822" customFormat="1">
      <c r="A69" s="851"/>
      <c r="B69" s="851"/>
      <c r="C69" s="852"/>
      <c r="D69" s="852"/>
      <c r="E69" s="852"/>
      <c r="F69" s="852"/>
      <c r="G69" s="852"/>
      <c r="H69" s="851"/>
      <c r="I69" s="851"/>
      <c r="J69" s="852"/>
      <c r="K69" s="852"/>
      <c r="L69" s="851"/>
      <c r="M69" s="851"/>
      <c r="N69" s="851"/>
      <c r="O69" s="851"/>
    </row>
    <row r="70" spans="1:15" s="822" customFormat="1">
      <c r="A70" s="851"/>
      <c r="B70" s="851"/>
      <c r="C70" s="852"/>
      <c r="D70" s="852"/>
      <c r="E70" s="852"/>
      <c r="F70" s="852"/>
      <c r="G70" s="852"/>
      <c r="H70" s="851"/>
      <c r="I70" s="851"/>
      <c r="J70" s="852"/>
      <c r="K70" s="852"/>
      <c r="L70" s="851"/>
      <c r="M70" s="851"/>
      <c r="N70" s="851"/>
      <c r="O70" s="851"/>
    </row>
    <row r="71" spans="1:15" s="822" customFormat="1">
      <c r="A71" s="851"/>
      <c r="B71" s="851"/>
      <c r="C71" s="852"/>
      <c r="D71" s="852"/>
      <c r="E71" s="852"/>
      <c r="F71" s="852"/>
      <c r="G71" s="852"/>
      <c r="H71" s="851"/>
      <c r="I71" s="851"/>
      <c r="J71" s="852"/>
      <c r="K71" s="852"/>
      <c r="L71" s="851"/>
      <c r="M71" s="851"/>
      <c r="N71" s="851"/>
      <c r="O71" s="851"/>
    </row>
    <row r="72" spans="1:15" s="822" customFormat="1">
      <c r="A72" s="851"/>
      <c r="B72" s="851"/>
      <c r="C72" s="852"/>
      <c r="D72" s="852"/>
      <c r="E72" s="852"/>
      <c r="F72" s="852"/>
      <c r="G72" s="852"/>
      <c r="H72" s="851"/>
      <c r="I72" s="851"/>
      <c r="J72" s="852"/>
      <c r="K72" s="852"/>
      <c r="L72" s="851"/>
      <c r="M72" s="851"/>
      <c r="N72" s="851"/>
      <c r="O72" s="851"/>
    </row>
    <row r="73" spans="1:15" s="822" customFormat="1">
      <c r="A73" s="851"/>
      <c r="B73" s="851"/>
      <c r="C73" s="852"/>
      <c r="D73" s="852"/>
      <c r="E73" s="852"/>
      <c r="F73" s="852"/>
      <c r="G73" s="852"/>
      <c r="H73" s="851"/>
      <c r="I73" s="851"/>
      <c r="J73" s="852"/>
      <c r="K73" s="852"/>
      <c r="L73" s="851"/>
      <c r="M73" s="851"/>
      <c r="N73" s="851"/>
      <c r="O73" s="851"/>
    </row>
    <row r="74" spans="1:15" s="822" customFormat="1">
      <c r="A74" s="851"/>
      <c r="B74" s="851"/>
      <c r="C74" s="852"/>
      <c r="D74" s="852"/>
      <c r="E74" s="852"/>
      <c r="F74" s="852"/>
      <c r="G74" s="852"/>
      <c r="H74" s="851"/>
      <c r="I74" s="851"/>
      <c r="J74" s="852"/>
      <c r="K74" s="852"/>
      <c r="L74" s="851"/>
      <c r="M74" s="851"/>
      <c r="N74" s="851"/>
      <c r="O74" s="851"/>
    </row>
    <row r="75" spans="1:15" s="822" customFormat="1">
      <c r="A75" s="851"/>
      <c r="B75" s="851"/>
      <c r="C75" s="852"/>
      <c r="D75" s="852"/>
      <c r="E75" s="852"/>
      <c r="F75" s="852"/>
      <c r="G75" s="852"/>
      <c r="H75" s="851"/>
      <c r="I75" s="851"/>
      <c r="J75" s="852"/>
      <c r="K75" s="852"/>
      <c r="L75" s="851"/>
      <c r="M75" s="851"/>
      <c r="N75" s="851"/>
      <c r="O75" s="851"/>
    </row>
    <row r="76" spans="1:15" s="822" customFormat="1">
      <c r="A76" s="851"/>
      <c r="B76" s="851"/>
      <c r="C76" s="852"/>
      <c r="D76" s="852"/>
      <c r="E76" s="852"/>
      <c r="F76" s="852"/>
      <c r="G76" s="852"/>
      <c r="H76" s="851"/>
      <c r="I76" s="851"/>
      <c r="J76" s="852"/>
      <c r="K76" s="852"/>
      <c r="L76" s="851"/>
      <c r="M76" s="851"/>
      <c r="N76" s="851"/>
      <c r="O76" s="851"/>
    </row>
    <row r="77" spans="1:15" s="822" customFormat="1">
      <c r="A77" s="851"/>
      <c r="B77" s="851"/>
      <c r="C77" s="852"/>
      <c r="D77" s="852"/>
      <c r="E77" s="852"/>
      <c r="F77" s="852"/>
      <c r="G77" s="852"/>
      <c r="H77" s="851"/>
      <c r="I77" s="851"/>
      <c r="J77" s="852"/>
      <c r="K77" s="852"/>
      <c r="L77" s="851"/>
      <c r="M77" s="851"/>
      <c r="N77" s="851"/>
      <c r="O77" s="851"/>
    </row>
    <row r="78" spans="1:15" s="822" customFormat="1">
      <c r="A78" s="851"/>
      <c r="B78" s="851"/>
      <c r="C78" s="852"/>
      <c r="D78" s="852"/>
      <c r="E78" s="852"/>
      <c r="F78" s="852"/>
      <c r="G78" s="852"/>
      <c r="H78" s="851"/>
      <c r="I78" s="851"/>
      <c r="J78" s="852"/>
      <c r="K78" s="852"/>
      <c r="L78" s="851"/>
      <c r="M78" s="851"/>
      <c r="N78" s="851"/>
      <c r="O78" s="851"/>
    </row>
    <row r="79" spans="1:15" s="822" customFormat="1">
      <c r="A79" s="851"/>
      <c r="B79" s="851"/>
      <c r="C79" s="852"/>
      <c r="D79" s="852"/>
      <c r="E79" s="852"/>
      <c r="F79" s="852"/>
      <c r="G79" s="852"/>
      <c r="H79" s="851"/>
      <c r="I79" s="851"/>
      <c r="J79" s="852"/>
      <c r="K79" s="852"/>
      <c r="L79" s="851"/>
      <c r="M79" s="851"/>
      <c r="N79" s="851"/>
      <c r="O79" s="851"/>
    </row>
    <row r="80" spans="1:15" s="822" customFormat="1">
      <c r="A80" s="851"/>
      <c r="B80" s="851"/>
      <c r="C80" s="852"/>
      <c r="D80" s="852"/>
      <c r="E80" s="852"/>
      <c r="F80" s="852"/>
      <c r="G80" s="852"/>
      <c r="H80" s="851"/>
      <c r="I80" s="851"/>
      <c r="J80" s="852"/>
      <c r="K80" s="852"/>
      <c r="L80" s="851"/>
      <c r="M80" s="851"/>
      <c r="N80" s="851"/>
      <c r="O80" s="851"/>
    </row>
    <row r="81" spans="1:15" s="822" customFormat="1">
      <c r="A81" s="851"/>
      <c r="B81" s="851"/>
      <c r="C81" s="852"/>
      <c r="D81" s="852"/>
      <c r="E81" s="852"/>
      <c r="F81" s="852"/>
      <c r="G81" s="852"/>
      <c r="H81" s="851"/>
      <c r="I81" s="851"/>
      <c r="J81" s="852"/>
      <c r="K81" s="852"/>
      <c r="L81" s="851"/>
      <c r="M81" s="851"/>
      <c r="N81" s="851"/>
      <c r="O81" s="851"/>
    </row>
    <row r="82" spans="1:15" s="822" customFormat="1">
      <c r="A82" s="851"/>
      <c r="B82" s="851"/>
      <c r="C82" s="852"/>
      <c r="D82" s="852"/>
      <c r="E82" s="852"/>
      <c r="F82" s="852"/>
      <c r="G82" s="852"/>
      <c r="H82" s="851"/>
      <c r="I82" s="851"/>
      <c r="J82" s="852"/>
      <c r="K82" s="852"/>
      <c r="L82" s="851"/>
      <c r="M82" s="851"/>
      <c r="N82" s="851"/>
      <c r="O82" s="851"/>
    </row>
    <row r="83" spans="1:15" s="822" customFormat="1">
      <c r="A83" s="851"/>
      <c r="B83" s="851"/>
      <c r="C83" s="852"/>
      <c r="D83" s="852"/>
      <c r="E83" s="852"/>
      <c r="F83" s="852"/>
      <c r="G83" s="852"/>
      <c r="H83" s="851"/>
      <c r="I83" s="851"/>
      <c r="J83" s="852"/>
      <c r="K83" s="852"/>
      <c r="L83" s="851"/>
      <c r="M83" s="851"/>
      <c r="N83" s="851"/>
      <c r="O83" s="851"/>
    </row>
    <row r="84" spans="1:15" s="822" customFormat="1">
      <c r="A84" s="851"/>
      <c r="B84" s="851"/>
      <c r="C84" s="852"/>
      <c r="D84" s="852"/>
      <c r="E84" s="852"/>
      <c r="F84" s="852"/>
      <c r="G84" s="852"/>
      <c r="H84" s="851"/>
      <c r="I84" s="851"/>
      <c r="J84" s="852"/>
      <c r="K84" s="852"/>
      <c r="L84" s="851"/>
      <c r="M84" s="851"/>
      <c r="N84" s="851"/>
      <c r="O84" s="851"/>
    </row>
    <row r="85" spans="1:15" s="822" customFormat="1">
      <c r="A85" s="851"/>
      <c r="B85" s="851"/>
      <c r="C85" s="852"/>
      <c r="D85" s="852"/>
      <c r="E85" s="852"/>
      <c r="F85" s="852"/>
      <c r="G85" s="852"/>
      <c r="H85" s="851"/>
      <c r="I85" s="851"/>
      <c r="J85" s="852"/>
      <c r="K85" s="852"/>
      <c r="L85" s="851"/>
      <c r="M85" s="851"/>
      <c r="N85" s="851"/>
      <c r="O85" s="851"/>
    </row>
    <row r="86" spans="1:15" s="822" customFormat="1">
      <c r="A86" s="851"/>
      <c r="B86" s="851"/>
      <c r="C86" s="852"/>
      <c r="D86" s="852"/>
      <c r="E86" s="852"/>
      <c r="F86" s="852"/>
      <c r="G86" s="852"/>
      <c r="H86" s="851"/>
      <c r="I86" s="851"/>
      <c r="J86" s="852"/>
      <c r="K86" s="852"/>
      <c r="L86" s="851"/>
      <c r="M86" s="851"/>
      <c r="N86" s="851"/>
      <c r="O86" s="851"/>
    </row>
    <row r="87" spans="1:15" s="822" customFormat="1">
      <c r="A87" s="851"/>
      <c r="B87" s="851"/>
      <c r="C87" s="852"/>
      <c r="D87" s="852"/>
      <c r="E87" s="852"/>
      <c r="F87" s="852"/>
      <c r="G87" s="852"/>
      <c r="H87" s="851"/>
      <c r="I87" s="851"/>
      <c r="J87" s="852"/>
      <c r="K87" s="852"/>
      <c r="L87" s="851"/>
      <c r="M87" s="851"/>
      <c r="N87" s="851"/>
      <c r="O87" s="851"/>
    </row>
    <row r="88" spans="1:15" s="822" customFormat="1">
      <c r="A88" s="851"/>
      <c r="B88" s="851"/>
      <c r="C88" s="852"/>
      <c r="D88" s="852"/>
      <c r="E88" s="852"/>
      <c r="F88" s="852"/>
      <c r="G88" s="852"/>
      <c r="H88" s="851"/>
      <c r="I88" s="851"/>
      <c r="J88" s="852"/>
      <c r="K88" s="852"/>
      <c r="L88" s="851"/>
      <c r="M88" s="851"/>
      <c r="N88" s="851"/>
      <c r="O88" s="851"/>
    </row>
    <row r="89" spans="1:15" s="822" customFormat="1">
      <c r="A89" s="851"/>
      <c r="B89" s="851"/>
      <c r="C89" s="852"/>
      <c r="D89" s="852"/>
      <c r="E89" s="852"/>
      <c r="F89" s="852"/>
      <c r="G89" s="852"/>
      <c r="H89" s="851"/>
      <c r="I89" s="851"/>
      <c r="J89" s="852"/>
      <c r="K89" s="852"/>
      <c r="L89" s="851"/>
      <c r="M89" s="851"/>
      <c r="N89" s="851"/>
      <c r="O89" s="851"/>
    </row>
    <row r="90" spans="1:15" s="822" customFormat="1">
      <c r="A90" s="851"/>
      <c r="B90" s="851"/>
      <c r="C90" s="852"/>
      <c r="D90" s="852"/>
      <c r="E90" s="852"/>
      <c r="F90" s="852"/>
      <c r="G90" s="852"/>
      <c r="H90" s="851"/>
      <c r="I90" s="851"/>
      <c r="J90" s="852"/>
      <c r="K90" s="852"/>
      <c r="L90" s="851"/>
      <c r="M90" s="851"/>
      <c r="N90" s="851"/>
      <c r="O90" s="851"/>
    </row>
    <row r="91" spans="1:15" s="822" customFormat="1">
      <c r="A91" s="851"/>
      <c r="B91" s="851"/>
      <c r="C91" s="852"/>
      <c r="D91" s="852"/>
      <c r="E91" s="852"/>
      <c r="F91" s="852"/>
      <c r="G91" s="852"/>
      <c r="H91" s="851"/>
      <c r="I91" s="851"/>
      <c r="J91" s="852"/>
      <c r="K91" s="852"/>
      <c r="L91" s="851"/>
      <c r="M91" s="851"/>
      <c r="N91" s="851"/>
      <c r="O91" s="851"/>
    </row>
    <row r="92" spans="1:15" s="822" customFormat="1">
      <c r="A92" s="851"/>
      <c r="B92" s="851"/>
      <c r="C92" s="852"/>
      <c r="D92" s="852"/>
      <c r="E92" s="852"/>
      <c r="F92" s="852"/>
      <c r="G92" s="852"/>
      <c r="H92" s="851"/>
      <c r="I92" s="851"/>
      <c r="J92" s="852"/>
      <c r="K92" s="852"/>
      <c r="L92" s="851"/>
      <c r="M92" s="851"/>
      <c r="N92" s="851"/>
      <c r="O92" s="851"/>
    </row>
    <row r="93" spans="1:15" s="822" customFormat="1">
      <c r="A93" s="851"/>
      <c r="B93" s="851"/>
      <c r="C93" s="852"/>
      <c r="D93" s="852"/>
      <c r="E93" s="852"/>
      <c r="F93" s="852"/>
      <c r="G93" s="852"/>
      <c r="H93" s="851"/>
      <c r="I93" s="851"/>
      <c r="J93" s="852"/>
      <c r="K93" s="852"/>
      <c r="L93" s="851"/>
      <c r="M93" s="851"/>
      <c r="N93" s="851"/>
      <c r="O93" s="85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6" customWidth="1"/>
    <col min="2" max="2" width="5.90625" style="856" customWidth="1"/>
    <col min="3" max="3" width="9.81640625" style="856" customWidth="1"/>
    <col min="4" max="4" width="21.36328125" style="856" customWidth="1"/>
    <col min="5" max="5" width="1.81640625" style="856" customWidth="1"/>
    <col min="6" max="6" width="16.90625" style="856" customWidth="1"/>
    <col min="7" max="7" width="2.36328125" style="856" customWidth="1"/>
    <col min="8" max="8" width="19.1796875" style="856" customWidth="1"/>
    <col min="9" max="9" width="1.6328125" style="856" customWidth="1"/>
    <col min="10" max="10" width="20.81640625" style="856" customWidth="1"/>
    <col min="11" max="11" width="2.08984375" style="856" customWidth="1"/>
    <col min="12" max="12" width="22.453125" style="856" customWidth="1"/>
    <col min="13" max="13" width="2.453125" style="856" customWidth="1"/>
    <col min="14" max="14" width="10.81640625" style="856" bestFit="1" customWidth="1"/>
    <col min="15" max="15" width="12.54296875" style="856" bestFit="1" customWidth="1"/>
    <col min="16" max="16384" width="8.90625" style="856"/>
  </cols>
  <sheetData>
    <row r="1" spans="1:256" ht="15">
      <c r="A1" s="1124" t="s">
        <v>1066</v>
      </c>
    </row>
    <row r="2" spans="1:256" ht="18" customHeight="1"/>
    <row r="3" spans="1:256" ht="17.399999999999999">
      <c r="A3" s="857" t="s">
        <v>0</v>
      </c>
      <c r="B3" s="858"/>
      <c r="C3" s="858"/>
      <c r="D3" s="859"/>
      <c r="E3" s="859"/>
      <c r="F3" s="858"/>
      <c r="G3" s="858" t="s">
        <v>15</v>
      </c>
      <c r="H3" s="858"/>
      <c r="I3" s="858"/>
      <c r="J3" s="858"/>
      <c r="K3" s="858"/>
      <c r="L3" s="860" t="s">
        <v>379</v>
      </c>
      <c r="M3" s="859"/>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row>
    <row r="4" spans="1:256" ht="17.399999999999999">
      <c r="A4" s="857" t="s">
        <v>380</v>
      </c>
      <c r="B4" s="858"/>
      <c r="C4" s="858"/>
      <c r="D4" s="859"/>
      <c r="E4" s="859"/>
      <c r="F4" s="858"/>
      <c r="G4" s="858"/>
      <c r="H4" s="858"/>
      <c r="I4" s="858"/>
      <c r="J4" s="858"/>
      <c r="K4" s="858"/>
      <c r="L4" s="862"/>
      <c r="M4" s="859"/>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FX4" s="861"/>
      <c r="FY4" s="861"/>
      <c r="FZ4" s="861"/>
      <c r="GA4" s="861"/>
      <c r="GB4" s="861"/>
      <c r="GC4" s="861"/>
      <c r="GD4" s="861"/>
      <c r="GE4" s="861"/>
      <c r="GF4" s="861"/>
      <c r="GG4" s="861"/>
      <c r="GH4" s="861"/>
      <c r="GI4" s="861"/>
      <c r="GJ4" s="861"/>
      <c r="GK4" s="861"/>
      <c r="GL4" s="861"/>
      <c r="GM4" s="861"/>
      <c r="GN4" s="861"/>
      <c r="GO4" s="861"/>
      <c r="GP4" s="861"/>
      <c r="GQ4" s="861"/>
      <c r="GR4" s="861"/>
      <c r="GS4" s="861"/>
      <c r="GT4" s="861"/>
      <c r="GU4" s="861"/>
      <c r="GV4" s="861"/>
      <c r="GW4" s="861"/>
      <c r="GX4" s="861"/>
      <c r="GY4" s="861"/>
      <c r="GZ4" s="861"/>
      <c r="HA4" s="861"/>
      <c r="HB4" s="861"/>
      <c r="HC4" s="861"/>
      <c r="HD4" s="861"/>
      <c r="HE4" s="861"/>
      <c r="HF4" s="861"/>
      <c r="HG4" s="861"/>
      <c r="HH4" s="861"/>
      <c r="HI4" s="861"/>
      <c r="HJ4" s="861"/>
      <c r="HK4" s="861"/>
      <c r="HL4" s="861"/>
      <c r="HM4" s="861"/>
      <c r="HN4" s="861"/>
      <c r="HO4" s="861"/>
      <c r="HP4" s="861"/>
      <c r="HQ4" s="861"/>
      <c r="HR4" s="861"/>
      <c r="HS4" s="861"/>
      <c r="HT4" s="861"/>
      <c r="HU4" s="861"/>
      <c r="HV4" s="861"/>
      <c r="HW4" s="861"/>
      <c r="HX4" s="861"/>
      <c r="HY4" s="861"/>
      <c r="HZ4" s="861"/>
      <c r="IA4" s="861"/>
      <c r="IB4" s="861"/>
      <c r="IC4" s="861"/>
      <c r="ID4" s="861"/>
      <c r="IE4" s="861"/>
      <c r="IF4" s="861"/>
      <c r="IG4" s="861"/>
      <c r="IH4" s="861"/>
      <c r="II4" s="861"/>
      <c r="IJ4" s="861"/>
      <c r="IK4" s="861"/>
      <c r="IL4" s="861"/>
      <c r="IM4" s="861"/>
      <c r="IN4" s="861"/>
      <c r="IO4" s="861"/>
      <c r="IP4" s="861"/>
      <c r="IQ4" s="861"/>
      <c r="IR4" s="861"/>
      <c r="IS4" s="861"/>
      <c r="IT4" s="861"/>
      <c r="IU4" s="861"/>
      <c r="IV4" s="861"/>
    </row>
    <row r="5" spans="1:256" ht="17.399999999999999">
      <c r="A5" s="863" t="s">
        <v>381</v>
      </c>
      <c r="B5" s="858"/>
      <c r="C5" s="858"/>
      <c r="D5" s="859"/>
      <c r="E5" s="859"/>
      <c r="F5" s="858"/>
      <c r="G5" s="858"/>
      <c r="H5" s="858"/>
      <c r="I5" s="858"/>
      <c r="J5" s="858"/>
      <c r="K5" s="858"/>
      <c r="L5" s="858"/>
      <c r="M5" s="859"/>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1"/>
      <c r="DE5" s="861"/>
      <c r="DF5" s="861"/>
      <c r="DG5" s="861"/>
      <c r="DH5" s="861"/>
      <c r="DI5" s="861"/>
      <c r="DJ5" s="861"/>
      <c r="DK5" s="861"/>
      <c r="DL5" s="861"/>
      <c r="DM5" s="861"/>
      <c r="DN5" s="861"/>
      <c r="DO5" s="861"/>
      <c r="DP5" s="861"/>
      <c r="DQ5" s="861"/>
      <c r="DR5" s="861"/>
      <c r="DS5" s="861"/>
      <c r="DT5" s="861"/>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1"/>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61"/>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61"/>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1"/>
      <c r="IM5" s="861"/>
      <c r="IN5" s="861"/>
      <c r="IO5" s="861"/>
      <c r="IP5" s="861"/>
      <c r="IQ5" s="861"/>
      <c r="IR5" s="861"/>
      <c r="IS5" s="861"/>
      <c r="IT5" s="861"/>
      <c r="IU5" s="861"/>
      <c r="IV5" s="861"/>
    </row>
    <row r="6" spans="1:256" ht="17.399999999999999">
      <c r="A6" s="863" t="str">
        <f>+'Sch 2 '!A7</f>
        <v>FISCAL YEAR 2017-2018</v>
      </c>
      <c r="B6" s="858"/>
      <c r="C6" s="858"/>
      <c r="D6" s="859"/>
      <c r="E6" s="859"/>
      <c r="F6" s="858"/>
      <c r="G6" s="858"/>
      <c r="H6" s="858"/>
      <c r="I6" s="858"/>
      <c r="J6" s="858"/>
      <c r="K6" s="858"/>
      <c r="L6" s="858"/>
      <c r="M6" s="859"/>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row>
    <row r="7" spans="1:256" ht="17.399999999999999">
      <c r="A7" s="863" t="s">
        <v>1558</v>
      </c>
      <c r="B7" s="858"/>
      <c r="C7" s="858"/>
      <c r="D7" s="859"/>
      <c r="E7" s="859"/>
      <c r="F7" s="858"/>
      <c r="G7" s="858"/>
      <c r="H7" s="858"/>
      <c r="I7" s="858"/>
      <c r="J7" s="858"/>
      <c r="K7" s="858"/>
      <c r="L7" s="858"/>
      <c r="M7" s="859"/>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row>
    <row r="8" spans="1:256" ht="17.399999999999999">
      <c r="A8" s="1494" t="s">
        <v>958</v>
      </c>
      <c r="B8" s="858"/>
      <c r="C8" s="858"/>
      <c r="D8" s="859"/>
      <c r="E8" s="859"/>
      <c r="F8" s="858"/>
      <c r="G8" s="858"/>
      <c r="H8" s="858"/>
      <c r="I8" s="858"/>
      <c r="J8" s="858"/>
      <c r="K8" s="858"/>
      <c r="L8" s="858"/>
      <c r="M8" s="859"/>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c r="BD8" s="861"/>
      <c r="BE8" s="861"/>
      <c r="BF8" s="861"/>
      <c r="BG8" s="861"/>
      <c r="BH8" s="861"/>
      <c r="BI8" s="861"/>
      <c r="BJ8" s="861"/>
      <c r="BK8" s="861"/>
      <c r="BL8" s="861"/>
      <c r="BM8" s="861"/>
      <c r="BN8" s="861"/>
      <c r="BO8" s="861"/>
      <c r="BP8" s="861"/>
      <c r="BQ8" s="861"/>
      <c r="BR8" s="861"/>
      <c r="BS8" s="861"/>
      <c r="BT8" s="861"/>
      <c r="BU8" s="861"/>
      <c r="BV8" s="861"/>
      <c r="BW8" s="861"/>
      <c r="BX8" s="861"/>
      <c r="BY8" s="861"/>
      <c r="BZ8" s="861"/>
      <c r="CA8" s="861"/>
      <c r="CB8" s="861"/>
      <c r="CC8" s="861"/>
      <c r="CD8" s="861"/>
      <c r="CE8" s="861"/>
      <c r="CF8" s="861"/>
      <c r="CG8" s="861"/>
      <c r="CH8" s="861"/>
      <c r="CI8" s="861"/>
      <c r="CJ8" s="861"/>
      <c r="CK8" s="861"/>
      <c r="CL8" s="861"/>
      <c r="CM8" s="861"/>
      <c r="CN8" s="861"/>
      <c r="CO8" s="861"/>
      <c r="CP8" s="861"/>
      <c r="CQ8" s="861"/>
      <c r="CR8" s="861"/>
      <c r="CS8" s="861"/>
      <c r="CT8" s="861"/>
      <c r="CU8" s="861"/>
      <c r="CV8" s="861"/>
      <c r="CW8" s="861"/>
      <c r="CX8" s="861"/>
      <c r="CY8" s="861"/>
      <c r="CZ8" s="861"/>
      <c r="DA8" s="861"/>
      <c r="DB8" s="861"/>
      <c r="DC8" s="861"/>
      <c r="DD8" s="861"/>
      <c r="DE8" s="861"/>
      <c r="DF8" s="861"/>
      <c r="DG8" s="861"/>
      <c r="DH8" s="861"/>
      <c r="DI8" s="861"/>
      <c r="DJ8" s="861"/>
      <c r="DK8" s="861"/>
      <c r="DL8" s="861"/>
      <c r="DM8" s="861"/>
      <c r="DN8" s="861"/>
      <c r="DO8" s="861"/>
      <c r="DP8" s="861"/>
      <c r="DQ8" s="861"/>
      <c r="DR8" s="861"/>
      <c r="DS8" s="861"/>
      <c r="DT8" s="861"/>
      <c r="DU8" s="861"/>
      <c r="DV8" s="861"/>
      <c r="DW8" s="861"/>
      <c r="DX8" s="861"/>
      <c r="DY8" s="861"/>
      <c r="DZ8" s="861"/>
      <c r="EA8" s="861"/>
      <c r="EB8" s="861"/>
      <c r="EC8" s="861"/>
      <c r="ED8" s="861"/>
      <c r="EE8" s="861"/>
      <c r="EF8" s="861"/>
      <c r="EG8" s="861"/>
      <c r="EH8" s="861"/>
      <c r="EI8" s="861"/>
      <c r="EJ8" s="861"/>
      <c r="EK8" s="861"/>
      <c r="EL8" s="861"/>
      <c r="EM8" s="861"/>
      <c r="EN8" s="861"/>
      <c r="EO8" s="861"/>
      <c r="EP8" s="861"/>
      <c r="EQ8" s="861"/>
      <c r="ER8" s="861"/>
      <c r="ES8" s="861"/>
      <c r="ET8" s="861"/>
      <c r="EU8" s="861"/>
      <c r="EV8" s="861"/>
      <c r="EW8" s="861"/>
      <c r="EX8" s="861"/>
      <c r="EY8" s="861"/>
      <c r="EZ8" s="861"/>
      <c r="FA8" s="861"/>
      <c r="FB8" s="861"/>
      <c r="FC8" s="861"/>
      <c r="FD8" s="861"/>
      <c r="FE8" s="861"/>
      <c r="FF8" s="861"/>
      <c r="FG8" s="861"/>
      <c r="FH8" s="861"/>
      <c r="FI8" s="861"/>
      <c r="FJ8" s="861"/>
      <c r="FK8" s="861"/>
      <c r="FL8" s="861"/>
      <c r="FM8" s="861"/>
      <c r="FN8" s="861"/>
      <c r="FO8" s="861"/>
      <c r="FP8" s="861"/>
      <c r="FQ8" s="861"/>
      <c r="FR8" s="861"/>
      <c r="FS8" s="861"/>
      <c r="FT8" s="861"/>
      <c r="FU8" s="861"/>
      <c r="FV8" s="861"/>
      <c r="FW8" s="861"/>
      <c r="FX8" s="861"/>
      <c r="FY8" s="861"/>
      <c r="FZ8" s="861"/>
      <c r="GA8" s="861"/>
      <c r="GB8" s="861"/>
      <c r="GC8" s="861"/>
      <c r="GD8" s="861"/>
      <c r="GE8" s="861"/>
      <c r="GF8" s="861"/>
      <c r="GG8" s="861"/>
      <c r="GH8" s="861"/>
      <c r="GI8" s="861"/>
      <c r="GJ8" s="861"/>
      <c r="GK8" s="861"/>
      <c r="GL8" s="861"/>
      <c r="GM8" s="861"/>
      <c r="GN8" s="861"/>
      <c r="GO8" s="861"/>
      <c r="GP8" s="861"/>
      <c r="GQ8" s="861"/>
      <c r="GR8" s="861"/>
      <c r="GS8" s="861"/>
      <c r="GT8" s="861"/>
      <c r="GU8" s="861"/>
      <c r="GV8" s="861"/>
      <c r="GW8" s="861"/>
      <c r="GX8" s="861"/>
      <c r="GY8" s="861"/>
      <c r="GZ8" s="861"/>
      <c r="HA8" s="861"/>
      <c r="HB8" s="861"/>
      <c r="HC8" s="861"/>
      <c r="HD8" s="861"/>
      <c r="HE8" s="861"/>
      <c r="HF8" s="861"/>
      <c r="HG8" s="861"/>
      <c r="HH8" s="861"/>
      <c r="HI8" s="861"/>
      <c r="HJ8" s="861"/>
      <c r="HK8" s="861"/>
      <c r="HL8" s="861"/>
      <c r="HM8" s="861"/>
      <c r="HN8" s="861"/>
      <c r="HO8" s="861"/>
      <c r="HP8" s="861"/>
      <c r="HQ8" s="861"/>
      <c r="HR8" s="861"/>
      <c r="HS8" s="861"/>
      <c r="HT8" s="861"/>
      <c r="HU8" s="861"/>
      <c r="HV8" s="861"/>
      <c r="HW8" s="861"/>
      <c r="HX8" s="861"/>
      <c r="HY8" s="861"/>
      <c r="HZ8" s="861"/>
      <c r="IA8" s="861"/>
      <c r="IB8" s="861"/>
      <c r="IC8" s="861"/>
      <c r="ID8" s="861"/>
      <c r="IE8" s="861"/>
      <c r="IF8" s="861"/>
      <c r="IG8" s="861"/>
      <c r="IH8" s="861"/>
      <c r="II8" s="861"/>
      <c r="IJ8" s="861"/>
      <c r="IK8" s="861"/>
      <c r="IL8" s="861"/>
      <c r="IM8" s="861"/>
      <c r="IN8" s="861"/>
      <c r="IO8" s="861"/>
      <c r="IP8" s="861"/>
      <c r="IQ8" s="861"/>
      <c r="IR8" s="861"/>
      <c r="IS8" s="861"/>
      <c r="IT8" s="861"/>
      <c r="IU8" s="861"/>
      <c r="IV8" s="861"/>
    </row>
    <row r="9" spans="1:256" ht="17.399999999999999">
      <c r="A9" s="857"/>
      <c r="B9" s="857"/>
      <c r="C9" s="857"/>
      <c r="D9" s="1285"/>
      <c r="E9" s="857"/>
      <c r="F9" s="857"/>
      <c r="G9" s="857"/>
      <c r="H9" s="857"/>
      <c r="I9" s="857"/>
      <c r="J9" s="1285" t="s">
        <v>363</v>
      </c>
      <c r="K9" s="857"/>
      <c r="L9" s="1285"/>
      <c r="M9" s="859"/>
      <c r="N9" s="861"/>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861"/>
      <c r="BH9" s="861"/>
      <c r="BI9" s="861"/>
      <c r="BJ9" s="861"/>
      <c r="BK9" s="861"/>
      <c r="BL9" s="861"/>
      <c r="BM9" s="861"/>
      <c r="BN9" s="861"/>
      <c r="BO9" s="861"/>
      <c r="BP9" s="861"/>
      <c r="BQ9" s="861"/>
      <c r="BR9" s="861"/>
      <c r="BS9" s="861"/>
      <c r="BT9" s="861"/>
      <c r="BU9" s="861"/>
      <c r="BV9" s="861"/>
      <c r="BW9" s="861"/>
      <c r="BX9" s="861"/>
      <c r="BY9" s="861"/>
      <c r="BZ9" s="861"/>
      <c r="CA9" s="861"/>
      <c r="CB9" s="861"/>
      <c r="CC9" s="861"/>
      <c r="CD9" s="861"/>
      <c r="CE9" s="861"/>
      <c r="CF9" s="861"/>
      <c r="CG9" s="861"/>
      <c r="CH9" s="861"/>
      <c r="CI9" s="861"/>
      <c r="CJ9" s="861"/>
      <c r="CK9" s="861"/>
      <c r="CL9" s="861"/>
      <c r="CM9" s="861"/>
      <c r="CN9" s="861"/>
      <c r="CO9" s="861"/>
      <c r="CP9" s="861"/>
      <c r="CQ9" s="861"/>
      <c r="CR9" s="861"/>
      <c r="CS9" s="861"/>
      <c r="CT9" s="861"/>
      <c r="CU9" s="861"/>
      <c r="CV9" s="861"/>
      <c r="CW9" s="861"/>
      <c r="CX9" s="861"/>
      <c r="CY9" s="861"/>
      <c r="CZ9" s="861"/>
      <c r="DA9" s="861"/>
      <c r="DB9" s="861"/>
      <c r="DC9" s="861"/>
      <c r="DD9" s="861"/>
      <c r="DE9" s="861"/>
      <c r="DF9" s="861"/>
      <c r="DG9" s="861"/>
      <c r="DH9" s="861"/>
      <c r="DI9" s="861"/>
      <c r="DJ9" s="861"/>
      <c r="DK9" s="861"/>
      <c r="DL9" s="861"/>
      <c r="DM9" s="861"/>
      <c r="DN9" s="861"/>
      <c r="DO9" s="861"/>
      <c r="DP9" s="861"/>
      <c r="DQ9" s="861"/>
      <c r="DR9" s="861"/>
      <c r="DS9" s="861"/>
      <c r="DT9" s="861"/>
      <c r="DU9" s="861"/>
      <c r="DV9" s="861"/>
      <c r="DW9" s="861"/>
      <c r="DX9" s="861"/>
      <c r="DY9" s="861"/>
      <c r="DZ9" s="861"/>
      <c r="EA9" s="861"/>
      <c r="EB9" s="861"/>
      <c r="EC9" s="861"/>
      <c r="ED9" s="861"/>
      <c r="EE9" s="861"/>
      <c r="EF9" s="861"/>
      <c r="EG9" s="861"/>
      <c r="EH9" s="861"/>
      <c r="EI9" s="861"/>
      <c r="EJ9" s="861"/>
      <c r="EK9" s="861"/>
      <c r="EL9" s="861"/>
      <c r="EM9" s="861"/>
      <c r="EN9" s="861"/>
      <c r="EO9" s="861"/>
      <c r="EP9" s="861"/>
      <c r="EQ9" s="861"/>
      <c r="ER9" s="861"/>
      <c r="ES9" s="861"/>
      <c r="ET9" s="861"/>
      <c r="EU9" s="861"/>
      <c r="EV9" s="861"/>
      <c r="EW9" s="861"/>
      <c r="EX9" s="861"/>
      <c r="EY9" s="861"/>
      <c r="EZ9" s="861"/>
      <c r="FA9" s="861"/>
      <c r="FB9" s="861"/>
      <c r="FC9" s="861"/>
      <c r="FD9" s="861"/>
      <c r="FE9" s="861"/>
      <c r="FF9" s="861"/>
      <c r="FG9" s="861"/>
      <c r="FH9" s="861"/>
      <c r="FI9" s="861"/>
      <c r="FJ9" s="861"/>
      <c r="FK9" s="861"/>
      <c r="FL9" s="861"/>
      <c r="FM9" s="861"/>
      <c r="FN9" s="861"/>
      <c r="FO9" s="861"/>
      <c r="FP9" s="861"/>
      <c r="FQ9" s="861"/>
      <c r="FR9" s="861"/>
      <c r="FS9" s="861"/>
      <c r="FT9" s="861"/>
      <c r="FU9" s="861"/>
      <c r="FV9" s="861"/>
      <c r="FW9" s="861"/>
      <c r="FX9" s="861"/>
      <c r="FY9" s="861"/>
      <c r="FZ9" s="861"/>
      <c r="GA9" s="861"/>
      <c r="GB9" s="861"/>
      <c r="GC9" s="861"/>
      <c r="GD9" s="861"/>
      <c r="GE9" s="861"/>
      <c r="GF9" s="861"/>
      <c r="GG9" s="861"/>
      <c r="GH9" s="861"/>
      <c r="GI9" s="861"/>
      <c r="GJ9" s="861"/>
      <c r="GK9" s="861"/>
      <c r="GL9" s="861"/>
      <c r="GM9" s="861"/>
      <c r="GN9" s="861"/>
      <c r="GO9" s="861"/>
      <c r="GP9" s="861"/>
      <c r="GQ9" s="861"/>
      <c r="GR9" s="861"/>
      <c r="GS9" s="861"/>
      <c r="GT9" s="861"/>
      <c r="GU9" s="861"/>
      <c r="GV9" s="861"/>
      <c r="GW9" s="861"/>
      <c r="GX9" s="861"/>
      <c r="GY9" s="861"/>
      <c r="GZ9" s="861"/>
      <c r="HA9" s="861"/>
      <c r="HB9" s="861"/>
      <c r="HC9" s="861"/>
      <c r="HD9" s="861"/>
      <c r="HE9" s="861"/>
      <c r="HF9" s="861"/>
      <c r="HG9" s="861"/>
      <c r="HH9" s="861"/>
      <c r="HI9" s="861"/>
      <c r="HJ9" s="861"/>
      <c r="HK9" s="861"/>
      <c r="HL9" s="861"/>
      <c r="HM9" s="861"/>
      <c r="HN9" s="861"/>
      <c r="HO9" s="861"/>
      <c r="HP9" s="861"/>
      <c r="HQ9" s="861"/>
      <c r="HR9" s="861"/>
      <c r="HS9" s="861"/>
      <c r="HT9" s="861"/>
      <c r="HU9" s="861"/>
      <c r="HV9" s="861"/>
      <c r="HW9" s="861"/>
      <c r="HX9" s="861"/>
      <c r="HY9" s="861"/>
      <c r="HZ9" s="861"/>
      <c r="IA9" s="861"/>
      <c r="IB9" s="861"/>
      <c r="IC9" s="861"/>
      <c r="ID9" s="861"/>
      <c r="IE9" s="861"/>
      <c r="IF9" s="861"/>
      <c r="IG9" s="861"/>
      <c r="IH9" s="861"/>
      <c r="II9" s="861"/>
      <c r="IJ9" s="861"/>
      <c r="IK9" s="861"/>
      <c r="IL9" s="861"/>
      <c r="IM9" s="861"/>
      <c r="IN9" s="861"/>
      <c r="IO9" s="861"/>
      <c r="IP9" s="861"/>
      <c r="IQ9" s="861"/>
      <c r="IR9" s="861"/>
      <c r="IS9" s="861"/>
      <c r="IT9" s="861"/>
      <c r="IU9" s="861"/>
      <c r="IV9" s="861"/>
    </row>
    <row r="10" spans="1:256" ht="17.399999999999999">
      <c r="A10" s="857"/>
      <c r="B10" s="857"/>
      <c r="C10" s="857"/>
      <c r="D10" s="1285" t="s">
        <v>239</v>
      </c>
      <c r="E10" s="857"/>
      <c r="F10" s="857"/>
      <c r="G10" s="857"/>
      <c r="H10" s="857"/>
      <c r="I10" s="857"/>
      <c r="J10" s="1285" t="s">
        <v>364</v>
      </c>
      <c r="K10" s="857"/>
      <c r="L10" s="1285" t="s">
        <v>239</v>
      </c>
      <c r="M10" s="859"/>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61"/>
      <c r="BK10" s="861"/>
      <c r="BL10" s="861"/>
      <c r="BM10" s="861"/>
      <c r="BN10" s="861"/>
      <c r="BO10" s="861"/>
      <c r="BP10" s="861"/>
      <c r="BQ10" s="861"/>
      <c r="BR10" s="861"/>
      <c r="BS10" s="861"/>
      <c r="BT10" s="861"/>
      <c r="BU10" s="861"/>
      <c r="BV10" s="861"/>
      <c r="BW10" s="861"/>
      <c r="BX10" s="861"/>
      <c r="BY10" s="861"/>
      <c r="BZ10" s="861"/>
      <c r="CA10" s="861"/>
      <c r="CB10" s="861"/>
      <c r="CC10" s="861"/>
      <c r="CD10" s="861"/>
      <c r="CE10" s="861"/>
      <c r="CF10" s="861"/>
      <c r="CG10" s="861"/>
      <c r="CH10" s="861"/>
      <c r="CI10" s="861"/>
      <c r="CJ10" s="861"/>
      <c r="CK10" s="861"/>
      <c r="CL10" s="861"/>
      <c r="CM10" s="861"/>
      <c r="CN10" s="861"/>
      <c r="CO10" s="861"/>
      <c r="CP10" s="861"/>
      <c r="CQ10" s="861"/>
      <c r="CR10" s="861"/>
      <c r="CS10" s="861"/>
      <c r="CT10" s="861"/>
      <c r="CU10" s="861"/>
      <c r="CV10" s="861"/>
      <c r="CW10" s="861"/>
      <c r="CX10" s="861"/>
      <c r="CY10" s="861"/>
      <c r="CZ10" s="861"/>
      <c r="DA10" s="861"/>
      <c r="DB10" s="861"/>
      <c r="DC10" s="861"/>
      <c r="DD10" s="861"/>
      <c r="DE10" s="861"/>
      <c r="DF10" s="861"/>
      <c r="DG10" s="861"/>
      <c r="DH10" s="861"/>
      <c r="DI10" s="861"/>
      <c r="DJ10" s="861"/>
      <c r="DK10" s="861"/>
      <c r="DL10" s="861"/>
      <c r="DM10" s="861"/>
      <c r="DN10" s="861"/>
      <c r="DO10" s="861"/>
      <c r="DP10" s="861"/>
      <c r="DQ10" s="861"/>
      <c r="DR10" s="861"/>
      <c r="DS10" s="861"/>
      <c r="DT10" s="861"/>
      <c r="DU10" s="861"/>
      <c r="DV10" s="861"/>
      <c r="DW10" s="861"/>
      <c r="DX10" s="861"/>
      <c r="DY10" s="861"/>
      <c r="DZ10" s="861"/>
      <c r="EA10" s="861"/>
      <c r="EB10" s="861"/>
      <c r="EC10" s="861"/>
      <c r="ED10" s="861"/>
      <c r="EE10" s="861"/>
      <c r="EF10" s="861"/>
      <c r="EG10" s="861"/>
      <c r="EH10" s="861"/>
      <c r="EI10" s="861"/>
      <c r="EJ10" s="861"/>
      <c r="EK10" s="861"/>
      <c r="EL10" s="861"/>
      <c r="EM10" s="861"/>
      <c r="EN10" s="861"/>
      <c r="EO10" s="861"/>
      <c r="EP10" s="861"/>
      <c r="EQ10" s="861"/>
      <c r="ER10" s="861"/>
      <c r="ES10" s="861"/>
      <c r="ET10" s="861"/>
      <c r="EU10" s="861"/>
      <c r="EV10" s="861"/>
      <c r="EW10" s="861"/>
      <c r="EX10" s="861"/>
      <c r="EY10" s="861"/>
      <c r="EZ10" s="861"/>
      <c r="FA10" s="861"/>
      <c r="FB10" s="861"/>
      <c r="FC10" s="861"/>
      <c r="FD10" s="861"/>
      <c r="FE10" s="861"/>
      <c r="FF10" s="861"/>
      <c r="FG10" s="861"/>
      <c r="FH10" s="861"/>
      <c r="FI10" s="861"/>
      <c r="FJ10" s="861"/>
      <c r="FK10" s="861"/>
      <c r="FL10" s="861"/>
      <c r="FM10" s="861"/>
      <c r="FN10" s="861"/>
      <c r="FO10" s="861"/>
      <c r="FP10" s="861"/>
      <c r="FQ10" s="861"/>
      <c r="FR10" s="861"/>
      <c r="FS10" s="861"/>
      <c r="FT10" s="861"/>
      <c r="FU10" s="861"/>
      <c r="FV10" s="861"/>
      <c r="FW10" s="861"/>
      <c r="FX10" s="861"/>
      <c r="FY10" s="861"/>
      <c r="FZ10" s="861"/>
      <c r="GA10" s="861"/>
      <c r="GB10" s="861"/>
      <c r="GC10" s="861"/>
      <c r="GD10" s="861"/>
      <c r="GE10" s="861"/>
      <c r="GF10" s="861"/>
      <c r="GG10" s="861"/>
      <c r="GH10" s="861"/>
      <c r="GI10" s="861"/>
      <c r="GJ10" s="861"/>
      <c r="GK10" s="861"/>
      <c r="GL10" s="861"/>
      <c r="GM10" s="861"/>
      <c r="GN10" s="861"/>
      <c r="GO10" s="861"/>
      <c r="GP10" s="861"/>
      <c r="GQ10" s="861"/>
      <c r="GR10" s="861"/>
      <c r="GS10" s="861"/>
      <c r="GT10" s="861"/>
      <c r="GU10" s="861"/>
      <c r="GV10" s="861"/>
      <c r="GW10" s="861"/>
      <c r="GX10" s="861"/>
      <c r="GY10" s="861"/>
      <c r="GZ10" s="861"/>
      <c r="HA10" s="861"/>
      <c r="HB10" s="861"/>
      <c r="HC10" s="861"/>
      <c r="HD10" s="861"/>
      <c r="HE10" s="861"/>
      <c r="HF10" s="861"/>
      <c r="HG10" s="861"/>
      <c r="HH10" s="861"/>
      <c r="HI10" s="861"/>
      <c r="HJ10" s="861"/>
      <c r="HK10" s="861"/>
      <c r="HL10" s="861"/>
      <c r="HM10" s="861"/>
      <c r="HN10" s="861"/>
      <c r="HO10" s="861"/>
      <c r="HP10" s="861"/>
      <c r="HQ10" s="861"/>
      <c r="HR10" s="861"/>
      <c r="HS10" s="861"/>
      <c r="HT10" s="861"/>
      <c r="HU10" s="861"/>
      <c r="HV10" s="861"/>
      <c r="HW10" s="861"/>
      <c r="HX10" s="861"/>
      <c r="HY10" s="861"/>
      <c r="HZ10" s="861"/>
      <c r="IA10" s="861"/>
      <c r="IB10" s="861"/>
      <c r="IC10" s="861"/>
      <c r="ID10" s="861"/>
      <c r="IE10" s="861"/>
      <c r="IF10" s="861"/>
      <c r="IG10" s="861"/>
      <c r="IH10" s="861"/>
      <c r="II10" s="861"/>
      <c r="IJ10" s="861"/>
      <c r="IK10" s="861"/>
      <c r="IL10" s="861"/>
      <c r="IM10" s="861"/>
      <c r="IN10" s="861"/>
      <c r="IO10" s="861"/>
      <c r="IP10" s="861"/>
      <c r="IQ10" s="861"/>
      <c r="IR10" s="861"/>
      <c r="IS10" s="861"/>
      <c r="IT10" s="861"/>
      <c r="IU10" s="861"/>
      <c r="IV10" s="861"/>
    </row>
    <row r="11" spans="1:256" ht="17.399999999999999">
      <c r="A11" s="877" t="s">
        <v>365</v>
      </c>
      <c r="B11" s="857"/>
      <c r="C11" s="857"/>
      <c r="D11" s="1690" t="s">
        <v>1559</v>
      </c>
      <c r="E11" s="857"/>
      <c r="F11" s="1285" t="s">
        <v>241</v>
      </c>
      <c r="G11" s="857"/>
      <c r="H11" s="1285" t="s">
        <v>242</v>
      </c>
      <c r="I11" s="857"/>
      <c r="J11" s="1285" t="s">
        <v>243</v>
      </c>
      <c r="K11" s="857"/>
      <c r="L11" s="1690" t="s">
        <v>1560</v>
      </c>
      <c r="M11" s="859"/>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c r="BD11" s="861"/>
      <c r="BE11" s="861"/>
      <c r="BF11" s="861"/>
      <c r="BG11" s="861"/>
      <c r="BH11" s="861"/>
      <c r="BI11" s="861"/>
      <c r="BJ11" s="861"/>
      <c r="BK11" s="861"/>
      <c r="BL11" s="861"/>
      <c r="BM11" s="861"/>
      <c r="BN11" s="861"/>
      <c r="BO11" s="861"/>
      <c r="BP11" s="861"/>
      <c r="BQ11" s="861"/>
      <c r="BR11" s="861"/>
      <c r="BS11" s="861"/>
      <c r="BT11" s="861"/>
      <c r="BU11" s="861"/>
      <c r="BV11" s="861"/>
      <c r="BW11" s="861"/>
      <c r="BX11" s="861"/>
      <c r="BY11" s="861"/>
      <c r="BZ11" s="861"/>
      <c r="CA11" s="861"/>
      <c r="CB11" s="861"/>
      <c r="CC11" s="861"/>
      <c r="CD11" s="861"/>
      <c r="CE11" s="861"/>
      <c r="CF11" s="861"/>
      <c r="CG11" s="861"/>
      <c r="CH11" s="861"/>
      <c r="CI11" s="861"/>
      <c r="CJ11" s="861"/>
      <c r="CK11" s="861"/>
      <c r="CL11" s="861"/>
      <c r="CM11" s="861"/>
      <c r="CN11" s="861"/>
      <c r="CO11" s="861"/>
      <c r="CP11" s="861"/>
      <c r="CQ11" s="861"/>
      <c r="CR11" s="861"/>
      <c r="CS11" s="861"/>
      <c r="CT11" s="861"/>
      <c r="CU11" s="861"/>
      <c r="CV11" s="861"/>
      <c r="CW11" s="861"/>
      <c r="CX11" s="861"/>
      <c r="CY11" s="861"/>
      <c r="CZ11" s="861"/>
      <c r="DA11" s="861"/>
      <c r="DB11" s="861"/>
      <c r="DC11" s="861"/>
      <c r="DD11" s="861"/>
      <c r="DE11" s="861"/>
      <c r="DF11" s="861"/>
      <c r="DG11" s="861"/>
      <c r="DH11" s="861"/>
      <c r="DI11" s="861"/>
      <c r="DJ11" s="861"/>
      <c r="DK11" s="861"/>
      <c r="DL11" s="861"/>
      <c r="DM11" s="861"/>
      <c r="DN11" s="861"/>
      <c r="DO11" s="861"/>
      <c r="DP11" s="861"/>
      <c r="DQ11" s="861"/>
      <c r="DR11" s="861"/>
      <c r="DS11" s="861"/>
      <c r="DT11" s="861"/>
      <c r="DU11" s="861"/>
      <c r="DV11" s="861"/>
      <c r="DW11" s="861"/>
      <c r="DX11" s="861"/>
      <c r="DY11" s="861"/>
      <c r="DZ11" s="861"/>
      <c r="EA11" s="861"/>
      <c r="EB11" s="861"/>
      <c r="EC11" s="861"/>
      <c r="ED11" s="861"/>
      <c r="EE11" s="861"/>
      <c r="EF11" s="861"/>
      <c r="EG11" s="861"/>
      <c r="EH11" s="861"/>
      <c r="EI11" s="861"/>
      <c r="EJ11" s="861"/>
      <c r="EK11" s="861"/>
      <c r="EL11" s="861"/>
      <c r="EM11" s="861"/>
      <c r="EN11" s="861"/>
      <c r="EO11" s="861"/>
      <c r="EP11" s="861"/>
      <c r="EQ11" s="861"/>
      <c r="ER11" s="861"/>
      <c r="ES11" s="861"/>
      <c r="ET11" s="861"/>
      <c r="EU11" s="861"/>
      <c r="EV11" s="861"/>
      <c r="EW11" s="861"/>
      <c r="EX11" s="861"/>
      <c r="EY11" s="861"/>
      <c r="EZ11" s="861"/>
      <c r="FA11" s="861"/>
      <c r="FB11" s="861"/>
      <c r="FC11" s="861"/>
      <c r="FD11" s="861"/>
      <c r="FE11" s="861"/>
      <c r="FF11" s="861"/>
      <c r="FG11" s="861"/>
      <c r="FH11" s="861"/>
      <c r="FI11" s="861"/>
      <c r="FJ11" s="861"/>
      <c r="FK11" s="861"/>
      <c r="FL11" s="861"/>
      <c r="FM11" s="861"/>
      <c r="FN11" s="861"/>
      <c r="FO11" s="861"/>
      <c r="FP11" s="861"/>
      <c r="FQ11" s="861"/>
      <c r="FR11" s="861"/>
      <c r="FS11" s="861"/>
      <c r="FT11" s="861"/>
      <c r="FU11" s="861"/>
      <c r="FV11" s="861"/>
      <c r="FW11" s="861"/>
      <c r="FX11" s="861"/>
      <c r="FY11" s="861"/>
      <c r="FZ11" s="861"/>
      <c r="GA11" s="861"/>
      <c r="GB11" s="861"/>
      <c r="GC11" s="861"/>
      <c r="GD11" s="861"/>
      <c r="GE11" s="861"/>
      <c r="GF11" s="861"/>
      <c r="GG11" s="861"/>
      <c r="GH11" s="861"/>
      <c r="GI11" s="861"/>
      <c r="GJ11" s="861"/>
      <c r="GK11" s="861"/>
      <c r="GL11" s="861"/>
      <c r="GM11" s="861"/>
      <c r="GN11" s="861"/>
      <c r="GO11" s="861"/>
      <c r="GP11" s="861"/>
      <c r="GQ11" s="861"/>
      <c r="GR11" s="861"/>
      <c r="GS11" s="861"/>
      <c r="GT11" s="861"/>
      <c r="GU11" s="861"/>
      <c r="GV11" s="861"/>
      <c r="GW11" s="861"/>
      <c r="GX11" s="861"/>
      <c r="GY11" s="861"/>
      <c r="GZ11" s="861"/>
      <c r="HA11" s="861"/>
      <c r="HB11" s="861"/>
      <c r="HC11" s="861"/>
      <c r="HD11" s="861"/>
      <c r="HE11" s="861"/>
      <c r="HF11" s="861"/>
      <c r="HG11" s="861"/>
      <c r="HH11" s="861"/>
      <c r="HI11" s="861"/>
      <c r="HJ11" s="861"/>
      <c r="HK11" s="861"/>
      <c r="HL11" s="861"/>
      <c r="HM11" s="861"/>
      <c r="HN11" s="861"/>
      <c r="HO11" s="861"/>
      <c r="HP11" s="861"/>
      <c r="HQ11" s="861"/>
      <c r="HR11" s="861"/>
      <c r="HS11" s="861"/>
      <c r="HT11" s="861"/>
      <c r="HU11" s="861"/>
      <c r="HV11" s="861"/>
      <c r="HW11" s="861"/>
      <c r="HX11" s="861"/>
      <c r="HY11" s="861"/>
      <c r="HZ11" s="861"/>
      <c r="IA11" s="861"/>
      <c r="IB11" s="861"/>
      <c r="IC11" s="861"/>
      <c r="ID11" s="861"/>
      <c r="IE11" s="861"/>
      <c r="IF11" s="861"/>
      <c r="IG11" s="861"/>
      <c r="IH11" s="861"/>
      <c r="II11" s="861"/>
      <c r="IJ11" s="861"/>
      <c r="IK11" s="861"/>
      <c r="IL11" s="861"/>
      <c r="IM11" s="861"/>
      <c r="IN11" s="861"/>
      <c r="IO11" s="861"/>
      <c r="IP11" s="861"/>
      <c r="IQ11" s="861"/>
      <c r="IR11" s="861"/>
      <c r="IS11" s="861"/>
      <c r="IT11" s="861"/>
      <c r="IU11" s="861"/>
      <c r="IV11" s="861"/>
    </row>
    <row r="12" spans="1:256" ht="9.75" customHeight="1">
      <c r="A12" s="857" t="s">
        <v>15</v>
      </c>
      <c r="B12" s="857"/>
      <c r="C12" s="857"/>
      <c r="D12" s="1286" t="s">
        <v>15</v>
      </c>
      <c r="E12" s="857"/>
      <c r="F12" s="1286" t="s">
        <v>15</v>
      </c>
      <c r="G12" s="857"/>
      <c r="H12" s="1286" t="s">
        <v>15</v>
      </c>
      <c r="I12" s="857"/>
      <c r="J12" s="1286" t="s">
        <v>15</v>
      </c>
      <c r="K12" s="857" t="s">
        <v>15</v>
      </c>
      <c r="L12" s="1286" t="s">
        <v>15</v>
      </c>
      <c r="M12" s="859"/>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1"/>
      <c r="BM12" s="861"/>
      <c r="BN12" s="861"/>
      <c r="BO12" s="861"/>
      <c r="BP12" s="861"/>
      <c r="BQ12" s="861"/>
      <c r="BR12" s="861"/>
      <c r="BS12" s="861"/>
      <c r="BT12" s="861"/>
      <c r="BU12" s="861"/>
      <c r="BV12" s="861"/>
      <c r="BW12" s="861"/>
      <c r="BX12" s="861"/>
      <c r="BY12" s="861"/>
      <c r="BZ12" s="861"/>
      <c r="CA12" s="861"/>
      <c r="CB12" s="861"/>
      <c r="CC12" s="861"/>
      <c r="CD12" s="861"/>
      <c r="CE12" s="861"/>
      <c r="CF12" s="861"/>
      <c r="CG12" s="861"/>
      <c r="CH12" s="861"/>
      <c r="CI12" s="861"/>
      <c r="CJ12" s="861"/>
      <c r="CK12" s="861"/>
      <c r="CL12" s="861"/>
      <c r="CM12" s="861"/>
      <c r="CN12" s="861"/>
      <c r="CO12" s="861"/>
      <c r="CP12" s="861"/>
      <c r="CQ12" s="861"/>
      <c r="CR12" s="861"/>
      <c r="CS12" s="861"/>
      <c r="CT12" s="861"/>
      <c r="CU12" s="861"/>
      <c r="CV12" s="861"/>
      <c r="CW12" s="861"/>
      <c r="CX12" s="861"/>
      <c r="CY12" s="861"/>
      <c r="CZ12" s="861"/>
      <c r="DA12" s="861"/>
      <c r="DB12" s="861"/>
      <c r="DC12" s="861"/>
      <c r="DD12" s="861"/>
      <c r="DE12" s="861"/>
      <c r="DF12" s="861"/>
      <c r="DG12" s="861"/>
      <c r="DH12" s="861"/>
      <c r="DI12" s="861"/>
      <c r="DJ12" s="861"/>
      <c r="DK12" s="861"/>
      <c r="DL12" s="861"/>
      <c r="DM12" s="861"/>
      <c r="DN12" s="861"/>
      <c r="DO12" s="861"/>
      <c r="DP12" s="861"/>
      <c r="DQ12" s="861"/>
      <c r="DR12" s="861"/>
      <c r="DS12" s="861"/>
      <c r="DT12" s="861"/>
      <c r="DU12" s="861"/>
      <c r="DV12" s="861"/>
      <c r="DW12" s="861"/>
      <c r="DX12" s="861"/>
      <c r="DY12" s="861"/>
      <c r="DZ12" s="861"/>
      <c r="EA12" s="861"/>
      <c r="EB12" s="861"/>
      <c r="EC12" s="861"/>
      <c r="ED12" s="861"/>
      <c r="EE12" s="861"/>
      <c r="EF12" s="861"/>
      <c r="EG12" s="861"/>
      <c r="EH12" s="861"/>
      <c r="EI12" s="861"/>
      <c r="EJ12" s="861"/>
      <c r="EK12" s="861"/>
      <c r="EL12" s="861"/>
      <c r="EM12" s="861"/>
      <c r="EN12" s="861"/>
      <c r="EO12" s="861"/>
      <c r="EP12" s="861"/>
      <c r="EQ12" s="861"/>
      <c r="ER12" s="861"/>
      <c r="ES12" s="861"/>
      <c r="ET12" s="861"/>
      <c r="EU12" s="861"/>
      <c r="EV12" s="861"/>
      <c r="EW12" s="861"/>
      <c r="EX12" s="861"/>
      <c r="EY12" s="861"/>
      <c r="EZ12" s="861"/>
      <c r="FA12" s="861"/>
      <c r="FB12" s="861"/>
      <c r="FC12" s="861"/>
      <c r="FD12" s="861"/>
      <c r="FE12" s="861"/>
      <c r="FF12" s="861"/>
      <c r="FG12" s="861"/>
      <c r="FH12" s="861"/>
      <c r="FI12" s="861"/>
      <c r="FJ12" s="861"/>
      <c r="FK12" s="861"/>
      <c r="FL12" s="861"/>
      <c r="FM12" s="861"/>
      <c r="FN12" s="861"/>
      <c r="FO12" s="861"/>
      <c r="FP12" s="861"/>
      <c r="FQ12" s="861"/>
      <c r="FR12" s="861"/>
      <c r="FS12" s="861"/>
      <c r="FT12" s="861"/>
      <c r="FU12" s="861"/>
      <c r="FV12" s="861"/>
      <c r="FW12" s="861"/>
      <c r="FX12" s="861"/>
      <c r="FY12" s="861"/>
      <c r="FZ12" s="861"/>
      <c r="GA12" s="861"/>
      <c r="GB12" s="861"/>
      <c r="GC12" s="861"/>
      <c r="GD12" s="861"/>
      <c r="GE12" s="861"/>
      <c r="GF12" s="861"/>
      <c r="GG12" s="861"/>
      <c r="GH12" s="861"/>
      <c r="GI12" s="861"/>
      <c r="GJ12" s="861"/>
      <c r="GK12" s="861"/>
      <c r="GL12" s="861"/>
      <c r="GM12" s="861"/>
      <c r="GN12" s="861"/>
      <c r="GO12" s="861"/>
      <c r="GP12" s="861"/>
      <c r="GQ12" s="861"/>
      <c r="GR12" s="861"/>
      <c r="GS12" s="861"/>
      <c r="GT12" s="861"/>
      <c r="GU12" s="861"/>
      <c r="GV12" s="861"/>
      <c r="GW12" s="861"/>
      <c r="GX12" s="861"/>
      <c r="GY12" s="861"/>
      <c r="GZ12" s="861"/>
      <c r="HA12" s="861"/>
      <c r="HB12" s="861"/>
      <c r="HC12" s="861"/>
      <c r="HD12" s="861"/>
      <c r="HE12" s="861"/>
      <c r="HF12" s="861"/>
      <c r="HG12" s="861"/>
      <c r="HH12" s="861"/>
      <c r="HI12" s="861"/>
      <c r="HJ12" s="861"/>
      <c r="HK12" s="861"/>
      <c r="HL12" s="861"/>
      <c r="HM12" s="861"/>
      <c r="HN12" s="861"/>
      <c r="HO12" s="861"/>
      <c r="HP12" s="861"/>
      <c r="HQ12" s="861"/>
      <c r="HR12" s="861"/>
      <c r="HS12" s="861"/>
      <c r="HT12" s="861"/>
      <c r="HU12" s="861"/>
      <c r="HV12" s="861"/>
      <c r="HW12" s="861"/>
      <c r="HX12" s="861"/>
      <c r="HY12" s="861"/>
      <c r="HZ12" s="861"/>
      <c r="IA12" s="861"/>
      <c r="IB12" s="861"/>
      <c r="IC12" s="861"/>
      <c r="ID12" s="861"/>
      <c r="IE12" s="861"/>
      <c r="IF12" s="861"/>
      <c r="IG12" s="861"/>
      <c r="IH12" s="861"/>
      <c r="II12" s="861"/>
      <c r="IJ12" s="861"/>
      <c r="IK12" s="861"/>
      <c r="IL12" s="861"/>
      <c r="IM12" s="861"/>
      <c r="IN12" s="861"/>
      <c r="IO12" s="861"/>
      <c r="IP12" s="861"/>
      <c r="IQ12" s="861"/>
      <c r="IR12" s="861"/>
      <c r="IS12" s="861"/>
      <c r="IT12" s="861"/>
      <c r="IU12" s="861"/>
      <c r="IV12" s="861"/>
    </row>
    <row r="13" spans="1:256" ht="18" customHeight="1">
      <c r="A13" s="864" t="s">
        <v>228</v>
      </c>
      <c r="B13" s="861"/>
      <c r="C13" s="861"/>
      <c r="D13" s="1287"/>
      <c r="E13" s="1287"/>
      <c r="F13" s="880"/>
      <c r="G13" s="829"/>
      <c r="H13" s="880"/>
      <c r="I13" s="1287"/>
      <c r="J13" s="1287"/>
      <c r="K13" s="1287"/>
      <c r="L13" s="1287"/>
      <c r="M13" s="865"/>
      <c r="N13" s="866"/>
      <c r="O13" s="867"/>
      <c r="P13" s="867"/>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row>
    <row r="14" spans="1:256" ht="7.5" customHeight="1">
      <c r="A14" s="857"/>
      <c r="B14" s="861"/>
      <c r="C14" s="861"/>
      <c r="D14" s="1287"/>
      <c r="E14" s="1287"/>
      <c r="F14" s="1287"/>
      <c r="G14" s="1287"/>
      <c r="H14" s="1287"/>
      <c r="I14" s="1287"/>
      <c r="J14" s="1287"/>
      <c r="K14" s="1287"/>
      <c r="L14" s="1287"/>
      <c r="M14" s="865"/>
      <c r="N14" s="866"/>
      <c r="O14" s="867"/>
      <c r="P14" s="867"/>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61"/>
      <c r="BK14" s="861"/>
      <c r="BL14" s="861"/>
      <c r="BM14" s="861"/>
      <c r="BN14" s="861"/>
      <c r="BO14" s="861"/>
      <c r="BP14" s="861"/>
      <c r="BQ14" s="861"/>
      <c r="BR14" s="861"/>
      <c r="BS14" s="861"/>
      <c r="BT14" s="861"/>
      <c r="BU14" s="861"/>
      <c r="BV14" s="861"/>
      <c r="BW14" s="861"/>
      <c r="BX14" s="861"/>
      <c r="BY14" s="861"/>
      <c r="BZ14" s="861"/>
      <c r="CA14" s="861"/>
      <c r="CB14" s="861"/>
      <c r="CC14" s="861"/>
      <c r="CD14" s="861"/>
      <c r="CE14" s="861"/>
      <c r="CF14" s="861"/>
      <c r="CG14" s="861"/>
      <c r="CH14" s="861"/>
      <c r="CI14" s="861"/>
      <c r="CJ14" s="861"/>
      <c r="CK14" s="861"/>
      <c r="CL14" s="861"/>
      <c r="CM14" s="861"/>
      <c r="CN14" s="861"/>
      <c r="CO14" s="861"/>
      <c r="CP14" s="861"/>
      <c r="CQ14" s="861"/>
      <c r="CR14" s="861"/>
      <c r="CS14" s="861"/>
      <c r="CT14" s="861"/>
      <c r="CU14" s="861"/>
      <c r="CV14" s="861"/>
      <c r="CW14" s="861"/>
      <c r="CX14" s="861"/>
      <c r="CY14" s="861"/>
      <c r="CZ14" s="861"/>
      <c r="DA14" s="861"/>
      <c r="DB14" s="861"/>
      <c r="DC14" s="861"/>
      <c r="DD14" s="861"/>
      <c r="DE14" s="861"/>
      <c r="DF14" s="861"/>
      <c r="DG14" s="861"/>
      <c r="DH14" s="861"/>
      <c r="DI14" s="861"/>
      <c r="DJ14" s="861"/>
      <c r="DK14" s="861"/>
      <c r="DL14" s="861"/>
      <c r="DM14" s="861"/>
      <c r="DN14" s="861"/>
      <c r="DO14" s="861"/>
      <c r="DP14" s="861"/>
      <c r="DQ14" s="861"/>
      <c r="DR14" s="861"/>
      <c r="DS14" s="861"/>
      <c r="DT14" s="861"/>
      <c r="DU14" s="861"/>
      <c r="DV14" s="861"/>
      <c r="DW14" s="861"/>
      <c r="DX14" s="861"/>
      <c r="DY14" s="861"/>
      <c r="DZ14" s="861"/>
      <c r="EA14" s="861"/>
      <c r="EB14" s="861"/>
      <c r="EC14" s="861"/>
      <c r="ED14" s="861"/>
      <c r="EE14" s="861"/>
      <c r="EF14" s="861"/>
      <c r="EG14" s="861"/>
      <c r="EH14" s="861"/>
      <c r="EI14" s="861"/>
      <c r="EJ14" s="861"/>
      <c r="EK14" s="861"/>
      <c r="EL14" s="861"/>
      <c r="EM14" s="861"/>
      <c r="EN14" s="861"/>
      <c r="EO14" s="861"/>
      <c r="EP14" s="861"/>
      <c r="EQ14" s="861"/>
      <c r="ER14" s="861"/>
      <c r="ES14" s="861"/>
      <c r="ET14" s="861"/>
      <c r="EU14" s="861"/>
      <c r="EV14" s="861"/>
      <c r="EW14" s="861"/>
      <c r="EX14" s="861"/>
      <c r="EY14" s="861"/>
      <c r="EZ14" s="861"/>
      <c r="FA14" s="861"/>
      <c r="FB14" s="861"/>
      <c r="FC14" s="861"/>
      <c r="FD14" s="861"/>
      <c r="FE14" s="861"/>
      <c r="FF14" s="861"/>
      <c r="FG14" s="861"/>
      <c r="FH14" s="861"/>
      <c r="FI14" s="861"/>
      <c r="FJ14" s="861"/>
      <c r="FK14" s="861"/>
      <c r="FL14" s="861"/>
      <c r="FM14" s="861"/>
      <c r="FN14" s="861"/>
      <c r="FO14" s="861"/>
      <c r="FP14" s="861"/>
      <c r="FQ14" s="861"/>
      <c r="FR14" s="861"/>
      <c r="FS14" s="861"/>
      <c r="FT14" s="861"/>
      <c r="FU14" s="861"/>
      <c r="FV14" s="861"/>
      <c r="FW14" s="861"/>
      <c r="FX14" s="861"/>
      <c r="FY14" s="861"/>
      <c r="FZ14" s="861"/>
      <c r="GA14" s="861"/>
      <c r="GB14" s="861"/>
      <c r="GC14" s="861"/>
      <c r="GD14" s="861"/>
      <c r="GE14" s="861"/>
      <c r="GF14" s="861"/>
      <c r="GG14" s="861"/>
      <c r="GH14" s="861"/>
      <c r="GI14" s="861"/>
      <c r="GJ14" s="861"/>
      <c r="GK14" s="861"/>
      <c r="GL14" s="861"/>
      <c r="GM14" s="861"/>
      <c r="GN14" s="861"/>
      <c r="GO14" s="861"/>
      <c r="GP14" s="861"/>
      <c r="GQ14" s="861"/>
      <c r="GR14" s="861"/>
      <c r="GS14" s="861"/>
      <c r="GT14" s="861"/>
      <c r="GU14" s="861"/>
      <c r="GV14" s="861"/>
      <c r="GW14" s="861"/>
      <c r="GX14" s="861"/>
      <c r="GY14" s="861"/>
      <c r="GZ14" s="861"/>
      <c r="HA14" s="861"/>
      <c r="HB14" s="861"/>
      <c r="HC14" s="861"/>
      <c r="HD14" s="861"/>
      <c r="HE14" s="861"/>
      <c r="HF14" s="861"/>
      <c r="HG14" s="861"/>
      <c r="HH14" s="861"/>
      <c r="HI14" s="861"/>
      <c r="HJ14" s="861"/>
      <c r="HK14" s="861"/>
      <c r="HL14" s="861"/>
      <c r="HM14" s="861"/>
      <c r="HN14" s="861"/>
      <c r="HO14" s="861"/>
      <c r="HP14" s="861"/>
      <c r="HQ14" s="861"/>
      <c r="HR14" s="861"/>
      <c r="HS14" s="861"/>
      <c r="HT14" s="861"/>
      <c r="HU14" s="861"/>
      <c r="HV14" s="861"/>
      <c r="HW14" s="861"/>
      <c r="HX14" s="861"/>
      <c r="HY14" s="861"/>
      <c r="HZ14" s="861"/>
      <c r="IA14" s="861"/>
      <c r="IB14" s="861"/>
      <c r="IC14" s="861"/>
      <c r="ID14" s="861"/>
      <c r="IE14" s="861"/>
      <c r="IF14" s="861"/>
      <c r="IG14" s="861"/>
      <c r="IH14" s="861"/>
      <c r="II14" s="861"/>
      <c r="IJ14" s="861"/>
      <c r="IK14" s="861"/>
      <c r="IL14" s="861"/>
      <c r="IM14" s="861"/>
      <c r="IN14" s="861"/>
      <c r="IO14" s="861"/>
      <c r="IP14" s="861"/>
      <c r="IQ14" s="861"/>
      <c r="IR14" s="861"/>
      <c r="IS14" s="861"/>
      <c r="IT14" s="861"/>
      <c r="IU14" s="861"/>
      <c r="IV14" s="861"/>
    </row>
    <row r="15" spans="1:256" ht="15.75" customHeight="1">
      <c r="A15" s="861" t="s">
        <v>1115</v>
      </c>
      <c r="B15" s="861"/>
      <c r="C15" s="861"/>
      <c r="D15" s="1288">
        <v>-9.952</v>
      </c>
      <c r="E15" s="1289"/>
      <c r="F15" s="1290">
        <f>ROUND(5028009.97/1000000,3)</f>
        <v>5.0279999999999996</v>
      </c>
      <c r="G15" s="1289"/>
      <c r="H15" s="1290">
        <f>ROUND(23430214.76/1000000,3)</f>
        <v>23.43</v>
      </c>
      <c r="I15" s="1289"/>
      <c r="J15" s="3108">
        <v>0</v>
      </c>
      <c r="K15" s="1289"/>
      <c r="L15" s="1290">
        <f>ROUND(D15+F15-H15+J15,3)</f>
        <v>-28.353999999999999</v>
      </c>
      <c r="M15" s="865"/>
      <c r="N15" s="866"/>
      <c r="O15" s="867"/>
      <c r="P15" s="867"/>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BV15" s="861"/>
      <c r="BW15" s="861"/>
      <c r="BX15" s="861"/>
      <c r="BY15" s="861"/>
      <c r="BZ15" s="861"/>
      <c r="CA15" s="861"/>
      <c r="CB15" s="861"/>
      <c r="CC15" s="861"/>
      <c r="CD15" s="861"/>
      <c r="CE15" s="861"/>
      <c r="CF15" s="861"/>
      <c r="CG15" s="861"/>
      <c r="CH15" s="861"/>
      <c r="CI15" s="861"/>
      <c r="CJ15" s="861"/>
      <c r="CK15" s="861"/>
      <c r="CL15" s="861"/>
      <c r="CM15" s="861"/>
      <c r="CN15" s="861"/>
      <c r="CO15" s="861"/>
      <c r="CP15" s="861"/>
      <c r="CQ15" s="861"/>
      <c r="CR15" s="861"/>
      <c r="CS15" s="861"/>
      <c r="CT15" s="861"/>
      <c r="CU15" s="861"/>
      <c r="CV15" s="861"/>
      <c r="CW15" s="861"/>
      <c r="CX15" s="861"/>
      <c r="CY15" s="861"/>
      <c r="CZ15" s="861"/>
      <c r="DA15" s="861"/>
      <c r="DB15" s="861"/>
      <c r="DC15" s="861"/>
      <c r="DD15" s="861"/>
      <c r="DE15" s="861"/>
      <c r="DF15" s="861"/>
      <c r="DG15" s="861"/>
      <c r="DH15" s="861"/>
      <c r="DI15" s="861"/>
      <c r="DJ15" s="861"/>
      <c r="DK15" s="861"/>
      <c r="DL15" s="861"/>
      <c r="DM15" s="861"/>
      <c r="DN15" s="861"/>
      <c r="DO15" s="861"/>
      <c r="DP15" s="861"/>
      <c r="DQ15" s="861"/>
      <c r="DR15" s="861"/>
      <c r="DS15" s="861"/>
      <c r="DT15" s="861"/>
      <c r="DU15" s="861"/>
      <c r="DV15" s="861"/>
      <c r="DW15" s="861"/>
      <c r="DX15" s="861"/>
      <c r="DY15" s="861"/>
      <c r="DZ15" s="861"/>
      <c r="EA15" s="861"/>
      <c r="EB15" s="861"/>
      <c r="EC15" s="861"/>
      <c r="ED15" s="861"/>
      <c r="EE15" s="861"/>
      <c r="EF15" s="861"/>
      <c r="EG15" s="861"/>
      <c r="EH15" s="861"/>
      <c r="EI15" s="861"/>
      <c r="EJ15" s="861"/>
      <c r="EK15" s="861"/>
      <c r="EL15" s="861"/>
      <c r="EM15" s="861"/>
      <c r="EN15" s="861"/>
      <c r="EO15" s="861"/>
      <c r="EP15" s="861"/>
      <c r="EQ15" s="861"/>
      <c r="ER15" s="861"/>
      <c r="ES15" s="861"/>
      <c r="ET15" s="861"/>
      <c r="EU15" s="861"/>
      <c r="EV15" s="861"/>
      <c r="EW15" s="861"/>
      <c r="EX15" s="861"/>
      <c r="EY15" s="861"/>
      <c r="EZ15" s="861"/>
      <c r="FA15" s="861"/>
      <c r="FB15" s="861"/>
      <c r="FC15" s="861"/>
      <c r="FD15" s="861"/>
      <c r="FE15" s="861"/>
      <c r="FF15" s="861"/>
      <c r="FG15" s="861"/>
      <c r="FH15" s="861"/>
      <c r="FI15" s="861"/>
      <c r="FJ15" s="861"/>
      <c r="FK15" s="861"/>
      <c r="FL15" s="861"/>
      <c r="FM15" s="861"/>
      <c r="FN15" s="861"/>
      <c r="FO15" s="861"/>
      <c r="FP15" s="861"/>
      <c r="FQ15" s="861"/>
      <c r="FR15" s="861"/>
      <c r="FS15" s="861"/>
      <c r="FT15" s="861"/>
      <c r="FU15" s="861"/>
      <c r="FV15" s="861"/>
      <c r="FW15" s="861"/>
      <c r="FX15" s="861"/>
      <c r="FY15" s="861"/>
      <c r="FZ15" s="861"/>
      <c r="GA15" s="861"/>
      <c r="GB15" s="861"/>
      <c r="GC15" s="861"/>
      <c r="GD15" s="861"/>
      <c r="GE15" s="861"/>
      <c r="GF15" s="861"/>
      <c r="GG15" s="861"/>
      <c r="GH15" s="861"/>
      <c r="GI15" s="861"/>
      <c r="GJ15" s="861"/>
      <c r="GK15" s="861"/>
      <c r="GL15" s="861"/>
      <c r="GM15" s="861"/>
      <c r="GN15" s="861"/>
      <c r="GO15" s="861"/>
      <c r="GP15" s="861"/>
      <c r="GQ15" s="861"/>
      <c r="GR15" s="861"/>
      <c r="GS15" s="861"/>
      <c r="GT15" s="861"/>
      <c r="GU15" s="861"/>
      <c r="GV15" s="861"/>
      <c r="GW15" s="861"/>
      <c r="GX15" s="861"/>
      <c r="GY15" s="861"/>
      <c r="GZ15" s="861"/>
      <c r="HA15" s="861"/>
      <c r="HB15" s="861"/>
      <c r="HC15" s="861"/>
      <c r="HD15" s="861"/>
      <c r="HE15" s="861"/>
      <c r="HF15" s="861"/>
      <c r="HG15" s="861"/>
      <c r="HH15" s="861"/>
      <c r="HI15" s="861"/>
      <c r="HJ15" s="861"/>
      <c r="HK15" s="861"/>
      <c r="HL15" s="861"/>
      <c r="HM15" s="861"/>
      <c r="HN15" s="861"/>
      <c r="HO15" s="861"/>
      <c r="HP15" s="861"/>
      <c r="HQ15" s="861"/>
      <c r="HR15" s="861"/>
      <c r="HS15" s="861"/>
      <c r="HT15" s="861"/>
      <c r="HU15" s="861"/>
      <c r="HV15" s="861"/>
      <c r="HW15" s="861"/>
      <c r="HX15" s="861"/>
      <c r="HY15" s="861"/>
      <c r="HZ15" s="861"/>
      <c r="IA15" s="861"/>
      <c r="IB15" s="861"/>
      <c r="IC15" s="861"/>
      <c r="ID15" s="861"/>
      <c r="IE15" s="861"/>
      <c r="IF15" s="861"/>
      <c r="IG15" s="861"/>
      <c r="IH15" s="861"/>
      <c r="II15" s="861"/>
      <c r="IJ15" s="861"/>
      <c r="IK15" s="861"/>
      <c r="IL15" s="861"/>
      <c r="IM15" s="861"/>
      <c r="IN15" s="861"/>
      <c r="IO15" s="861"/>
      <c r="IP15" s="861"/>
      <c r="IQ15" s="861"/>
      <c r="IR15" s="861"/>
      <c r="IS15" s="861"/>
      <c r="IT15" s="861"/>
      <c r="IU15" s="861"/>
      <c r="IV15" s="861"/>
    </row>
    <row r="16" spans="1:256" ht="6.75" customHeight="1">
      <c r="A16" s="857"/>
      <c r="B16" s="861"/>
      <c r="C16" s="861"/>
      <c r="D16" s="1291" t="s">
        <v>15</v>
      </c>
      <c r="E16" s="1292"/>
      <c r="F16" s="1293" t="s">
        <v>15</v>
      </c>
      <c r="G16" s="1292"/>
      <c r="H16" s="1293" t="s">
        <v>15</v>
      </c>
      <c r="I16" s="1292"/>
      <c r="J16" s="1294" t="s">
        <v>15</v>
      </c>
      <c r="K16" s="1292"/>
      <c r="L16" s="1295" t="s">
        <v>15</v>
      </c>
      <c r="M16" s="868"/>
      <c r="N16" s="861"/>
      <c r="O16" s="867"/>
      <c r="P16" s="867"/>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row>
    <row r="17" spans="1:256" ht="17.25" customHeight="1">
      <c r="A17" s="857" t="s">
        <v>382</v>
      </c>
      <c r="B17" s="861"/>
      <c r="C17" s="861"/>
      <c r="D17" s="1296">
        <f>ROUND(SUM(D15),3)</f>
        <v>-9.952</v>
      </c>
      <c r="E17" s="1297"/>
      <c r="F17" s="1296">
        <f>ROUND(SUM(F15),3)</f>
        <v>5.0279999999999996</v>
      </c>
      <c r="G17" s="1297"/>
      <c r="H17" s="1296">
        <f>ROUND(SUM(H15),3)</f>
        <v>23.43</v>
      </c>
      <c r="I17" s="1297"/>
      <c r="J17" s="1676">
        <f>ROUND(SUM(J15),3)</f>
        <v>0</v>
      </c>
      <c r="K17" s="1297"/>
      <c r="L17" s="1296">
        <f>ROUND(SUM(L15),3)</f>
        <v>-28.353999999999999</v>
      </c>
      <c r="M17" s="869"/>
      <c r="N17" s="861"/>
      <c r="O17" s="867"/>
      <c r="P17" s="867"/>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c r="BD17" s="861"/>
      <c r="BE17" s="861"/>
      <c r="BF17" s="861"/>
      <c r="BG17" s="861"/>
      <c r="BH17" s="861"/>
      <c r="BI17" s="861"/>
      <c r="BJ17" s="861"/>
      <c r="BK17" s="861"/>
      <c r="BL17" s="861"/>
      <c r="BM17" s="861"/>
      <c r="BN17" s="861"/>
      <c r="BO17" s="861"/>
      <c r="BP17" s="861"/>
      <c r="BQ17" s="861"/>
      <c r="BR17" s="861"/>
      <c r="BS17" s="861"/>
      <c r="BT17" s="861"/>
      <c r="BU17" s="861"/>
      <c r="BV17" s="861"/>
      <c r="BW17" s="861"/>
      <c r="BX17" s="861"/>
      <c r="BY17" s="861"/>
      <c r="BZ17" s="861"/>
      <c r="CA17" s="861"/>
      <c r="CB17" s="861"/>
      <c r="CC17" s="861"/>
      <c r="CD17" s="861"/>
      <c r="CE17" s="861"/>
      <c r="CF17" s="861"/>
      <c r="CG17" s="861"/>
      <c r="CH17" s="861"/>
      <c r="CI17" s="861"/>
      <c r="CJ17" s="861"/>
      <c r="CK17" s="861"/>
      <c r="CL17" s="861"/>
      <c r="CM17" s="861"/>
      <c r="CN17" s="861"/>
      <c r="CO17" s="861"/>
      <c r="CP17" s="861"/>
      <c r="CQ17" s="861"/>
      <c r="CR17" s="861"/>
      <c r="CS17" s="861"/>
      <c r="CT17" s="861"/>
      <c r="CU17" s="861"/>
      <c r="CV17" s="861"/>
      <c r="CW17" s="861"/>
      <c r="CX17" s="861"/>
      <c r="CY17" s="861"/>
      <c r="CZ17" s="861"/>
      <c r="DA17" s="861"/>
      <c r="DB17" s="861"/>
      <c r="DC17" s="861"/>
      <c r="DD17" s="861"/>
      <c r="DE17" s="861"/>
      <c r="DF17" s="861"/>
      <c r="DG17" s="861"/>
      <c r="DH17" s="861"/>
      <c r="DI17" s="861"/>
      <c r="DJ17" s="861"/>
      <c r="DK17" s="861"/>
      <c r="DL17" s="861"/>
      <c r="DM17" s="861"/>
      <c r="DN17" s="861"/>
      <c r="DO17" s="861"/>
      <c r="DP17" s="861"/>
      <c r="DQ17" s="861"/>
      <c r="DR17" s="861"/>
      <c r="DS17" s="861"/>
      <c r="DT17" s="861"/>
      <c r="DU17" s="861"/>
      <c r="DV17" s="861"/>
      <c r="DW17" s="861"/>
      <c r="DX17" s="861"/>
      <c r="DY17" s="861"/>
      <c r="DZ17" s="861"/>
      <c r="EA17" s="861"/>
      <c r="EB17" s="861"/>
      <c r="EC17" s="861"/>
      <c r="ED17" s="861"/>
      <c r="EE17" s="861"/>
      <c r="EF17" s="861"/>
      <c r="EG17" s="861"/>
      <c r="EH17" s="861"/>
      <c r="EI17" s="861"/>
      <c r="EJ17" s="861"/>
      <c r="EK17" s="861"/>
      <c r="EL17" s="861"/>
      <c r="EM17" s="861"/>
      <c r="EN17" s="861"/>
      <c r="EO17" s="861"/>
      <c r="EP17" s="861"/>
      <c r="EQ17" s="861"/>
      <c r="ER17" s="861"/>
      <c r="ES17" s="861"/>
      <c r="ET17" s="861"/>
      <c r="EU17" s="861"/>
      <c r="EV17" s="861"/>
      <c r="EW17" s="861"/>
      <c r="EX17" s="861"/>
      <c r="EY17" s="861"/>
      <c r="EZ17" s="861"/>
      <c r="FA17" s="861"/>
      <c r="FB17" s="861"/>
      <c r="FC17" s="861"/>
      <c r="FD17" s="861"/>
      <c r="FE17" s="861"/>
      <c r="FF17" s="861"/>
      <c r="FG17" s="861"/>
      <c r="FH17" s="861"/>
      <c r="FI17" s="861"/>
      <c r="FJ17" s="861"/>
      <c r="FK17" s="861"/>
      <c r="FL17" s="861"/>
      <c r="FM17" s="861"/>
      <c r="FN17" s="861"/>
      <c r="FO17" s="861"/>
      <c r="FP17" s="861"/>
      <c r="FQ17" s="861"/>
      <c r="FR17" s="861"/>
      <c r="FS17" s="861"/>
      <c r="FT17" s="861"/>
      <c r="FU17" s="861"/>
      <c r="FV17" s="861"/>
      <c r="FW17" s="861"/>
      <c r="FX17" s="861"/>
      <c r="FY17" s="861"/>
      <c r="FZ17" s="861"/>
      <c r="GA17" s="861"/>
      <c r="GB17" s="861"/>
      <c r="GC17" s="861"/>
      <c r="GD17" s="861"/>
      <c r="GE17" s="861"/>
      <c r="GF17" s="861"/>
      <c r="GG17" s="861"/>
      <c r="GH17" s="861"/>
      <c r="GI17" s="861"/>
      <c r="GJ17" s="861"/>
      <c r="GK17" s="861"/>
      <c r="GL17" s="861"/>
      <c r="GM17" s="861"/>
      <c r="GN17" s="861"/>
      <c r="GO17" s="861"/>
      <c r="GP17" s="861"/>
      <c r="GQ17" s="861"/>
      <c r="GR17" s="861"/>
      <c r="GS17" s="861"/>
      <c r="GT17" s="861"/>
      <c r="GU17" s="861"/>
      <c r="GV17" s="861"/>
      <c r="GW17" s="861"/>
      <c r="GX17" s="861"/>
      <c r="GY17" s="861"/>
      <c r="GZ17" s="861"/>
      <c r="HA17" s="861"/>
      <c r="HB17" s="861"/>
      <c r="HC17" s="861"/>
      <c r="HD17" s="861"/>
      <c r="HE17" s="861"/>
      <c r="HF17" s="861"/>
      <c r="HG17" s="861"/>
      <c r="HH17" s="861"/>
      <c r="HI17" s="861"/>
      <c r="HJ17" s="861"/>
      <c r="HK17" s="861"/>
      <c r="HL17" s="861"/>
      <c r="HM17" s="861"/>
      <c r="HN17" s="861"/>
      <c r="HO17" s="861"/>
      <c r="HP17" s="861"/>
      <c r="HQ17" s="861"/>
      <c r="HR17" s="861"/>
      <c r="HS17" s="861"/>
      <c r="HT17" s="861"/>
      <c r="HU17" s="861"/>
      <c r="HV17" s="861"/>
      <c r="HW17" s="861"/>
      <c r="HX17" s="861"/>
      <c r="HY17" s="861"/>
      <c r="HZ17" s="861"/>
      <c r="IA17" s="861"/>
      <c r="IB17" s="861"/>
      <c r="IC17" s="861"/>
      <c r="ID17" s="861"/>
      <c r="IE17" s="861"/>
      <c r="IF17" s="861"/>
      <c r="IG17" s="861"/>
      <c r="IH17" s="861"/>
      <c r="II17" s="861"/>
      <c r="IJ17" s="861"/>
      <c r="IK17" s="861"/>
      <c r="IL17" s="861"/>
      <c r="IM17" s="861"/>
      <c r="IN17" s="861"/>
      <c r="IO17" s="861"/>
      <c r="IP17" s="861"/>
      <c r="IQ17" s="861"/>
      <c r="IR17" s="861"/>
      <c r="IS17" s="861"/>
      <c r="IT17" s="861"/>
      <c r="IU17" s="861"/>
      <c r="IV17" s="861"/>
    </row>
    <row r="18" spans="1:256" ht="12" customHeight="1">
      <c r="A18" s="857"/>
      <c r="B18" s="861"/>
      <c r="C18" s="861"/>
      <c r="D18" s="1298"/>
      <c r="E18" s="834"/>
      <c r="F18" s="1298"/>
      <c r="G18" s="834"/>
      <c r="H18" s="1298"/>
      <c r="I18" s="834"/>
      <c r="J18" s="837"/>
      <c r="K18" s="834"/>
      <c r="L18" s="1298"/>
      <c r="M18" s="868"/>
      <c r="N18" s="861"/>
      <c r="O18" s="867"/>
      <c r="P18" s="867"/>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c r="BD18" s="861"/>
      <c r="BE18" s="861"/>
      <c r="BF18" s="861"/>
      <c r="BG18" s="861"/>
      <c r="BH18" s="861"/>
      <c r="BI18" s="861"/>
      <c r="BJ18" s="861"/>
      <c r="BK18" s="861"/>
      <c r="BL18" s="861"/>
      <c r="BM18" s="861"/>
      <c r="BN18" s="861"/>
      <c r="BO18" s="861"/>
      <c r="BP18" s="861"/>
      <c r="BQ18" s="861"/>
      <c r="BR18" s="861"/>
      <c r="BS18" s="861"/>
      <c r="BT18" s="861"/>
      <c r="BU18" s="861"/>
      <c r="BV18" s="861"/>
      <c r="BW18" s="861"/>
      <c r="BX18" s="861"/>
      <c r="BY18" s="861"/>
      <c r="BZ18" s="861"/>
      <c r="CA18" s="861"/>
      <c r="CB18" s="861"/>
      <c r="CC18" s="861"/>
      <c r="CD18" s="861"/>
      <c r="CE18" s="861"/>
      <c r="CF18" s="861"/>
      <c r="CG18" s="861"/>
      <c r="CH18" s="861"/>
      <c r="CI18" s="861"/>
      <c r="CJ18" s="861"/>
      <c r="CK18" s="861"/>
      <c r="CL18" s="861"/>
      <c r="CM18" s="861"/>
      <c r="CN18" s="861"/>
      <c r="CO18" s="861"/>
      <c r="CP18" s="861"/>
      <c r="CQ18" s="861"/>
      <c r="CR18" s="861"/>
      <c r="CS18" s="861"/>
      <c r="CT18" s="861"/>
      <c r="CU18" s="861"/>
      <c r="CV18" s="861"/>
      <c r="CW18" s="861"/>
      <c r="CX18" s="861"/>
      <c r="CY18" s="861"/>
      <c r="CZ18" s="861"/>
      <c r="DA18" s="861"/>
      <c r="DB18" s="861"/>
      <c r="DC18" s="861"/>
      <c r="DD18" s="861"/>
      <c r="DE18" s="861"/>
      <c r="DF18" s="861"/>
      <c r="DG18" s="861"/>
      <c r="DH18" s="861"/>
      <c r="DI18" s="861"/>
      <c r="DJ18" s="861"/>
      <c r="DK18" s="861"/>
      <c r="DL18" s="861"/>
      <c r="DM18" s="861"/>
      <c r="DN18" s="861"/>
      <c r="DO18" s="861"/>
      <c r="DP18" s="861"/>
      <c r="DQ18" s="861"/>
      <c r="DR18" s="861"/>
      <c r="DS18" s="861"/>
      <c r="DT18" s="861"/>
      <c r="DU18" s="861"/>
      <c r="DV18" s="861"/>
      <c r="DW18" s="861"/>
      <c r="DX18" s="861"/>
      <c r="DY18" s="861"/>
      <c r="DZ18" s="861"/>
      <c r="EA18" s="861"/>
      <c r="EB18" s="861"/>
      <c r="EC18" s="861"/>
      <c r="ED18" s="861"/>
      <c r="EE18" s="861"/>
      <c r="EF18" s="861"/>
      <c r="EG18" s="861"/>
      <c r="EH18" s="861"/>
      <c r="EI18" s="861"/>
      <c r="EJ18" s="861"/>
      <c r="EK18" s="861"/>
      <c r="EL18" s="861"/>
      <c r="EM18" s="861"/>
      <c r="EN18" s="861"/>
      <c r="EO18" s="861"/>
      <c r="EP18" s="861"/>
      <c r="EQ18" s="861"/>
      <c r="ER18" s="861"/>
      <c r="ES18" s="861"/>
      <c r="ET18" s="861"/>
      <c r="EU18" s="861"/>
      <c r="EV18" s="861"/>
      <c r="EW18" s="861"/>
      <c r="EX18" s="861"/>
      <c r="EY18" s="861"/>
      <c r="EZ18" s="861"/>
      <c r="FA18" s="861"/>
      <c r="FB18" s="861"/>
      <c r="FC18" s="861"/>
      <c r="FD18" s="861"/>
      <c r="FE18" s="861"/>
      <c r="FF18" s="861"/>
      <c r="FG18" s="861"/>
      <c r="FH18" s="861"/>
      <c r="FI18" s="861"/>
      <c r="FJ18" s="861"/>
      <c r="FK18" s="861"/>
      <c r="FL18" s="861"/>
      <c r="FM18" s="861"/>
      <c r="FN18" s="861"/>
      <c r="FO18" s="861"/>
      <c r="FP18" s="861"/>
      <c r="FQ18" s="861"/>
      <c r="FR18" s="861"/>
      <c r="FS18" s="861"/>
      <c r="FT18" s="861"/>
      <c r="FU18" s="861"/>
      <c r="FV18" s="861"/>
      <c r="FW18" s="861"/>
      <c r="FX18" s="861"/>
      <c r="FY18" s="861"/>
      <c r="FZ18" s="861"/>
      <c r="GA18" s="861"/>
      <c r="GB18" s="861"/>
      <c r="GC18" s="861"/>
      <c r="GD18" s="861"/>
      <c r="GE18" s="861"/>
      <c r="GF18" s="861"/>
      <c r="GG18" s="861"/>
      <c r="GH18" s="861"/>
      <c r="GI18" s="861"/>
      <c r="GJ18" s="861"/>
      <c r="GK18" s="861"/>
      <c r="GL18" s="861"/>
      <c r="GM18" s="861"/>
      <c r="GN18" s="861"/>
      <c r="GO18" s="861"/>
      <c r="GP18" s="861"/>
      <c r="GQ18" s="861"/>
      <c r="GR18" s="861"/>
      <c r="GS18" s="861"/>
      <c r="GT18" s="861"/>
      <c r="GU18" s="861"/>
      <c r="GV18" s="861"/>
      <c r="GW18" s="861"/>
      <c r="GX18" s="861"/>
      <c r="GY18" s="861"/>
      <c r="GZ18" s="861"/>
      <c r="HA18" s="861"/>
      <c r="HB18" s="861"/>
      <c r="HC18" s="861"/>
      <c r="HD18" s="861"/>
      <c r="HE18" s="861"/>
      <c r="HF18" s="861"/>
      <c r="HG18" s="861"/>
      <c r="HH18" s="861"/>
      <c r="HI18" s="861"/>
      <c r="HJ18" s="861"/>
      <c r="HK18" s="861"/>
      <c r="HL18" s="861"/>
      <c r="HM18" s="861"/>
      <c r="HN18" s="861"/>
      <c r="HO18" s="861"/>
      <c r="HP18" s="861"/>
      <c r="HQ18" s="861"/>
      <c r="HR18" s="861"/>
      <c r="HS18" s="861"/>
      <c r="HT18" s="861"/>
      <c r="HU18" s="861"/>
      <c r="HV18" s="861"/>
      <c r="HW18" s="861"/>
      <c r="HX18" s="861"/>
      <c r="HY18" s="861"/>
      <c r="HZ18" s="861"/>
      <c r="IA18" s="861"/>
      <c r="IB18" s="861"/>
      <c r="IC18" s="861"/>
      <c r="ID18" s="861"/>
      <c r="IE18" s="861"/>
      <c r="IF18" s="861"/>
      <c r="IG18" s="861"/>
      <c r="IH18" s="861"/>
      <c r="II18" s="861"/>
      <c r="IJ18" s="861"/>
      <c r="IK18" s="861"/>
      <c r="IL18" s="861"/>
      <c r="IM18" s="861"/>
      <c r="IN18" s="861"/>
      <c r="IO18" s="861"/>
      <c r="IP18" s="861"/>
      <c r="IQ18" s="861"/>
      <c r="IR18" s="861"/>
      <c r="IS18" s="861"/>
      <c r="IT18" s="861"/>
      <c r="IU18" s="861"/>
      <c r="IV18" s="861"/>
    </row>
    <row r="19" spans="1:256" ht="18" customHeight="1">
      <c r="A19" s="870" t="s">
        <v>232</v>
      </c>
      <c r="B19" s="857"/>
      <c r="C19" s="857"/>
      <c r="D19" s="1299"/>
      <c r="E19" s="1299"/>
      <c r="F19" s="1299"/>
      <c r="G19" s="1299"/>
      <c r="H19" s="1299"/>
      <c r="I19" s="1299"/>
      <c r="J19" s="1299"/>
      <c r="K19" s="1299"/>
      <c r="L19" s="1299"/>
      <c r="M19" s="859"/>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row>
    <row r="20" spans="1:256" ht="7.5" customHeight="1">
      <c r="A20" s="857"/>
      <c r="B20" s="857"/>
      <c r="C20" s="857"/>
      <c r="D20" s="1299" t="s">
        <v>15</v>
      </c>
      <c r="E20" s="1299"/>
      <c r="F20" s="1299"/>
      <c r="G20" s="1299"/>
      <c r="H20" s="1299"/>
      <c r="I20" s="1299"/>
      <c r="J20" s="1299"/>
      <c r="K20" s="1299"/>
      <c r="L20" s="834"/>
      <c r="M20" s="859"/>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row>
    <row r="21" spans="1:256" ht="16.5" customHeight="1">
      <c r="A21" s="1300" t="s">
        <v>383</v>
      </c>
      <c r="B21" s="857"/>
      <c r="C21" s="879"/>
      <c r="D21" s="834">
        <v>2.6040000000000001</v>
      </c>
      <c r="E21" s="833"/>
      <c r="F21" s="3125">
        <f>ROUND(2779.21/1000000,3)</f>
        <v>3.0000000000000001E-3</v>
      </c>
      <c r="G21" s="833"/>
      <c r="H21" s="3126">
        <f>ROUND(5691.18/1000000,3)</f>
        <v>6.0000000000000001E-3</v>
      </c>
      <c r="I21" s="833"/>
      <c r="J21" s="3127">
        <v>0</v>
      </c>
      <c r="K21" s="833"/>
      <c r="L21" s="834">
        <f>D21+F21-H21+J21</f>
        <v>2.6010000000000004</v>
      </c>
      <c r="M21" s="859"/>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row>
    <row r="22" spans="1:256" ht="15.75" customHeight="1">
      <c r="A22" s="1300" t="s">
        <v>384</v>
      </c>
      <c r="B22" s="857"/>
      <c r="C22" s="857"/>
      <c r="D22" s="1301">
        <v>8.8970000000000002</v>
      </c>
      <c r="E22" s="834"/>
      <c r="F22" s="3128">
        <f>ROUND(126458.85/1000000,3)</f>
        <v>0.126</v>
      </c>
      <c r="G22" s="834"/>
      <c r="H22" s="3129">
        <f>ROUND(13247.96/1000000,3)</f>
        <v>1.2999999999999999E-2</v>
      </c>
      <c r="I22" s="834"/>
      <c r="J22" s="3130">
        <v>0</v>
      </c>
      <c r="K22" s="834"/>
      <c r="L22" s="3130">
        <f>D22+F22-H22+J22</f>
        <v>9.01</v>
      </c>
      <c r="M22" s="859"/>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row>
    <row r="23" spans="1:256" ht="6.75" customHeight="1">
      <c r="A23" s="1300"/>
      <c r="B23" s="857"/>
      <c r="C23" s="857"/>
      <c r="D23" s="837"/>
      <c r="E23" s="834"/>
      <c r="F23" s="837" t="s">
        <v>15</v>
      </c>
      <c r="G23" s="834"/>
      <c r="H23" s="1302"/>
      <c r="I23" s="834"/>
      <c r="J23" s="1303"/>
      <c r="K23" s="834"/>
      <c r="L23" s="837"/>
      <c r="M23" s="859"/>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row>
    <row r="24" spans="1:256" ht="17.25" customHeight="1">
      <c r="A24" s="863" t="s">
        <v>1320</v>
      </c>
      <c r="B24" s="857"/>
      <c r="C24" s="879"/>
      <c r="D24" s="1304">
        <f>ROUND(SUM(D21:D22),3)</f>
        <v>11.500999999999999</v>
      </c>
      <c r="E24" s="1299"/>
      <c r="F24" s="1304">
        <f>ROUND(SUM(F21:F22),3)</f>
        <v>0.129</v>
      </c>
      <c r="G24" s="1299"/>
      <c r="H24" s="1304">
        <f>ROUND(SUM(H21:H22),3)</f>
        <v>1.9E-2</v>
      </c>
      <c r="I24" s="1299"/>
      <c r="J24" s="1304">
        <f>ROUND(SUM(J21:J22),3)</f>
        <v>0</v>
      </c>
      <c r="K24" s="1299"/>
      <c r="L24" s="1304">
        <f>ROUND(SUM(L21:L22),3)</f>
        <v>11.611000000000001</v>
      </c>
      <c r="M24" s="871"/>
      <c r="N24" s="872"/>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row>
    <row r="25" spans="1:256" ht="12" customHeight="1">
      <c r="A25" s="857"/>
      <c r="B25" s="857"/>
      <c r="C25" s="857"/>
      <c r="D25" s="1299"/>
      <c r="E25" s="1297"/>
      <c r="F25" s="1299"/>
      <c r="G25" s="1297"/>
      <c r="H25" s="1299"/>
      <c r="I25" s="1297"/>
      <c r="J25" s="1299"/>
      <c r="K25" s="1297"/>
      <c r="L25" s="1299"/>
      <c r="M25" s="859"/>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row>
    <row r="26" spans="1:256" ht="17.399999999999999">
      <c r="A26" s="864" t="s">
        <v>385</v>
      </c>
      <c r="B26" s="857"/>
      <c r="C26" s="857"/>
      <c r="D26" s="1297"/>
      <c r="E26" s="1297"/>
      <c r="F26" s="1297"/>
      <c r="G26" s="1297"/>
      <c r="H26" s="1297"/>
      <c r="I26" s="1297"/>
      <c r="J26" s="1297"/>
      <c r="K26" s="1297"/>
      <c r="L26" s="1299"/>
      <c r="M26" s="859"/>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61"/>
      <c r="CC26" s="861"/>
      <c r="CD26" s="861"/>
      <c r="CE26" s="861"/>
      <c r="CF26" s="861"/>
      <c r="CG26" s="861"/>
      <c r="CH26" s="861"/>
      <c r="CI26" s="861"/>
      <c r="CJ26" s="861"/>
      <c r="CK26" s="861"/>
      <c r="CL26" s="861"/>
      <c r="CM26" s="861"/>
      <c r="CN26" s="861"/>
      <c r="CO26" s="861"/>
      <c r="CP26" s="861"/>
      <c r="CQ26" s="861"/>
      <c r="CR26" s="861"/>
      <c r="CS26" s="861"/>
      <c r="CT26" s="861"/>
      <c r="CU26" s="861"/>
      <c r="CV26" s="861"/>
      <c r="CW26" s="861"/>
      <c r="CX26" s="861"/>
      <c r="CY26" s="861"/>
      <c r="CZ26" s="861"/>
      <c r="DA26" s="861"/>
      <c r="DB26" s="861"/>
      <c r="DC26" s="861"/>
      <c r="DD26" s="861"/>
      <c r="DE26" s="861"/>
      <c r="DF26" s="861"/>
      <c r="DG26" s="861"/>
      <c r="DH26" s="861"/>
      <c r="DI26" s="861"/>
      <c r="DJ26" s="861"/>
      <c r="DK26" s="861"/>
      <c r="DL26" s="861"/>
      <c r="DM26" s="861"/>
      <c r="DN26" s="861"/>
      <c r="DO26" s="861"/>
      <c r="DP26" s="861"/>
      <c r="DQ26" s="861"/>
      <c r="DR26" s="861"/>
      <c r="DS26" s="861"/>
      <c r="DT26" s="861"/>
      <c r="DU26" s="861"/>
      <c r="DV26" s="861"/>
      <c r="DW26" s="861"/>
      <c r="DX26" s="861"/>
      <c r="DY26" s="861"/>
      <c r="DZ26" s="861"/>
      <c r="EA26" s="861"/>
      <c r="EB26" s="861"/>
      <c r="EC26" s="861"/>
      <c r="ED26" s="861"/>
      <c r="EE26" s="861"/>
      <c r="EF26" s="861"/>
      <c r="EG26" s="861"/>
      <c r="EH26" s="861"/>
      <c r="EI26" s="861"/>
      <c r="EJ26" s="861"/>
      <c r="EK26" s="861"/>
      <c r="EL26" s="861"/>
      <c r="EM26" s="861"/>
      <c r="EN26" s="861"/>
      <c r="EO26" s="861"/>
      <c r="EP26" s="861"/>
      <c r="EQ26" s="861"/>
      <c r="ER26" s="861"/>
      <c r="ES26" s="861"/>
      <c r="ET26" s="861"/>
      <c r="EU26" s="861"/>
      <c r="EV26" s="861"/>
      <c r="EW26" s="861"/>
      <c r="EX26" s="861"/>
      <c r="EY26" s="861"/>
      <c r="EZ26" s="861"/>
      <c r="FA26" s="861"/>
      <c r="FB26" s="861"/>
      <c r="FC26" s="861"/>
      <c r="FD26" s="861"/>
      <c r="FE26" s="861"/>
      <c r="FF26" s="861"/>
      <c r="FG26" s="861"/>
      <c r="FH26" s="861"/>
      <c r="FI26" s="861"/>
      <c r="FJ26" s="861"/>
      <c r="FK26" s="861"/>
      <c r="FL26" s="861"/>
      <c r="FM26" s="861"/>
      <c r="FN26" s="861"/>
      <c r="FO26" s="861"/>
      <c r="FP26" s="861"/>
      <c r="FQ26" s="861"/>
      <c r="FR26" s="861"/>
      <c r="FS26" s="861"/>
      <c r="FT26" s="861"/>
      <c r="FU26" s="861"/>
      <c r="FV26" s="861"/>
      <c r="FW26" s="861"/>
      <c r="FX26" s="861"/>
      <c r="FY26" s="861"/>
      <c r="FZ26" s="861"/>
      <c r="GA26" s="861"/>
      <c r="GB26" s="861"/>
      <c r="GC26" s="861"/>
      <c r="GD26" s="861"/>
      <c r="GE26" s="861"/>
      <c r="GF26" s="861"/>
      <c r="GG26" s="861"/>
      <c r="GH26" s="861"/>
      <c r="GI26" s="861"/>
      <c r="GJ26" s="861"/>
      <c r="GK26" s="861"/>
      <c r="GL26" s="861"/>
      <c r="GM26" s="861"/>
      <c r="GN26" s="861"/>
      <c r="GO26" s="861"/>
      <c r="GP26" s="861"/>
      <c r="GQ26" s="861"/>
      <c r="GR26" s="861"/>
      <c r="GS26" s="861"/>
      <c r="GT26" s="861"/>
      <c r="GU26" s="861"/>
      <c r="GV26" s="861"/>
      <c r="GW26" s="861"/>
      <c r="GX26" s="861"/>
      <c r="GY26" s="861"/>
      <c r="GZ26" s="861"/>
      <c r="HA26" s="861"/>
      <c r="HB26" s="861"/>
      <c r="HC26" s="861"/>
      <c r="HD26" s="861"/>
      <c r="HE26" s="861"/>
      <c r="HF26" s="861"/>
      <c r="HG26" s="861"/>
      <c r="HH26" s="861"/>
      <c r="HI26" s="861"/>
      <c r="HJ26" s="861"/>
      <c r="HK26" s="861"/>
      <c r="HL26" s="861"/>
      <c r="HM26" s="861"/>
      <c r="HN26" s="861"/>
      <c r="HO26" s="861"/>
      <c r="HP26" s="861"/>
      <c r="HQ26" s="861"/>
      <c r="HR26" s="861"/>
      <c r="HS26" s="861"/>
      <c r="HT26" s="861"/>
      <c r="HU26" s="861"/>
      <c r="HV26" s="861"/>
      <c r="HW26" s="861"/>
      <c r="HX26" s="861"/>
      <c r="HY26" s="861"/>
      <c r="HZ26" s="861"/>
      <c r="IA26" s="861"/>
      <c r="IB26" s="861"/>
      <c r="IC26" s="861"/>
      <c r="ID26" s="861"/>
      <c r="IE26" s="861"/>
      <c r="IF26" s="861"/>
      <c r="IG26" s="861"/>
      <c r="IH26" s="861"/>
      <c r="II26" s="861"/>
      <c r="IJ26" s="861"/>
      <c r="IK26" s="861"/>
      <c r="IL26" s="861"/>
      <c r="IM26" s="861"/>
      <c r="IN26" s="861"/>
      <c r="IO26" s="861"/>
      <c r="IP26" s="861"/>
      <c r="IQ26" s="861"/>
      <c r="IR26" s="861"/>
      <c r="IS26" s="861"/>
      <c r="IT26" s="861"/>
      <c r="IU26" s="861"/>
      <c r="IV26" s="861"/>
    </row>
    <row r="27" spans="1:256" ht="7.5" customHeight="1">
      <c r="A27" s="861" t="s">
        <v>15</v>
      </c>
      <c r="B27" s="861"/>
      <c r="C27" s="861"/>
      <c r="D27" s="834"/>
      <c r="E27" s="834"/>
      <c r="F27" s="834"/>
      <c r="G27" s="834"/>
      <c r="H27" s="834"/>
      <c r="I27" s="834"/>
      <c r="J27" s="834"/>
      <c r="K27" s="834"/>
      <c r="L27" s="834"/>
      <c r="M27" s="859"/>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row>
    <row r="28" spans="1:256" ht="16.5" customHeight="1">
      <c r="A28" s="861" t="s">
        <v>1105</v>
      </c>
      <c r="B28" s="861"/>
      <c r="C28" s="861" t="s">
        <v>15</v>
      </c>
      <c r="D28" s="838">
        <v>20.135000000000002</v>
      </c>
      <c r="E28" s="833"/>
      <c r="F28" s="1305">
        <v>0.70699999999999996</v>
      </c>
      <c r="G28" s="833"/>
      <c r="H28" s="1305">
        <v>0</v>
      </c>
      <c r="I28" s="833"/>
      <c r="J28" s="1305">
        <v>0</v>
      </c>
      <c r="K28" s="833"/>
      <c r="L28" s="834">
        <f t="shared" ref="L28:L44" si="0">ROUND(D28+F28-H28+J28,3)</f>
        <v>20.841999999999999</v>
      </c>
      <c r="M28" s="868"/>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row>
    <row r="29" spans="1:256" ht="15.75" customHeight="1">
      <c r="A29" s="1300" t="s">
        <v>386</v>
      </c>
      <c r="B29" s="861"/>
      <c r="C29" s="861"/>
      <c r="D29" s="838">
        <v>0.49299999999999999</v>
      </c>
      <c r="E29" s="833"/>
      <c r="F29" s="1305">
        <v>1.7000000000000001E-2</v>
      </c>
      <c r="G29" s="833"/>
      <c r="H29" s="1305">
        <v>1.0999999999999999E-2</v>
      </c>
      <c r="I29" s="833"/>
      <c r="J29" s="1305">
        <v>0</v>
      </c>
      <c r="K29" s="1306"/>
      <c r="L29" s="834">
        <f t="shared" si="0"/>
        <v>0.499</v>
      </c>
      <c r="M29" s="868"/>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row>
    <row r="30" spans="1:256" ht="16.5" customHeight="1">
      <c r="A30" s="861" t="s">
        <v>387</v>
      </c>
      <c r="B30" s="861"/>
      <c r="C30" s="861"/>
      <c r="D30" s="838">
        <v>882.58699999999999</v>
      </c>
      <c r="E30" s="833"/>
      <c r="F30" s="1305">
        <v>815.51300000000003</v>
      </c>
      <c r="G30" s="833"/>
      <c r="H30" s="1305">
        <v>875.35900000000004</v>
      </c>
      <c r="I30" s="833"/>
      <c r="J30" s="1305">
        <v>0</v>
      </c>
      <c r="K30" s="1306"/>
      <c r="L30" s="834">
        <f t="shared" si="0"/>
        <v>822.74099999999999</v>
      </c>
      <c r="M30" s="868"/>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row>
    <row r="31" spans="1:256" ht="16.5" customHeight="1">
      <c r="A31" s="861" t="s">
        <v>388</v>
      </c>
      <c r="B31" s="861"/>
      <c r="C31" s="861" t="s">
        <v>15</v>
      </c>
      <c r="D31" s="838">
        <v>15.007999999999999</v>
      </c>
      <c r="E31" s="833"/>
      <c r="F31" s="1305">
        <v>92.766000000000005</v>
      </c>
      <c r="G31" s="833"/>
      <c r="H31" s="1305">
        <v>92.763999999999996</v>
      </c>
      <c r="I31" s="833"/>
      <c r="J31" s="1305">
        <v>0</v>
      </c>
      <c r="K31" s="1306"/>
      <c r="L31" s="834">
        <f>ROUND(D31+F31-H31+J31,3)</f>
        <v>15.01</v>
      </c>
      <c r="M31" s="868"/>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row>
    <row r="32" spans="1:256" ht="16.5" customHeight="1">
      <c r="A32" s="861" t="s">
        <v>1118</v>
      </c>
      <c r="B32" s="861"/>
      <c r="C32" s="861"/>
      <c r="D32" s="838">
        <v>37.448</v>
      </c>
      <c r="E32" s="833"/>
      <c r="F32" s="1305">
        <v>360.81299999999999</v>
      </c>
      <c r="G32" s="833"/>
      <c r="H32" s="1305">
        <v>385.34399999999999</v>
      </c>
      <c r="I32" s="833"/>
      <c r="J32" s="1305">
        <v>0</v>
      </c>
      <c r="K32" s="1306"/>
      <c r="L32" s="834">
        <f t="shared" si="0"/>
        <v>12.917</v>
      </c>
      <c r="M32" s="868"/>
      <c r="N32" s="743"/>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861"/>
      <c r="DP32" s="861"/>
      <c r="DQ32" s="861"/>
      <c r="DR32" s="861"/>
      <c r="DS32" s="861"/>
      <c r="DT32" s="861"/>
      <c r="DU32" s="861"/>
      <c r="DV32" s="861"/>
      <c r="DW32" s="861"/>
      <c r="DX32" s="861"/>
      <c r="DY32" s="861"/>
      <c r="DZ32" s="861"/>
      <c r="EA32" s="861"/>
      <c r="EB32" s="861"/>
      <c r="EC32" s="861"/>
      <c r="ED32" s="861"/>
      <c r="EE32" s="861"/>
      <c r="EF32" s="861"/>
      <c r="EG32" s="861"/>
      <c r="EH32" s="861"/>
      <c r="EI32" s="861"/>
      <c r="EJ32" s="861"/>
      <c r="EK32" s="861"/>
      <c r="EL32" s="861"/>
      <c r="EM32" s="861"/>
      <c r="EN32" s="861"/>
      <c r="EO32" s="861"/>
      <c r="EP32" s="861"/>
      <c r="EQ32" s="861"/>
      <c r="ER32" s="861"/>
      <c r="ES32" s="861"/>
      <c r="ET32" s="861"/>
      <c r="EU32" s="861"/>
      <c r="EV32" s="861"/>
      <c r="EW32" s="861"/>
      <c r="EX32" s="861"/>
      <c r="EY32" s="861"/>
      <c r="EZ32" s="861"/>
      <c r="FA32" s="861"/>
      <c r="FB32" s="861"/>
      <c r="FC32" s="861"/>
      <c r="FD32" s="861"/>
      <c r="FE32" s="861"/>
      <c r="FF32" s="861"/>
      <c r="FG32" s="861"/>
      <c r="FH32" s="861"/>
      <c r="FI32" s="861"/>
      <c r="FJ32" s="861"/>
      <c r="FK32" s="861"/>
      <c r="FL32" s="861"/>
      <c r="FM32" s="861"/>
      <c r="FN32" s="861"/>
      <c r="FO32" s="861"/>
      <c r="FP32" s="861"/>
      <c r="FQ32" s="861"/>
      <c r="FR32" s="861"/>
      <c r="FS32" s="861"/>
      <c r="FT32" s="861"/>
      <c r="FU32" s="861"/>
      <c r="FV32" s="861"/>
      <c r="FW32" s="861"/>
      <c r="FX32" s="861"/>
      <c r="FY32" s="861"/>
      <c r="FZ32" s="861"/>
      <c r="GA32" s="861"/>
      <c r="GB32" s="861"/>
      <c r="GC32" s="861"/>
      <c r="GD32" s="861"/>
      <c r="GE32" s="861"/>
      <c r="GF32" s="861"/>
      <c r="GG32" s="861"/>
      <c r="GH32" s="861"/>
      <c r="GI32" s="861"/>
      <c r="GJ32" s="861"/>
      <c r="GK32" s="861"/>
      <c r="GL32" s="861"/>
      <c r="GM32" s="861"/>
      <c r="GN32" s="861"/>
      <c r="GO32" s="861"/>
      <c r="GP32" s="861"/>
      <c r="GQ32" s="861"/>
      <c r="GR32" s="861"/>
      <c r="GS32" s="861"/>
      <c r="GT32" s="861"/>
      <c r="GU32" s="861"/>
      <c r="GV32" s="861"/>
      <c r="GW32" s="861"/>
      <c r="GX32" s="861"/>
      <c r="GY32" s="861"/>
      <c r="GZ32" s="861"/>
      <c r="HA32" s="861"/>
      <c r="HB32" s="861"/>
      <c r="HC32" s="861"/>
      <c r="HD32" s="861"/>
      <c r="HE32" s="861"/>
      <c r="HF32" s="861"/>
      <c r="HG32" s="861"/>
      <c r="HH32" s="861"/>
      <c r="HI32" s="861"/>
      <c r="HJ32" s="861"/>
      <c r="HK32" s="861"/>
      <c r="HL32" s="861"/>
      <c r="HM32" s="861"/>
      <c r="HN32" s="861"/>
      <c r="HO32" s="861"/>
      <c r="HP32" s="861"/>
      <c r="HQ32" s="861"/>
      <c r="HR32" s="861"/>
      <c r="HS32" s="861"/>
      <c r="HT32" s="861"/>
      <c r="HU32" s="861"/>
      <c r="HV32" s="861"/>
      <c r="HW32" s="861"/>
      <c r="HX32" s="861"/>
      <c r="HY32" s="861"/>
      <c r="HZ32" s="861"/>
      <c r="IA32" s="861"/>
      <c r="IB32" s="861"/>
      <c r="IC32" s="861"/>
      <c r="ID32" s="861"/>
      <c r="IE32" s="861"/>
      <c r="IF32" s="861"/>
      <c r="IG32" s="861"/>
      <c r="IH32" s="861"/>
      <c r="II32" s="861"/>
      <c r="IJ32" s="861"/>
      <c r="IK32" s="861"/>
      <c r="IL32" s="861"/>
      <c r="IM32" s="861"/>
      <c r="IN32" s="861"/>
      <c r="IO32" s="861"/>
      <c r="IP32" s="861"/>
      <c r="IQ32" s="861"/>
      <c r="IR32" s="861"/>
      <c r="IS32" s="861"/>
      <c r="IT32" s="861"/>
      <c r="IU32" s="861"/>
      <c r="IV32" s="861"/>
    </row>
    <row r="33" spans="1:256" ht="16.5" customHeight="1">
      <c r="A33" s="861" t="s">
        <v>389</v>
      </c>
      <c r="B33" s="861"/>
      <c r="C33" s="861" t="s">
        <v>15</v>
      </c>
      <c r="D33" s="838">
        <v>19.064</v>
      </c>
      <c r="E33" s="833"/>
      <c r="F33" s="1305">
        <v>6.7619999999999996</v>
      </c>
      <c r="G33" s="833"/>
      <c r="H33" s="1305">
        <v>7.1139999999999999</v>
      </c>
      <c r="I33" s="833"/>
      <c r="J33" s="1305">
        <v>0</v>
      </c>
      <c r="K33" s="1306"/>
      <c r="L33" s="834">
        <f t="shared" si="0"/>
        <v>18.712</v>
      </c>
      <c r="M33" s="868"/>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861"/>
      <c r="DP33" s="861"/>
      <c r="DQ33" s="861"/>
      <c r="DR33" s="861"/>
      <c r="DS33" s="861"/>
      <c r="DT33" s="861"/>
      <c r="DU33" s="861"/>
      <c r="DV33" s="861"/>
      <c r="DW33" s="861"/>
      <c r="DX33" s="861"/>
      <c r="DY33" s="861"/>
      <c r="DZ33" s="861"/>
      <c r="EA33" s="861"/>
      <c r="EB33" s="861"/>
      <c r="EC33" s="861"/>
      <c r="ED33" s="861"/>
      <c r="EE33" s="861"/>
      <c r="EF33" s="861"/>
      <c r="EG33" s="861"/>
      <c r="EH33" s="861"/>
      <c r="EI33" s="861"/>
      <c r="EJ33" s="861"/>
      <c r="EK33" s="861"/>
      <c r="EL33" s="861"/>
      <c r="EM33" s="861"/>
      <c r="EN33" s="861"/>
      <c r="EO33" s="861"/>
      <c r="EP33" s="861"/>
      <c r="EQ33" s="861"/>
      <c r="ER33" s="861"/>
      <c r="ES33" s="861"/>
      <c r="ET33" s="861"/>
      <c r="EU33" s="861"/>
      <c r="EV33" s="861"/>
      <c r="EW33" s="861"/>
      <c r="EX33" s="861"/>
      <c r="EY33" s="861"/>
      <c r="EZ33" s="861"/>
      <c r="FA33" s="861"/>
      <c r="FB33" s="861"/>
      <c r="FC33" s="861"/>
      <c r="FD33" s="861"/>
      <c r="FE33" s="861"/>
      <c r="FF33" s="861"/>
      <c r="FG33" s="861"/>
      <c r="FH33" s="861"/>
      <c r="FI33" s="861"/>
      <c r="FJ33" s="861"/>
      <c r="FK33" s="861"/>
      <c r="FL33" s="861"/>
      <c r="FM33" s="861"/>
      <c r="FN33" s="861"/>
      <c r="FO33" s="861"/>
      <c r="FP33" s="861"/>
      <c r="FQ33" s="861"/>
      <c r="FR33" s="861"/>
      <c r="FS33" s="861"/>
      <c r="FT33" s="861"/>
      <c r="FU33" s="861"/>
      <c r="FV33" s="861"/>
      <c r="FW33" s="861"/>
      <c r="FX33" s="861"/>
      <c r="FY33" s="861"/>
      <c r="FZ33" s="861"/>
      <c r="GA33" s="861"/>
      <c r="GB33" s="861"/>
      <c r="GC33" s="861"/>
      <c r="GD33" s="861"/>
      <c r="GE33" s="861"/>
      <c r="GF33" s="861"/>
      <c r="GG33" s="861"/>
      <c r="GH33" s="861"/>
      <c r="GI33" s="861"/>
      <c r="GJ33" s="861"/>
      <c r="GK33" s="861"/>
      <c r="GL33" s="861"/>
      <c r="GM33" s="861"/>
      <c r="GN33" s="861"/>
      <c r="GO33" s="861"/>
      <c r="GP33" s="861"/>
      <c r="GQ33" s="861"/>
      <c r="GR33" s="861"/>
      <c r="GS33" s="861"/>
      <c r="GT33" s="861"/>
      <c r="GU33" s="861"/>
      <c r="GV33" s="861"/>
      <c r="GW33" s="861"/>
      <c r="GX33" s="861"/>
      <c r="GY33" s="861"/>
      <c r="GZ33" s="861"/>
      <c r="HA33" s="861"/>
      <c r="HB33" s="861"/>
      <c r="HC33" s="861"/>
      <c r="HD33" s="861"/>
      <c r="HE33" s="861"/>
      <c r="HF33" s="861"/>
      <c r="HG33" s="861"/>
      <c r="HH33" s="861"/>
      <c r="HI33" s="861"/>
      <c r="HJ33" s="861"/>
      <c r="HK33" s="861"/>
      <c r="HL33" s="861"/>
      <c r="HM33" s="861"/>
      <c r="HN33" s="861"/>
      <c r="HO33" s="861"/>
      <c r="HP33" s="861"/>
      <c r="HQ33" s="861"/>
      <c r="HR33" s="861"/>
      <c r="HS33" s="861"/>
      <c r="HT33" s="861"/>
      <c r="HU33" s="861"/>
      <c r="HV33" s="861"/>
      <c r="HW33" s="861"/>
      <c r="HX33" s="861"/>
      <c r="HY33" s="861"/>
      <c r="HZ33" s="861"/>
      <c r="IA33" s="861"/>
      <c r="IB33" s="861"/>
      <c r="IC33" s="861"/>
      <c r="ID33" s="861"/>
      <c r="IE33" s="861"/>
      <c r="IF33" s="861"/>
      <c r="IG33" s="861"/>
      <c r="IH33" s="861"/>
      <c r="II33" s="861"/>
      <c r="IJ33" s="861"/>
      <c r="IK33" s="861"/>
      <c r="IL33" s="861"/>
      <c r="IM33" s="861"/>
      <c r="IN33" s="861"/>
      <c r="IO33" s="861"/>
      <c r="IP33" s="861"/>
      <c r="IQ33" s="861"/>
      <c r="IR33" s="861"/>
      <c r="IS33" s="861"/>
      <c r="IT33" s="861"/>
      <c r="IU33" s="861"/>
      <c r="IV33" s="861"/>
    </row>
    <row r="34" spans="1:256" ht="15.75" customHeight="1">
      <c r="A34" s="861" t="s">
        <v>390</v>
      </c>
      <c r="B34" s="861"/>
      <c r="C34" s="861"/>
      <c r="D34" s="838">
        <v>0.57999999999999996</v>
      </c>
      <c r="E34" s="833"/>
      <c r="F34" s="1305">
        <v>0.8</v>
      </c>
      <c r="G34" s="833"/>
      <c r="H34" s="1305">
        <v>1.0069999999999999</v>
      </c>
      <c r="I34" s="833"/>
      <c r="J34" s="1305">
        <v>0</v>
      </c>
      <c r="K34" s="1306"/>
      <c r="L34" s="834">
        <f t="shared" si="0"/>
        <v>0.373</v>
      </c>
      <c r="M34" s="868"/>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row>
    <row r="35" spans="1:256" ht="15.75" customHeight="1">
      <c r="A35" s="861" t="s">
        <v>391</v>
      </c>
      <c r="B35" s="861"/>
      <c r="C35" s="861"/>
      <c r="D35" s="838">
        <v>595.13699999999994</v>
      </c>
      <c r="E35" s="833"/>
      <c r="F35" s="1305">
        <v>100.913</v>
      </c>
      <c r="G35" s="833"/>
      <c r="H35" s="1305">
        <v>127.387</v>
      </c>
      <c r="I35" s="833"/>
      <c r="J35" s="1305">
        <v>0</v>
      </c>
      <c r="K35" s="1306"/>
      <c r="L35" s="834">
        <f t="shared" si="0"/>
        <v>568.66300000000001</v>
      </c>
      <c r="M35" s="873"/>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row>
    <row r="36" spans="1:256" ht="16.5" customHeight="1">
      <c r="A36" s="861" t="s">
        <v>392</v>
      </c>
      <c r="B36" s="861"/>
      <c r="C36" s="861"/>
      <c r="D36" s="838">
        <v>0.13700000000000001</v>
      </c>
      <c r="E36" s="833"/>
      <c r="F36" s="1305">
        <v>0</v>
      </c>
      <c r="G36" s="833"/>
      <c r="H36" s="1305">
        <v>0</v>
      </c>
      <c r="I36" s="833"/>
      <c r="J36" s="1305">
        <v>0</v>
      </c>
      <c r="K36" s="1306"/>
      <c r="L36" s="834">
        <f t="shared" si="0"/>
        <v>0.13700000000000001</v>
      </c>
      <c r="M36" s="868"/>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row>
    <row r="37" spans="1:256" ht="16.5" customHeight="1">
      <c r="A37" s="861" t="s">
        <v>393</v>
      </c>
      <c r="B37" s="861"/>
      <c r="C37" s="861"/>
      <c r="D37" s="838">
        <v>1216.652</v>
      </c>
      <c r="E37" s="833"/>
      <c r="F37" s="1305">
        <v>72.918999999999997</v>
      </c>
      <c r="G37" s="833"/>
      <c r="H37" s="1305">
        <v>32.56</v>
      </c>
      <c r="I37" s="833"/>
      <c r="J37" s="1305">
        <v>0</v>
      </c>
      <c r="K37" s="1306"/>
      <c r="L37" s="834">
        <f t="shared" si="0"/>
        <v>1257.011</v>
      </c>
      <c r="M37" s="868"/>
      <c r="N37" s="3092"/>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row>
    <row r="38" spans="1:256" ht="16.5" customHeight="1">
      <c r="A38" s="861" t="s">
        <v>1126</v>
      </c>
      <c r="B38" s="861"/>
      <c r="C38" s="861"/>
      <c r="D38" s="838">
        <v>28.08</v>
      </c>
      <c r="E38" s="833"/>
      <c r="F38" s="1305">
        <v>11.621</v>
      </c>
      <c r="G38" s="833"/>
      <c r="H38" s="1305">
        <v>13.739000000000001</v>
      </c>
      <c r="I38" s="833"/>
      <c r="J38" s="1305">
        <v>0</v>
      </c>
      <c r="K38" s="1306"/>
      <c r="L38" s="834">
        <f t="shared" si="0"/>
        <v>25.962</v>
      </c>
      <c r="M38" s="868"/>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row>
    <row r="39" spans="1:256" ht="16.5" customHeight="1">
      <c r="A39" s="861" t="s">
        <v>394</v>
      </c>
      <c r="B39" s="861"/>
      <c r="C39" s="861"/>
      <c r="D39" s="838">
        <v>31.173999999999999</v>
      </c>
      <c r="E39" s="833"/>
      <c r="F39" s="1305">
        <v>180.006</v>
      </c>
      <c r="G39" s="833"/>
      <c r="H39" s="1305">
        <v>154.55600000000001</v>
      </c>
      <c r="I39" s="833"/>
      <c r="J39" s="1305">
        <v>0</v>
      </c>
      <c r="K39" s="1306"/>
      <c r="L39" s="834">
        <f t="shared" si="0"/>
        <v>56.624000000000002</v>
      </c>
      <c r="M39" s="868"/>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row>
    <row r="40" spans="1:256" ht="16.5" customHeight="1">
      <c r="A40" s="861" t="s">
        <v>1127</v>
      </c>
      <c r="B40" s="861"/>
      <c r="C40" s="861"/>
      <c r="D40" s="838">
        <v>593.25300000000004</v>
      </c>
      <c r="E40" s="833"/>
      <c r="F40" s="1305">
        <v>5815.7139999999999</v>
      </c>
      <c r="G40" s="833"/>
      <c r="H40" s="1305">
        <v>5157.0969999999998</v>
      </c>
      <c r="I40" s="833"/>
      <c r="J40" s="1305">
        <v>0</v>
      </c>
      <c r="K40" s="1306"/>
      <c r="L40" s="834">
        <f t="shared" si="0"/>
        <v>1251.8699999999999</v>
      </c>
      <c r="M40" s="868"/>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row>
    <row r="41" spans="1:256" ht="15.75" customHeight="1">
      <c r="A41" s="861" t="s">
        <v>395</v>
      </c>
      <c r="B41" s="861"/>
      <c r="C41" s="861"/>
      <c r="D41" s="1305">
        <v>0</v>
      </c>
      <c r="E41" s="833"/>
      <c r="F41" s="1305">
        <v>0</v>
      </c>
      <c r="G41" s="833"/>
      <c r="H41" s="1305">
        <v>0</v>
      </c>
      <c r="I41" s="833"/>
      <c r="J41" s="1305">
        <v>0</v>
      </c>
      <c r="K41" s="1306"/>
      <c r="L41" s="834">
        <f t="shared" si="0"/>
        <v>0</v>
      </c>
      <c r="M41" s="868"/>
      <c r="N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row>
    <row r="42" spans="1:256" ht="15.75" customHeight="1">
      <c r="A42" s="861" t="s">
        <v>1116</v>
      </c>
      <c r="B42" s="861"/>
      <c r="C42" s="861"/>
      <c r="D42" s="838">
        <v>102.95</v>
      </c>
      <c r="E42" s="833"/>
      <c r="F42" s="1305">
        <v>327.44499999999999</v>
      </c>
      <c r="G42" s="833"/>
      <c r="H42" s="1305">
        <v>0</v>
      </c>
      <c r="I42" s="833"/>
      <c r="J42" s="1305">
        <v>0</v>
      </c>
      <c r="K42" s="1306"/>
      <c r="L42" s="834">
        <f t="shared" si="0"/>
        <v>430.39499999999998</v>
      </c>
      <c r="M42" s="868"/>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row>
    <row r="43" spans="1:256" ht="15.75" customHeight="1">
      <c r="A43" s="861" t="s">
        <v>1117</v>
      </c>
      <c r="B43" s="861"/>
      <c r="C43" s="861"/>
      <c r="D43" s="1305">
        <v>-0.65100000000000002</v>
      </c>
      <c r="E43" s="833"/>
      <c r="F43" s="1305">
        <v>306.22500000000002</v>
      </c>
      <c r="G43" s="833"/>
      <c r="H43" s="1305">
        <v>346.94299999999998</v>
      </c>
      <c r="I43" s="833"/>
      <c r="J43" s="1305">
        <v>0</v>
      </c>
      <c r="K43" s="1306"/>
      <c r="L43" s="834">
        <f t="shared" si="0"/>
        <v>-41.369</v>
      </c>
      <c r="M43" s="868"/>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row>
    <row r="44" spans="1:256" ht="18" customHeight="1">
      <c r="A44" s="861" t="s">
        <v>1322</v>
      </c>
      <c r="B44" s="861"/>
      <c r="C44" s="861"/>
      <c r="D44" s="1307">
        <v>0</v>
      </c>
      <c r="E44" s="838"/>
      <c r="F44" s="1305">
        <v>0</v>
      </c>
      <c r="G44" s="833"/>
      <c r="H44" s="1305">
        <v>0</v>
      </c>
      <c r="I44" s="833"/>
      <c r="J44" s="1305">
        <v>0</v>
      </c>
      <c r="K44" s="838"/>
      <c r="L44" s="834">
        <f t="shared" si="0"/>
        <v>0</v>
      </c>
      <c r="M44" s="868"/>
      <c r="N44" s="861"/>
      <c r="O44" s="874"/>
      <c r="P44" s="874"/>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row>
    <row r="45" spans="1:256" ht="17.25" customHeight="1">
      <c r="A45" s="857" t="s">
        <v>1314</v>
      </c>
      <c r="B45" s="861"/>
      <c r="C45" s="861"/>
      <c r="D45" s="1308">
        <f>ROUND(SUM(D28:D44),3)</f>
        <v>3542.047</v>
      </c>
      <c r="E45" s="1296"/>
      <c r="F45" s="1308">
        <f>ROUND(SUM(F28:F44),3)</f>
        <v>8092.2209999999995</v>
      </c>
      <c r="G45" s="1296"/>
      <c r="H45" s="1308">
        <f>ROUND(SUM(H28:H44),3)</f>
        <v>7193.8810000000003</v>
      </c>
      <c r="I45" s="1296"/>
      <c r="J45" s="1308">
        <f>ROUND(SUM(J28:J44),3)</f>
        <v>0</v>
      </c>
      <c r="K45" s="1296"/>
      <c r="L45" s="1308">
        <f>SUM(L28:L44)</f>
        <v>4440.3869999999997</v>
      </c>
      <c r="M45" s="869"/>
      <c r="N45" s="744"/>
      <c r="O45" s="872"/>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row>
    <row r="46" spans="1:256" ht="12" customHeight="1">
      <c r="A46" s="857"/>
      <c r="B46" s="861"/>
      <c r="C46" s="861"/>
      <c r="D46" s="1298" t="s">
        <v>15</v>
      </c>
      <c r="E46" s="834"/>
      <c r="F46" s="1298" t="s">
        <v>15</v>
      </c>
      <c r="G46" s="834"/>
      <c r="H46" s="1298" t="s">
        <v>15</v>
      </c>
      <c r="I46" s="834"/>
      <c r="J46" s="837" t="s">
        <v>15</v>
      </c>
      <c r="K46" s="834"/>
      <c r="L46" s="1298" t="s">
        <v>15</v>
      </c>
      <c r="M46" s="868"/>
      <c r="N46" s="861"/>
      <c r="O46" s="874"/>
      <c r="P46" s="874"/>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row>
    <row r="47" spans="1:256" ht="3" customHeight="1">
      <c r="A47" s="857"/>
      <c r="B47" s="861"/>
      <c r="C47" s="861"/>
      <c r="D47" s="1309"/>
      <c r="E47" s="1309"/>
      <c r="F47" s="1309"/>
      <c r="G47" s="1309"/>
      <c r="H47" s="1309"/>
      <c r="I47" s="1309"/>
      <c r="J47" s="1309"/>
      <c r="K47" s="1309"/>
      <c r="L47" s="1309"/>
      <c r="M47" s="868"/>
      <c r="N47" s="861"/>
      <c r="O47" s="874"/>
      <c r="P47" s="874"/>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row>
    <row r="48" spans="1:256" ht="18" thickBot="1">
      <c r="A48" s="857" t="s">
        <v>1315</v>
      </c>
      <c r="B48" s="861"/>
      <c r="C48" s="879"/>
      <c r="D48" s="1310">
        <f>ROUND(D17+D24+D45,3)</f>
        <v>3543.596</v>
      </c>
      <c r="E48" s="1311"/>
      <c r="F48" s="1310">
        <f>ROUND(F17+F24+F45,3)</f>
        <v>8097.3779999999997</v>
      </c>
      <c r="G48" s="1311"/>
      <c r="H48" s="1310">
        <f>ROUND(H17+H24+H45,3)</f>
        <v>7217.33</v>
      </c>
      <c r="I48" s="1312"/>
      <c r="J48" s="1310">
        <f>ROUND(J17+J24+J45,3)</f>
        <v>0</v>
      </c>
      <c r="K48" s="1311"/>
      <c r="L48" s="1310">
        <f>ROUND(L17+L24+L45,3)</f>
        <v>4423.6440000000002</v>
      </c>
      <c r="M48" s="869"/>
      <c r="N48" s="872"/>
      <c r="O48" s="874"/>
      <c r="P48" s="874"/>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row>
    <row r="49" spans="1:256" ht="12" customHeight="1" thickTop="1">
      <c r="A49" s="861"/>
      <c r="B49" s="861"/>
      <c r="C49" s="861"/>
      <c r="D49" s="1313" t="s">
        <v>15</v>
      </c>
      <c r="E49" s="1292"/>
      <c r="F49" s="1313" t="s">
        <v>15</v>
      </c>
      <c r="G49" s="1292"/>
      <c r="H49" s="1313" t="s">
        <v>15</v>
      </c>
      <c r="I49" s="1292"/>
      <c r="J49" s="1287" t="s">
        <v>15</v>
      </c>
      <c r="K49" s="1292"/>
      <c r="L49" s="1313" t="s">
        <v>15</v>
      </c>
      <c r="M49" s="868"/>
      <c r="N49" s="861"/>
      <c r="O49" s="874"/>
      <c r="P49" s="874"/>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row>
    <row r="50" spans="1:256" ht="15.75" customHeight="1">
      <c r="A50" s="1314"/>
      <c r="B50" s="861"/>
      <c r="C50" s="861"/>
      <c r="D50" s="861"/>
      <c r="E50" s="861"/>
      <c r="F50" s="861"/>
      <c r="G50" s="861"/>
      <c r="H50" s="861"/>
      <c r="I50" s="861"/>
      <c r="J50" s="861"/>
      <c r="K50" s="861"/>
      <c r="L50" s="861"/>
      <c r="M50" s="861"/>
      <c r="N50" s="861"/>
      <c r="O50" s="874"/>
      <c r="P50" s="874"/>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row>
    <row r="51" spans="1:256" ht="17.399999999999999">
      <c r="A51" s="861"/>
      <c r="B51" s="861"/>
      <c r="C51" s="861" t="s">
        <v>15</v>
      </c>
      <c r="D51" s="872"/>
      <c r="E51" s="861"/>
      <c r="F51" s="861"/>
      <c r="G51" s="861"/>
      <c r="H51" s="861"/>
      <c r="I51" s="861"/>
      <c r="J51" s="861"/>
      <c r="K51" s="861"/>
      <c r="L51" s="875"/>
      <c r="M51" s="861"/>
      <c r="N51" s="861"/>
      <c r="O51" s="874"/>
      <c r="P51" s="874"/>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row>
    <row r="52" spans="1:256" ht="17.399999999999999">
      <c r="A52" s="872"/>
      <c r="B52" s="861"/>
      <c r="C52" s="861"/>
      <c r="D52" s="861"/>
      <c r="E52" s="861"/>
      <c r="F52" s="861"/>
      <c r="G52" s="861"/>
      <c r="H52" s="861"/>
      <c r="I52" s="861"/>
      <c r="J52" s="861"/>
      <c r="K52" s="861"/>
      <c r="L52" s="861"/>
      <c r="M52" s="861"/>
      <c r="N52" s="861"/>
      <c r="O52" s="874"/>
      <c r="P52" s="874"/>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row>
    <row r="53" spans="1:256" ht="17.399999999999999">
      <c r="A53" s="872"/>
      <c r="B53" s="861"/>
      <c r="C53" s="861"/>
      <c r="D53" s="861"/>
      <c r="E53" s="861"/>
      <c r="F53" s="861"/>
      <c r="G53" s="861"/>
      <c r="H53" s="861"/>
      <c r="I53" s="861"/>
      <c r="J53" s="861"/>
      <c r="K53" s="861"/>
      <c r="L53" s="861"/>
      <c r="M53" s="861"/>
      <c r="N53" s="861"/>
      <c r="O53" s="874"/>
      <c r="P53" s="874"/>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row>
    <row r="54" spans="1:256" ht="17.399999999999999">
      <c r="A54" s="872"/>
      <c r="B54" s="861"/>
      <c r="C54" s="861"/>
      <c r="D54" s="861"/>
      <c r="E54" s="861"/>
      <c r="F54" s="861"/>
      <c r="G54" s="861"/>
      <c r="H54" s="861"/>
      <c r="I54" s="861"/>
      <c r="J54" s="861"/>
      <c r="K54" s="861"/>
      <c r="L54" s="861"/>
      <c r="M54" s="861"/>
      <c r="N54" s="861"/>
      <c r="O54" s="874"/>
      <c r="P54" s="874"/>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row>
    <row r="55" spans="1:256" ht="17.399999999999999">
      <c r="A55" s="872"/>
      <c r="B55" s="861"/>
      <c r="C55" s="861"/>
      <c r="D55" s="861"/>
      <c r="E55" s="861"/>
      <c r="F55" s="861"/>
      <c r="G55" s="861"/>
      <c r="H55" s="861"/>
      <c r="I55" s="861"/>
      <c r="J55" s="861"/>
      <c r="K55" s="861"/>
      <c r="L55" s="861"/>
      <c r="M55" s="861"/>
      <c r="N55" s="861"/>
      <c r="O55" s="874"/>
      <c r="P55" s="874"/>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row>
    <row r="56" spans="1:256" ht="17.399999999999999">
      <c r="A56" s="872"/>
      <c r="B56" s="861"/>
      <c r="C56" s="861"/>
      <c r="D56" s="861"/>
      <c r="E56" s="861"/>
      <c r="F56" s="861"/>
      <c r="G56" s="861"/>
      <c r="H56" s="861"/>
      <c r="I56" s="861"/>
      <c r="J56" s="861"/>
      <c r="K56" s="861"/>
      <c r="L56" s="861"/>
      <c r="M56" s="861"/>
      <c r="N56" s="861"/>
      <c r="O56" s="874"/>
      <c r="P56" s="874"/>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row>
    <row r="57" spans="1:256" ht="17.399999999999999">
      <c r="A57" s="861"/>
      <c r="B57" s="861"/>
      <c r="C57" s="861"/>
      <c r="D57" s="861"/>
      <c r="E57" s="861"/>
      <c r="F57" s="861"/>
      <c r="G57" s="861"/>
      <c r="H57" s="861"/>
      <c r="I57" s="861"/>
      <c r="J57" s="861"/>
      <c r="K57" s="861"/>
      <c r="L57" s="861"/>
      <c r="M57" s="861"/>
      <c r="N57" s="861"/>
      <c r="O57" s="874"/>
      <c r="P57" s="874"/>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row>
    <row r="58" spans="1:256" ht="17.399999999999999">
      <c r="A58" s="861"/>
      <c r="B58" s="861"/>
      <c r="C58" s="861"/>
      <c r="D58" s="861"/>
      <c r="E58" s="861"/>
      <c r="F58" s="861"/>
      <c r="G58" s="861"/>
      <c r="H58" s="861"/>
      <c r="I58" s="861"/>
      <c r="J58" s="861"/>
      <c r="K58" s="861"/>
      <c r="L58" s="861"/>
      <c r="M58" s="861"/>
      <c r="N58" s="861"/>
      <c r="O58" s="874"/>
      <c r="P58" s="874"/>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row>
    <row r="59" spans="1:256" ht="17.399999999999999">
      <c r="A59" s="861"/>
      <c r="B59" s="861"/>
      <c r="C59" s="861"/>
      <c r="D59" s="861"/>
      <c r="E59" s="861"/>
      <c r="F59" s="861"/>
      <c r="G59" s="861"/>
      <c r="H59" s="861"/>
      <c r="I59" s="861"/>
      <c r="J59" s="861"/>
      <c r="K59" s="861"/>
      <c r="L59" s="861"/>
      <c r="M59" s="861"/>
      <c r="N59" s="861"/>
      <c r="O59" s="874"/>
      <c r="P59" s="874"/>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row>
    <row r="60" spans="1:256" ht="17.399999999999999">
      <c r="A60" s="861"/>
      <c r="B60" s="861"/>
      <c r="C60" s="861"/>
      <c r="D60" s="861"/>
      <c r="E60" s="861"/>
      <c r="F60" s="861"/>
      <c r="G60" s="861"/>
      <c r="H60" s="861"/>
      <c r="I60" s="861"/>
      <c r="J60" s="861"/>
      <c r="K60" s="861"/>
      <c r="L60" s="861"/>
      <c r="M60" s="861"/>
      <c r="N60" s="861"/>
      <c r="O60" s="874"/>
      <c r="P60" s="874"/>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row>
    <row r="61" spans="1:256" ht="17.399999999999999">
      <c r="A61" s="861"/>
      <c r="B61" s="861"/>
      <c r="C61" s="861"/>
      <c r="D61" s="876"/>
      <c r="E61" s="861"/>
      <c r="F61" s="861"/>
      <c r="G61" s="861"/>
      <c r="H61" s="861"/>
      <c r="I61" s="861"/>
      <c r="J61" s="876"/>
      <c r="K61" s="861"/>
      <c r="L61" s="876"/>
      <c r="M61" s="861"/>
      <c r="N61" s="861"/>
      <c r="O61" s="874"/>
      <c r="P61" s="874"/>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row>
    <row r="62" spans="1:256" ht="17.399999999999999">
      <c r="A62" s="861"/>
      <c r="B62" s="861"/>
      <c r="C62" s="861"/>
      <c r="D62" s="876"/>
      <c r="E62" s="861"/>
      <c r="F62" s="861"/>
      <c r="G62" s="861"/>
      <c r="H62" s="861"/>
      <c r="I62" s="861"/>
      <c r="J62" s="876"/>
      <c r="K62" s="861"/>
      <c r="L62" s="876"/>
      <c r="M62" s="861"/>
      <c r="N62" s="861"/>
      <c r="O62" s="874"/>
      <c r="P62" s="874"/>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row>
    <row r="63" spans="1:256" ht="17.399999999999999">
      <c r="A63" s="877"/>
      <c r="B63" s="861"/>
      <c r="C63" s="861"/>
      <c r="D63" s="878"/>
      <c r="E63" s="866"/>
      <c r="F63" s="878"/>
      <c r="G63" s="866"/>
      <c r="H63" s="878"/>
      <c r="I63" s="866"/>
      <c r="J63" s="878"/>
      <c r="K63" s="866"/>
      <c r="L63" s="878"/>
      <c r="M63" s="861"/>
      <c r="N63" s="861"/>
      <c r="O63" s="874"/>
      <c r="P63" s="874"/>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row>
    <row r="64" spans="1:256" ht="17.399999999999999">
      <c r="A64" s="861"/>
      <c r="B64" s="861"/>
      <c r="C64" s="861"/>
      <c r="D64" s="866"/>
      <c r="E64" s="861"/>
      <c r="F64" s="866"/>
      <c r="G64" s="861"/>
      <c r="H64" s="866"/>
      <c r="I64" s="861"/>
      <c r="J64" s="866"/>
      <c r="K64" s="861"/>
      <c r="L64" s="866"/>
      <c r="M64" s="861"/>
      <c r="N64" s="861"/>
      <c r="O64" s="874"/>
      <c r="P64" s="874"/>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row>
    <row r="65" spans="1:256" ht="17.399999999999999">
      <c r="A65" s="864"/>
      <c r="B65" s="861"/>
      <c r="C65" s="861"/>
      <c r="D65" s="861"/>
      <c r="E65" s="861"/>
      <c r="F65" s="861"/>
      <c r="G65" s="861"/>
      <c r="H65" s="861"/>
      <c r="I65" s="861"/>
      <c r="J65" s="861"/>
      <c r="K65" s="861"/>
      <c r="L65" s="861"/>
      <c r="M65" s="861"/>
      <c r="N65" s="861"/>
      <c r="O65" s="874"/>
      <c r="P65" s="874"/>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row>
    <row r="66" spans="1:256" ht="17.399999999999999">
      <c r="A66" s="861"/>
      <c r="B66" s="861"/>
      <c r="C66" s="861"/>
      <c r="D66" s="861"/>
      <c r="E66" s="861"/>
      <c r="F66" s="861"/>
      <c r="G66" s="861"/>
      <c r="H66" s="861"/>
      <c r="I66" s="861"/>
      <c r="J66" s="861"/>
      <c r="K66" s="861"/>
      <c r="L66" s="861"/>
      <c r="M66" s="861"/>
      <c r="N66" s="861"/>
      <c r="O66" s="874"/>
      <c r="P66" s="874"/>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row>
    <row r="67" spans="1:256" ht="20.100000000000001" customHeight="1">
      <c r="A67" s="861"/>
      <c r="B67" s="861"/>
      <c r="C67" s="879"/>
      <c r="D67" s="880"/>
      <c r="E67" s="879"/>
      <c r="F67" s="881"/>
      <c r="G67" s="879"/>
      <c r="H67" s="882"/>
      <c r="I67" s="879"/>
      <c r="J67" s="883"/>
      <c r="K67" s="879"/>
      <c r="L67" s="880"/>
      <c r="M67" s="861"/>
      <c r="N67" s="861"/>
      <c r="O67" s="874"/>
      <c r="P67" s="874"/>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row>
    <row r="68" spans="1:256" ht="20.100000000000001" customHeight="1">
      <c r="A68" s="861"/>
      <c r="B68" s="861"/>
      <c r="C68" s="861"/>
      <c r="D68" s="880"/>
      <c r="E68" s="861"/>
      <c r="F68" s="861"/>
      <c r="G68" s="861"/>
      <c r="H68" s="882"/>
      <c r="I68" s="861"/>
      <c r="J68" s="883"/>
      <c r="K68" s="861"/>
      <c r="L68" s="880"/>
      <c r="M68" s="861"/>
      <c r="N68" s="861"/>
      <c r="O68" s="874"/>
      <c r="P68" s="874"/>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row>
    <row r="69" spans="1:256" ht="20.100000000000001" customHeight="1">
      <c r="A69" s="861"/>
      <c r="B69" s="861"/>
      <c r="C69" s="861"/>
      <c r="D69" s="880"/>
      <c r="E69" s="861"/>
      <c r="F69" s="861"/>
      <c r="G69" s="861"/>
      <c r="H69" s="884"/>
      <c r="I69" s="861"/>
      <c r="J69" s="883"/>
      <c r="K69" s="861"/>
      <c r="L69" s="880"/>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row>
    <row r="70" spans="1:256" ht="20.100000000000001" customHeight="1">
      <c r="A70" s="861"/>
      <c r="B70" s="861"/>
      <c r="C70" s="861"/>
      <c r="D70" s="880"/>
      <c r="E70" s="861"/>
      <c r="F70" s="861"/>
      <c r="G70" s="861"/>
      <c r="H70" s="882"/>
      <c r="I70" s="861"/>
      <c r="J70" s="883"/>
      <c r="K70" s="861"/>
      <c r="L70" s="880"/>
      <c r="M70" s="861"/>
      <c r="N70" s="861"/>
      <c r="O70" s="874"/>
      <c r="P70" s="874"/>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row>
    <row r="71" spans="1:256" ht="20.100000000000001" customHeight="1">
      <c r="A71" s="861"/>
      <c r="B71" s="861"/>
      <c r="C71" s="861"/>
      <c r="D71" s="880"/>
      <c r="E71" s="861"/>
      <c r="F71" s="861"/>
      <c r="G71" s="861"/>
      <c r="H71" s="882"/>
      <c r="I71" s="861"/>
      <c r="J71" s="883"/>
      <c r="K71" s="861"/>
      <c r="L71" s="880"/>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row>
    <row r="72" spans="1:256" ht="20.100000000000001" customHeight="1">
      <c r="A72" s="861"/>
      <c r="B72" s="861"/>
      <c r="C72" s="861"/>
      <c r="D72" s="880"/>
      <c r="E72" s="861"/>
      <c r="F72" s="861"/>
      <c r="G72" s="861"/>
      <c r="H72" s="885"/>
      <c r="I72" s="861"/>
      <c r="J72" s="883"/>
      <c r="K72" s="861"/>
      <c r="L72" s="880"/>
      <c r="M72" s="861"/>
      <c r="N72" s="861"/>
      <c r="O72" s="874"/>
      <c r="P72" s="874"/>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row>
    <row r="73" spans="1:256" ht="17.399999999999999">
      <c r="A73" s="1315"/>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row>
    <row r="74" spans="1:256" ht="17.399999999999999">
      <c r="A74" s="886"/>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row>
    <row r="75" spans="1:256" ht="17.399999999999999">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row>
    <row r="76" spans="1:256" ht="17.399999999999999">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row>
    <row r="77" spans="1:256" ht="17.399999999999999">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row>
    <row r="78" spans="1:256" ht="17.399999999999999">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row>
    <row r="79" spans="1:256" ht="17.399999999999999">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row>
    <row r="80" spans="1:256" ht="17.399999999999999">
      <c r="A80" s="1315"/>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row>
    <row r="81" spans="1:256" s="861" customFormat="1" ht="17.399999999999999"/>
    <row r="82" spans="1:256" ht="17.399999999999999">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row>
    <row r="83" spans="1:256" s="861" customFormat="1" ht="17.399999999999999"/>
    <row r="84" spans="1:256" s="861" customFormat="1" ht="17.399999999999999"/>
    <row r="85" spans="1:256" s="861" customFormat="1" ht="17.399999999999999"/>
    <row r="86" spans="1:256" ht="17.399999999999999">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row>
    <row r="87" spans="1:256" s="861" customFormat="1" ht="17.399999999999999"/>
    <row r="88" spans="1:256" s="861" customFormat="1" ht="17.399999999999999"/>
    <row r="89" spans="1:256" s="861" customFormat="1" ht="17.399999999999999"/>
    <row r="90" spans="1:256" s="861" customFormat="1" ht="17.399999999999999"/>
    <row r="91" spans="1:256" s="861" customFormat="1" ht="17.399999999999999"/>
    <row r="92" spans="1:256" s="861" customFormat="1" ht="17.399999999999999"/>
    <row r="93" spans="1:256" s="861" customFormat="1" ht="17.399999999999999"/>
    <row r="94" spans="1:256" s="861" customFormat="1" ht="17.399999999999999"/>
    <row r="95" spans="1:256" s="861" customFormat="1" ht="17.399999999999999"/>
    <row r="96" spans="1:256" s="861" customFormat="1" ht="17.399999999999999"/>
    <row r="97" s="861" customFormat="1" ht="17.399999999999999"/>
    <row r="98" s="861" customFormat="1" ht="17.399999999999999"/>
    <row r="99" s="861" customFormat="1" ht="17.399999999999999"/>
    <row r="100" s="861" customFormat="1" ht="17.399999999999999"/>
    <row r="101" s="861" customFormat="1" ht="17.399999999999999"/>
    <row r="102" s="861" customFormat="1" ht="17.399999999999999"/>
    <row r="103" s="861" customFormat="1" ht="17.399999999999999"/>
    <row r="104" s="861" customFormat="1" ht="17.399999999999999"/>
    <row r="105" s="861" customFormat="1" ht="17.399999999999999"/>
    <row r="106" s="861" customFormat="1" ht="17.399999999999999"/>
    <row r="107" s="861" customFormat="1" ht="17.399999999999999"/>
    <row r="108" s="861" customFormat="1" ht="17.399999999999999"/>
    <row r="109" s="861" customFormat="1" ht="17.399999999999999"/>
    <row r="110" s="861" customFormat="1" ht="17.399999999999999"/>
    <row r="111" s="861" customFormat="1" ht="17.399999999999999"/>
    <row r="112" s="861" customFormat="1" ht="17.399999999999999"/>
    <row r="113" s="861" customFormat="1" ht="17.399999999999999"/>
    <row r="114" s="861" customFormat="1" ht="17.399999999999999"/>
    <row r="115" s="861" customFormat="1" ht="17.399999999999999"/>
    <row r="116" s="861" customFormat="1" ht="17.399999999999999"/>
    <row r="117" s="861" customFormat="1" ht="17.399999999999999"/>
    <row r="118" s="861" customFormat="1" ht="17.399999999999999"/>
    <row r="119" s="861" customFormat="1" ht="17.399999999999999"/>
    <row r="120" s="861" customFormat="1" ht="17.399999999999999"/>
    <row r="121" s="861" customFormat="1" ht="17.399999999999999"/>
    <row r="122" s="861" customFormat="1" ht="17.399999999999999"/>
    <row r="123" s="861" customFormat="1" ht="17.399999999999999"/>
    <row r="124" s="861" customFormat="1" ht="17.399999999999999"/>
    <row r="125" s="861" customFormat="1" ht="17.399999999999999"/>
    <row r="126" s="861" customFormat="1" ht="17.399999999999999"/>
    <row r="127" s="861" customFormat="1" ht="17.399999999999999"/>
    <row r="128" s="861" customFormat="1" ht="17.399999999999999"/>
    <row r="129" s="861" customFormat="1" ht="17.399999999999999"/>
    <row r="130" s="861" customFormat="1" ht="17.399999999999999"/>
    <row r="131" s="861" customFormat="1" ht="17.399999999999999"/>
    <row r="132" s="861" customFormat="1" ht="17.399999999999999"/>
    <row r="133" s="861" customFormat="1" ht="17.399999999999999"/>
    <row r="134" s="861" customFormat="1" ht="17.399999999999999"/>
    <row r="135" s="861" customFormat="1" ht="17.399999999999999"/>
    <row r="136" s="86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80" zoomScaleNormal="80" workbookViewId="0"/>
  </sheetViews>
  <sheetFormatPr defaultColWidth="8.90625" defaultRowHeight="13.2"/>
  <cols>
    <col min="1" max="1" width="53.54296875" style="888" customWidth="1"/>
    <col min="2" max="2" width="1.90625" style="888" customWidth="1"/>
    <col min="3" max="3" width="2.6328125" style="888" customWidth="1"/>
    <col min="4" max="4" width="20.1796875" style="888" customWidth="1"/>
    <col min="5" max="5" width="7.90625" style="888" customWidth="1"/>
    <col min="6" max="6" width="18.6328125" style="888" customWidth="1"/>
    <col min="7" max="7" width="7.81640625" style="888" customWidth="1"/>
    <col min="8" max="8" width="18.6328125" style="888" customWidth="1"/>
    <col min="9" max="9" width="7.6328125" style="888" customWidth="1"/>
    <col min="10" max="10" width="21.90625" style="888" customWidth="1"/>
    <col min="11" max="11" width="10.6328125" style="888" customWidth="1"/>
    <col min="12" max="16384" width="8.90625" style="888"/>
  </cols>
  <sheetData>
    <row r="1" spans="1:10" ht="15">
      <c r="A1" s="1124" t="s">
        <v>1066</v>
      </c>
    </row>
    <row r="2" spans="1:10" ht="15">
      <c r="A2" s="1580"/>
    </row>
    <row r="3" spans="1:10" ht="17.399999999999999">
      <c r="A3" s="844" t="s">
        <v>0</v>
      </c>
      <c r="B3" s="849"/>
      <c r="C3" s="849"/>
      <c r="D3" s="849"/>
      <c r="E3" s="849"/>
      <c r="F3" s="849"/>
      <c r="G3" s="844"/>
      <c r="H3" s="844"/>
      <c r="I3" s="844"/>
      <c r="J3" s="887" t="s">
        <v>396</v>
      </c>
    </row>
    <row r="4" spans="1:10" ht="17.399999999999999">
      <c r="A4" s="844" t="s">
        <v>397</v>
      </c>
      <c r="B4" s="849"/>
      <c r="C4" s="844"/>
      <c r="D4" s="849"/>
      <c r="E4" s="849"/>
      <c r="F4" s="849"/>
      <c r="G4" s="844"/>
      <c r="H4" s="844"/>
      <c r="I4" s="844"/>
      <c r="J4" s="844"/>
    </row>
    <row r="5" spans="1:10" ht="17.399999999999999">
      <c r="A5" s="844" t="s">
        <v>398</v>
      </c>
      <c r="B5" s="849"/>
      <c r="C5" s="844"/>
      <c r="D5" s="849"/>
      <c r="E5" s="849"/>
      <c r="F5" s="849"/>
      <c r="G5" s="844"/>
      <c r="H5" s="844"/>
      <c r="I5" s="844"/>
      <c r="J5" s="844"/>
    </row>
    <row r="6" spans="1:10" ht="17.399999999999999">
      <c r="A6" s="844" t="str">
        <f>+'Sch 3 '!A6</f>
        <v>FISCAL YEAR 2017-2018</v>
      </c>
      <c r="B6" s="849"/>
      <c r="C6" s="844"/>
      <c r="D6" s="849"/>
      <c r="E6" s="849"/>
      <c r="F6" s="849"/>
      <c r="G6" s="844"/>
      <c r="H6" s="844"/>
      <c r="I6" s="844"/>
      <c r="J6" s="844"/>
    </row>
    <row r="7" spans="1:10" ht="17.399999999999999">
      <c r="A7" s="889" t="s">
        <v>1558</v>
      </c>
      <c r="B7" s="849"/>
      <c r="C7" s="844"/>
      <c r="D7" s="849"/>
      <c r="E7" s="849"/>
      <c r="F7" s="849"/>
      <c r="G7" s="844"/>
      <c r="H7" s="844"/>
      <c r="I7" s="844"/>
      <c r="J7" s="844"/>
    </row>
    <row r="8" spans="1:10" ht="17.399999999999999">
      <c r="A8" s="844" t="s">
        <v>958</v>
      </c>
      <c r="B8" s="849"/>
      <c r="C8" s="844"/>
      <c r="D8" s="849"/>
      <c r="E8" s="849"/>
      <c r="F8" s="849"/>
      <c r="G8" s="844"/>
      <c r="H8" s="844"/>
      <c r="I8" s="844"/>
      <c r="J8" s="844"/>
    </row>
    <row r="9" spans="1:10" ht="17.399999999999999">
      <c r="A9" s="844"/>
      <c r="B9" s="849"/>
      <c r="C9" s="844"/>
      <c r="D9" s="849"/>
      <c r="E9" s="849"/>
      <c r="F9" s="849"/>
      <c r="G9" s="844"/>
      <c r="H9" s="844"/>
      <c r="I9" s="844"/>
      <c r="J9" s="844"/>
    </row>
    <row r="10" spans="1:10" ht="17.399999999999999">
      <c r="A10" s="844"/>
      <c r="B10" s="844"/>
      <c r="C10" s="844"/>
      <c r="D10" s="844"/>
      <c r="E10" s="844"/>
      <c r="F10" s="844"/>
      <c r="G10" s="844"/>
      <c r="H10" s="844"/>
      <c r="I10" s="844"/>
      <c r="J10" s="844"/>
    </row>
    <row r="11" spans="1:10" ht="17.399999999999999">
      <c r="A11" s="844"/>
      <c r="B11" s="844"/>
      <c r="C11" s="844"/>
      <c r="D11" s="890"/>
      <c r="E11" s="844"/>
      <c r="F11" s="844"/>
      <c r="G11" s="844"/>
      <c r="H11" s="844"/>
      <c r="I11" s="844"/>
      <c r="J11" s="890"/>
    </row>
    <row r="12" spans="1:10" ht="17.399999999999999">
      <c r="A12" s="844"/>
      <c r="B12" s="844"/>
      <c r="C12" s="844"/>
      <c r="D12" s="890" t="s">
        <v>239</v>
      </c>
      <c r="E12" s="844"/>
      <c r="F12" s="844"/>
      <c r="G12" s="844"/>
      <c r="H12" s="844"/>
      <c r="I12" s="844"/>
      <c r="J12" s="890" t="s">
        <v>239</v>
      </c>
    </row>
    <row r="13" spans="1:10" ht="17.399999999999999">
      <c r="A13" s="891" t="s">
        <v>365</v>
      </c>
      <c r="B13" s="844"/>
      <c r="C13" s="844"/>
      <c r="D13" s="1691" t="s">
        <v>1559</v>
      </c>
      <c r="E13" s="844"/>
      <c r="F13" s="890" t="s">
        <v>241</v>
      </c>
      <c r="G13" s="844"/>
      <c r="H13" s="890" t="s">
        <v>242</v>
      </c>
      <c r="I13" s="844"/>
      <c r="J13" s="1689" t="s">
        <v>1560</v>
      </c>
    </row>
    <row r="14" spans="1:10" ht="17.399999999999999">
      <c r="A14" s="891"/>
      <c r="B14" s="844"/>
      <c r="C14" s="844"/>
      <c r="D14" s="892"/>
      <c r="E14" s="844"/>
      <c r="F14" s="892"/>
      <c r="G14" s="844"/>
      <c r="H14" s="893" t="s">
        <v>238</v>
      </c>
      <c r="I14" s="844"/>
      <c r="J14" s="892"/>
    </row>
    <row r="15" spans="1:10" ht="17.399999999999999">
      <c r="A15" s="894" t="s">
        <v>399</v>
      </c>
      <c r="B15" s="844"/>
      <c r="C15" s="844"/>
      <c r="D15" s="844"/>
      <c r="E15" s="844"/>
      <c r="F15" s="895"/>
      <c r="G15" s="844"/>
      <c r="H15" s="844"/>
      <c r="I15" s="844"/>
      <c r="J15" s="844"/>
    </row>
    <row r="16" spans="1:10" ht="24.9" customHeight="1">
      <c r="A16" s="849" t="s">
        <v>400</v>
      </c>
      <c r="B16" s="844"/>
      <c r="C16" s="849"/>
      <c r="D16" s="896">
        <v>2.7519999999999998</v>
      </c>
      <c r="E16" s="896"/>
      <c r="F16" s="831">
        <v>3.0000000000000001E-3</v>
      </c>
      <c r="G16" s="831"/>
      <c r="H16" s="831">
        <v>0</v>
      </c>
      <c r="I16" s="896"/>
      <c r="J16" s="896">
        <f>ROUND(D16+F16-H16,3)</f>
        <v>2.7549999999999999</v>
      </c>
    </row>
    <row r="17" spans="1:14" ht="24.9" customHeight="1">
      <c r="A17" s="897" t="s">
        <v>401</v>
      </c>
      <c r="B17" s="849"/>
      <c r="C17" s="849"/>
      <c r="D17" s="1269">
        <v>2208.4070000000002</v>
      </c>
      <c r="E17" s="898"/>
      <c r="F17" s="838">
        <v>8315.2630000000008</v>
      </c>
      <c r="G17"/>
      <c r="H17" s="838">
        <v>8269.69</v>
      </c>
      <c r="I17" s="834"/>
      <c r="J17" s="833">
        <f>ROUND(D17+F17-H17,3)</f>
        <v>2253.98</v>
      </c>
    </row>
    <row r="18" spans="1:14" ht="24.9" customHeight="1">
      <c r="A18" s="849" t="s">
        <v>402</v>
      </c>
      <c r="B18" s="849"/>
      <c r="C18" s="849"/>
      <c r="D18" s="835">
        <v>0</v>
      </c>
      <c r="E18" s="898"/>
      <c r="F18" s="3126">
        <v>410.61399999999998</v>
      </c>
      <c r="G18"/>
      <c r="H18" s="3126">
        <v>410.61399999999998</v>
      </c>
      <c r="I18" s="898"/>
      <c r="J18" s="1269">
        <f>ROUND(D18+F18-H18,3)</f>
        <v>0</v>
      </c>
    </row>
    <row r="19" spans="1:14" ht="24.9" customHeight="1" thickBot="1">
      <c r="A19" s="899" t="s">
        <v>403</v>
      </c>
      <c r="B19" s="849"/>
      <c r="C19" s="849"/>
      <c r="D19" s="900">
        <f>ROUND(SUM(D16:D18),3)</f>
        <v>2211.1590000000001</v>
      </c>
      <c r="E19" s="901"/>
      <c r="F19" s="2887">
        <f>ROUND(SUM(F16:F18),3)</f>
        <v>8725.8799999999992</v>
      </c>
      <c r="G19" s="901"/>
      <c r="H19" s="2887">
        <f>ROUND(SUM(H16:H18),3)</f>
        <v>8680.3040000000001</v>
      </c>
      <c r="I19" s="901"/>
      <c r="J19" s="900">
        <f>ROUND(SUM(J16:J18),3)</f>
        <v>2256.7350000000001</v>
      </c>
      <c r="K19" s="902"/>
      <c r="L19" s="902"/>
      <c r="M19" s="902"/>
      <c r="N19" s="902"/>
    </row>
    <row r="20" spans="1:14" ht="18" thickTop="1">
      <c r="A20" s="849"/>
      <c r="B20" s="849"/>
      <c r="C20" s="849"/>
      <c r="D20" s="903"/>
      <c r="E20" s="849"/>
      <c r="F20" s="903"/>
      <c r="G20" s="849"/>
      <c r="H20" s="903"/>
      <c r="I20" s="849"/>
      <c r="J20" s="903"/>
    </row>
    <row r="21" spans="1:14" ht="17.399999999999999">
      <c r="A21" s="849"/>
      <c r="B21" s="849"/>
      <c r="C21" s="849"/>
      <c r="D21" s="903"/>
      <c r="E21" s="849"/>
      <c r="F21" s="903"/>
      <c r="G21" s="849"/>
      <c r="H21" s="903"/>
      <c r="I21" s="849"/>
      <c r="J21" s="903"/>
    </row>
    <row r="22" spans="1:14" ht="17.399999999999999">
      <c r="A22" s="849"/>
      <c r="B22" s="849"/>
      <c r="C22" s="849"/>
      <c r="D22" s="903"/>
      <c r="E22" s="849"/>
      <c r="F22" s="903"/>
      <c r="G22" s="849"/>
      <c r="H22" s="903"/>
      <c r="I22" s="849"/>
      <c r="J22" s="903"/>
    </row>
    <row r="23" spans="1:14" ht="18.75" customHeight="1">
      <c r="A23" s="3361" t="s">
        <v>404</v>
      </c>
      <c r="B23" s="849"/>
      <c r="C23" s="849"/>
      <c r="D23" s="849"/>
      <c r="E23" s="849"/>
      <c r="F23" s="849" t="s">
        <v>15</v>
      </c>
      <c r="G23" s="849"/>
      <c r="H23" s="849"/>
      <c r="I23" s="849"/>
      <c r="J23" s="849"/>
    </row>
    <row r="24" spans="1:14" ht="6" customHeight="1"/>
    <row r="25" spans="1:14" ht="61.5" customHeight="1">
      <c r="A25" s="3559" t="s">
        <v>1524</v>
      </c>
      <c r="B25" s="3560"/>
      <c r="C25" s="3560"/>
      <c r="D25" s="3560"/>
      <c r="E25" s="3560"/>
      <c r="F25" s="3560"/>
      <c r="G25" s="3560"/>
      <c r="H25" s="3560"/>
      <c r="I25" s="3560"/>
      <c r="J25" s="3560"/>
    </row>
    <row r="26" spans="1:14" ht="51" customHeight="1">
      <c r="A26" s="3561" t="s">
        <v>1567</v>
      </c>
      <c r="B26" s="3562"/>
      <c r="C26" s="3562"/>
      <c r="D26" s="3562"/>
      <c r="E26" s="3562"/>
      <c r="F26" s="3562"/>
      <c r="G26" s="3562"/>
      <c r="H26" s="3562"/>
      <c r="I26" s="3562"/>
      <c r="J26" s="3562"/>
    </row>
    <row r="27" spans="1:14" ht="18.75" customHeight="1">
      <c r="A27" s="3563"/>
      <c r="B27" s="3564"/>
      <c r="C27" s="3564"/>
      <c r="D27" s="3564"/>
      <c r="E27" s="3564"/>
      <c r="F27" s="3564"/>
      <c r="G27" s="3564"/>
      <c r="H27" s="3564"/>
      <c r="I27" s="3564"/>
      <c r="J27" s="3564"/>
    </row>
    <row r="28" spans="1:14" ht="18" customHeight="1">
      <c r="A28" s="904"/>
      <c r="B28" s="905"/>
      <c r="C28" s="905"/>
      <c r="D28" s="905"/>
      <c r="E28" s="905"/>
      <c r="F28" s="905"/>
      <c r="G28" s="905"/>
      <c r="H28" s="905"/>
      <c r="I28" s="905"/>
      <c r="J28" s="905"/>
    </row>
    <row r="29" spans="1:14" ht="20.25" customHeight="1">
      <c r="A29" s="3565"/>
      <c r="B29" s="3564"/>
      <c r="C29" s="3564"/>
      <c r="D29" s="3564"/>
      <c r="E29" s="3564"/>
      <c r="F29" s="3564"/>
      <c r="G29" s="3564"/>
      <c r="H29" s="3564"/>
      <c r="I29" s="3564"/>
      <c r="J29" s="3564"/>
    </row>
    <row r="30" spans="1:14" ht="20.25" customHeight="1">
      <c r="A30" s="906"/>
      <c r="B30" s="905"/>
      <c r="C30" s="905"/>
      <c r="D30" s="905"/>
      <c r="E30" s="905"/>
      <c r="F30" s="905"/>
      <c r="G30" s="905"/>
      <c r="H30" s="905"/>
      <c r="I30" s="905"/>
      <c r="J30" s="905"/>
    </row>
    <row r="31" spans="1:14" ht="20.25" customHeight="1">
      <c r="A31" s="906"/>
      <c r="B31" s="905"/>
      <c r="C31" s="905"/>
      <c r="D31" s="905"/>
      <c r="E31" s="905"/>
      <c r="F31" s="905"/>
      <c r="G31" s="905"/>
      <c r="H31" s="905"/>
      <c r="I31" s="905"/>
      <c r="J31" s="905"/>
    </row>
    <row r="32" spans="1:14" ht="20.25" customHeight="1">
      <c r="A32" s="906"/>
      <c r="B32" s="905"/>
      <c r="C32" s="905"/>
      <c r="D32" s="905"/>
      <c r="E32" s="905"/>
      <c r="F32" s="905"/>
      <c r="G32" s="905"/>
      <c r="H32" s="905"/>
      <c r="I32" s="905"/>
      <c r="J32" s="905"/>
    </row>
    <row r="33" spans="1:10" ht="20.25" customHeight="1">
      <c r="A33" s="906"/>
      <c r="B33" s="905"/>
      <c r="C33" s="905"/>
      <c r="D33" s="905"/>
      <c r="E33" s="905"/>
      <c r="F33" s="905"/>
      <c r="G33" s="905"/>
      <c r="H33" s="905"/>
      <c r="I33" s="905"/>
      <c r="J33" s="905"/>
    </row>
    <row r="34" spans="1:10" ht="20.25" customHeight="1">
      <c r="A34" s="906"/>
      <c r="B34" s="905"/>
      <c r="C34" s="905"/>
      <c r="D34" s="905"/>
      <c r="E34" s="905"/>
      <c r="F34" s="905"/>
      <c r="G34" s="905"/>
      <c r="H34" s="905"/>
      <c r="I34" s="905"/>
      <c r="J34" s="905"/>
    </row>
    <row r="35" spans="1:10" ht="20.25" customHeight="1">
      <c r="A35" s="906"/>
      <c r="B35" s="905"/>
      <c r="C35" s="905"/>
      <c r="D35" s="905"/>
      <c r="E35" s="905"/>
      <c r="F35" s="905"/>
      <c r="G35" s="905"/>
      <c r="H35" s="905"/>
      <c r="I35" s="905"/>
      <c r="J35" s="905"/>
    </row>
    <row r="36" spans="1:10" ht="20.25" customHeight="1">
      <c r="A36" s="906"/>
      <c r="B36" s="905"/>
      <c r="C36" s="905"/>
      <c r="D36" s="905"/>
      <c r="E36" s="905"/>
      <c r="F36" s="905"/>
      <c r="G36" s="905"/>
      <c r="H36" s="905"/>
      <c r="I36" s="905"/>
      <c r="J36" s="905"/>
    </row>
    <row r="37" spans="1:10" ht="20.25" customHeight="1">
      <c r="A37" s="906"/>
      <c r="B37" s="905"/>
      <c r="C37" s="905"/>
      <c r="D37" s="905"/>
      <c r="E37" s="3514"/>
      <c r="F37" s="3514"/>
      <c r="G37" s="905"/>
      <c r="H37" s="905"/>
      <c r="I37" s="905"/>
      <c r="J37" s="905"/>
    </row>
    <row r="38" spans="1:10" ht="20.25" customHeight="1">
      <c r="A38" s="906"/>
      <c r="B38" s="905"/>
      <c r="C38" s="905"/>
      <c r="D38" s="905"/>
      <c r="E38" s="3514"/>
      <c r="F38" s="3515"/>
      <c r="G38" s="905"/>
      <c r="H38" s="905"/>
      <c r="I38" s="905"/>
      <c r="J38" s="905"/>
    </row>
    <row r="39" spans="1:10" ht="20.25" customHeight="1">
      <c r="A39" s="906"/>
      <c r="B39" s="905"/>
      <c r="C39" s="905"/>
      <c r="D39" s="905"/>
      <c r="E39" s="3514"/>
      <c r="F39" s="3514"/>
      <c r="G39" s="905"/>
      <c r="H39" s="905"/>
      <c r="I39" s="905"/>
      <c r="J39" s="905"/>
    </row>
    <row r="40" spans="1:10" ht="20.25" customHeight="1">
      <c r="A40" s="906"/>
      <c r="B40" s="905"/>
      <c r="C40" s="905"/>
      <c r="D40" s="905"/>
      <c r="E40" s="3514"/>
      <c r="F40" s="3514"/>
      <c r="G40" s="905"/>
      <c r="H40" s="905"/>
      <c r="I40" s="905"/>
      <c r="J40" s="905"/>
    </row>
    <row r="41" spans="1:10" ht="20.25" customHeight="1">
      <c r="A41" s="906"/>
      <c r="B41" s="905"/>
      <c r="C41" s="905"/>
      <c r="D41" s="905"/>
      <c r="E41" s="905"/>
      <c r="F41" s="3511"/>
      <c r="G41" s="3514"/>
      <c r="H41" s="905"/>
      <c r="I41" s="905"/>
      <c r="J41" s="905"/>
    </row>
    <row r="42" spans="1:10" ht="21" customHeight="1"/>
    <row r="43" spans="1:10" ht="21" customHeight="1">
      <c r="A43" s="906"/>
      <c r="B43" s="905"/>
      <c r="C43" s="905"/>
      <c r="D43" s="905"/>
      <c r="E43" s="905"/>
      <c r="F43" s="905"/>
      <c r="G43" s="905"/>
      <c r="H43" s="905"/>
      <c r="I43" s="905"/>
      <c r="J43" s="905"/>
    </row>
    <row r="44" spans="1:10" ht="18" customHeight="1">
      <c r="A44" s="907"/>
      <c r="B44" s="908"/>
      <c r="C44" s="909"/>
      <c r="D44" s="910"/>
      <c r="E44" s="909"/>
      <c r="F44" s="910"/>
      <c r="G44" s="909"/>
      <c r="H44" s="910"/>
      <c r="I44" s="911"/>
    </row>
    <row r="45" spans="1:10" ht="18" customHeight="1">
      <c r="A45" s="912"/>
      <c r="B45" s="908"/>
      <c r="C45" s="908"/>
      <c r="D45" s="910"/>
      <c r="E45" s="908"/>
      <c r="F45" s="913"/>
      <c r="G45" s="910"/>
      <c r="H45" s="910"/>
      <c r="I45" s="911"/>
    </row>
    <row r="46" spans="1:10" ht="18" customHeight="1">
      <c r="A46" s="912"/>
      <c r="B46" s="908"/>
      <c r="C46" s="908"/>
      <c r="D46" s="910"/>
      <c r="E46" s="908"/>
      <c r="F46" s="913"/>
      <c r="G46" s="910"/>
      <c r="H46" s="910"/>
      <c r="I46" s="911"/>
    </row>
    <row r="47" spans="1:10" ht="18" customHeight="1">
      <c r="A47" s="912"/>
      <c r="B47" s="908"/>
      <c r="C47" s="908"/>
      <c r="D47" s="910"/>
      <c r="E47" s="908"/>
      <c r="F47" s="913"/>
      <c r="G47" s="910"/>
      <c r="H47" s="910"/>
      <c r="I47" s="911"/>
    </row>
    <row r="48" spans="1:10" ht="18" customHeight="1">
      <c r="A48" s="912"/>
      <c r="B48" s="908"/>
      <c r="C48" s="908"/>
      <c r="D48" s="910"/>
      <c r="E48" s="908"/>
      <c r="F48" s="910"/>
      <c r="G48" s="910"/>
      <c r="H48" s="914"/>
      <c r="I48" s="911"/>
    </row>
    <row r="49" spans="1:9" ht="18" customHeight="1">
      <c r="A49" s="915"/>
      <c r="B49" s="908"/>
      <c r="C49" s="908"/>
      <c r="D49" s="910"/>
      <c r="E49" s="908"/>
      <c r="F49" s="910"/>
      <c r="G49" s="910"/>
      <c r="H49" s="910"/>
      <c r="I49" s="911"/>
    </row>
    <row r="50" spans="1:9" ht="18" customHeight="1">
      <c r="A50" s="916"/>
      <c r="B50" s="908"/>
      <c r="C50" s="908"/>
      <c r="D50" s="910"/>
      <c r="E50" s="908"/>
      <c r="F50" s="914"/>
      <c r="G50" s="910"/>
      <c r="H50" s="910"/>
      <c r="I50" s="911"/>
    </row>
    <row r="51" spans="1:9" ht="18" customHeight="1">
      <c r="A51" s="912"/>
      <c r="B51" s="908"/>
      <c r="C51" s="908"/>
      <c r="D51" s="910"/>
      <c r="E51" s="908"/>
      <c r="F51" s="913"/>
      <c r="G51" s="910"/>
      <c r="H51" s="910"/>
      <c r="I51" s="911"/>
    </row>
    <row r="52" spans="1:9" ht="18" customHeight="1">
      <c r="A52" s="912"/>
      <c r="B52" s="908"/>
      <c r="C52" s="908"/>
      <c r="D52" s="910"/>
      <c r="E52" s="908"/>
      <c r="F52" s="917"/>
      <c r="G52" s="910"/>
      <c r="H52" s="914"/>
      <c r="I52" s="911"/>
    </row>
    <row r="53" spans="1:9" ht="18" customHeight="1">
      <c r="A53" s="915"/>
      <c r="B53" s="908"/>
      <c r="C53" s="909"/>
      <c r="D53" s="918"/>
      <c r="E53" s="909"/>
      <c r="G53" s="909"/>
      <c r="H53" s="918"/>
      <c r="I53" s="91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63" customWidth="1"/>
    <col min="2" max="2" width="2.08984375" style="3363" customWidth="1"/>
    <col min="3" max="3" width="18.36328125" style="3363" bestFit="1" customWidth="1"/>
    <col min="4" max="4" width="2.08984375" style="3363" customWidth="1"/>
    <col min="5" max="5" width="16.453125" style="3363" customWidth="1"/>
    <col min="6" max="6" width="2.08984375" style="3363" customWidth="1"/>
    <col min="7" max="7" width="17.08984375" style="3363" bestFit="1" customWidth="1"/>
    <col min="8" max="8" width="2.08984375" style="3363" customWidth="1"/>
    <col min="9" max="9" width="15.54296875" style="3364" customWidth="1"/>
    <col min="10" max="10" width="2.08984375" style="3363" customWidth="1"/>
    <col min="11" max="11" width="16.453125" style="3364" bestFit="1" customWidth="1"/>
    <col min="12" max="12" width="2.08984375" style="3363" customWidth="1"/>
    <col min="13" max="13" width="18.36328125" style="3365" bestFit="1" customWidth="1"/>
    <col min="14" max="14" width="1.90625" style="3363" customWidth="1"/>
    <col min="15" max="15" width="1.36328125" style="3363" customWidth="1"/>
    <col min="16" max="16" width="2" style="3363" customWidth="1"/>
    <col min="17" max="17" width="16" style="3363" bestFit="1" customWidth="1"/>
    <col min="18" max="18" width="2.08984375" style="3363" customWidth="1"/>
    <col min="19" max="19" width="16.453125" style="3363" bestFit="1" customWidth="1"/>
    <col min="20" max="20" width="11.81640625" style="3363" customWidth="1"/>
    <col min="21" max="21" width="12.453125" style="3363" customWidth="1"/>
    <col min="22" max="22" width="8" style="3363" bestFit="1" customWidth="1"/>
    <col min="23" max="16384" width="8.90625" style="3363"/>
  </cols>
  <sheetData>
    <row r="1" spans="1:23" ht="15">
      <c r="A1" s="3362" t="s">
        <v>1066</v>
      </c>
    </row>
    <row r="2" spans="1:23" ht="15">
      <c r="A2" s="3366"/>
    </row>
    <row r="3" spans="1:23" ht="17.399999999999999">
      <c r="A3" s="3367" t="s">
        <v>0</v>
      </c>
      <c r="S3" s="3367" t="s">
        <v>405</v>
      </c>
    </row>
    <row r="4" spans="1:23" ht="17.399999999999999">
      <c r="A4" s="3367" t="s">
        <v>189</v>
      </c>
      <c r="J4" s="3363" t="s">
        <v>15</v>
      </c>
    </row>
    <row r="5" spans="1:23" ht="17.399999999999999">
      <c r="A5" s="3367" t="s">
        <v>406</v>
      </c>
    </row>
    <row r="6" spans="1:23" ht="17.399999999999999">
      <c r="A6" s="3368" t="s">
        <v>1437</v>
      </c>
    </row>
    <row r="9" spans="1:23">
      <c r="C9" s="3369"/>
      <c r="D9" s="3370"/>
      <c r="E9" s="3371"/>
      <c r="F9" s="2958" t="s">
        <v>1316</v>
      </c>
      <c r="G9" s="2958"/>
      <c r="H9" s="3372"/>
      <c r="I9" s="2958" t="s">
        <v>1084</v>
      </c>
      <c r="J9" s="3373"/>
      <c r="K9" s="3373"/>
      <c r="L9" s="3369"/>
      <c r="M9" s="3369"/>
      <c r="N9" s="3369"/>
      <c r="O9" s="3374"/>
      <c r="P9" s="3369"/>
      <c r="Q9" s="3375" t="s">
        <v>1024</v>
      </c>
      <c r="R9" s="3375"/>
      <c r="S9" s="3375"/>
    </row>
    <row r="10" spans="1:23">
      <c r="C10" s="3376" t="s">
        <v>124</v>
      </c>
      <c r="D10" s="3369"/>
      <c r="E10" s="3369"/>
      <c r="F10" s="3377" t="s">
        <v>15</v>
      </c>
      <c r="G10" s="3377" t="s">
        <v>15</v>
      </c>
      <c r="H10" s="3369"/>
      <c r="I10" s="3378" t="s">
        <v>15</v>
      </c>
      <c r="J10" s="3377" t="s">
        <v>15</v>
      </c>
      <c r="K10" s="3378" t="s">
        <v>15</v>
      </c>
      <c r="L10" s="3369"/>
      <c r="M10" s="3379" t="s">
        <v>124</v>
      </c>
      <c r="N10" s="3369"/>
      <c r="O10" s="3380"/>
      <c r="P10" s="3369"/>
      <c r="Q10" s="3377" t="s">
        <v>15</v>
      </c>
      <c r="R10" s="3377" t="s">
        <v>15</v>
      </c>
      <c r="S10" s="3377" t="s">
        <v>15</v>
      </c>
    </row>
    <row r="11" spans="1:23">
      <c r="C11" s="3376" t="s">
        <v>407</v>
      </c>
      <c r="D11" s="3369"/>
      <c r="E11" s="3376" t="s">
        <v>7</v>
      </c>
      <c r="F11" s="3369"/>
      <c r="G11" s="3381" t="s">
        <v>1562</v>
      </c>
      <c r="H11" s="3369"/>
      <c r="I11" s="3376" t="s">
        <v>408</v>
      </c>
      <c r="J11" s="3377" t="s">
        <v>15</v>
      </c>
      <c r="K11" s="3376" t="str">
        <f>G11</f>
        <v>10 MONTHS ENDED</v>
      </c>
      <c r="L11" s="3369"/>
      <c r="M11" s="3379" t="s">
        <v>407</v>
      </c>
      <c r="N11" s="3369"/>
      <c r="O11" s="3380"/>
      <c r="P11" s="3369"/>
      <c r="Q11" s="3376" t="s">
        <v>408</v>
      </c>
      <c r="R11" s="3377" t="s">
        <v>15</v>
      </c>
      <c r="S11" s="3376" t="str">
        <f>K11</f>
        <v>10 MONTHS ENDED</v>
      </c>
    </row>
    <row r="12" spans="1:23">
      <c r="A12" s="3382" t="s">
        <v>409</v>
      </c>
      <c r="C12" s="3383" t="s">
        <v>1440</v>
      </c>
      <c r="D12" s="3369"/>
      <c r="E12" s="2958" t="s">
        <v>136</v>
      </c>
      <c r="F12" s="3369"/>
      <c r="G12" s="3384" t="s">
        <v>1560</v>
      </c>
      <c r="H12" s="3369"/>
      <c r="I12" s="2958" t="str">
        <f>E12</f>
        <v>JANUARY</v>
      </c>
      <c r="J12" s="3369"/>
      <c r="K12" s="3385" t="str">
        <f>G12</f>
        <v>JANUARY 31, 2018</v>
      </c>
      <c r="L12" s="3369"/>
      <c r="M12" s="3385" t="str">
        <f>K12</f>
        <v>JANUARY 31, 2018</v>
      </c>
      <c r="N12" s="3369"/>
      <c r="O12" s="3380"/>
      <c r="P12" s="3369"/>
      <c r="Q12" s="2958" t="str">
        <f>E12</f>
        <v>JANUARY</v>
      </c>
      <c r="R12" s="3369"/>
      <c r="S12" s="3385" t="str">
        <f>M12</f>
        <v>JANUARY 31, 2018</v>
      </c>
    </row>
    <row r="13" spans="1:23">
      <c r="K13" s="3386"/>
      <c r="O13" s="3387"/>
    </row>
    <row r="14" spans="1:23">
      <c r="A14" s="3388" t="s">
        <v>410</v>
      </c>
      <c r="K14" s="3386"/>
      <c r="O14" s="3387"/>
      <c r="Q14" s="3364"/>
    </row>
    <row r="15" spans="1:23" ht="12" customHeight="1">
      <c r="A15" s="3388"/>
      <c r="K15" s="3386"/>
      <c r="M15" s="3365" t="s">
        <v>15</v>
      </c>
      <c r="O15" s="3387"/>
      <c r="Q15" s="3364"/>
    </row>
    <row r="16" spans="1:23">
      <c r="A16" s="3363" t="s">
        <v>1085</v>
      </c>
      <c r="B16" s="3364"/>
      <c r="C16" s="3389">
        <v>62739963</v>
      </c>
      <c r="D16" s="3364"/>
      <c r="E16" s="3389">
        <v>0</v>
      </c>
      <c r="F16" s="3390"/>
      <c r="G16" s="3389">
        <v>0</v>
      </c>
      <c r="H16" s="3364"/>
      <c r="I16" s="3389">
        <v>0</v>
      </c>
      <c r="J16" s="3364"/>
      <c r="K16" s="3389">
        <v>25865297.149999999</v>
      </c>
      <c r="L16" s="3364"/>
      <c r="M16" s="3391">
        <f>ROUND(SUM(C16)-SUM(K16)+SUM(G16),2)</f>
        <v>36874665.850000001</v>
      </c>
      <c r="N16" s="3392"/>
      <c r="O16" s="3393"/>
      <c r="P16" s="3364"/>
      <c r="Q16" s="3391">
        <v>0</v>
      </c>
      <c r="R16" s="3394"/>
      <c r="S16" s="3391">
        <v>1906077.78</v>
      </c>
      <c r="T16" s="3391"/>
      <c r="U16" s="3395"/>
      <c r="V16" s="3396"/>
      <c r="W16" s="3397"/>
    </row>
    <row r="17" spans="1:23">
      <c r="C17" s="3398"/>
      <c r="D17" s="3392"/>
      <c r="E17" s="3399"/>
      <c r="F17" s="3390"/>
      <c r="G17" s="3390"/>
      <c r="H17" s="3392"/>
      <c r="I17" s="3192"/>
      <c r="J17" s="3392"/>
      <c r="K17" s="3192"/>
      <c r="L17" s="3392"/>
      <c r="M17" s="3192"/>
      <c r="N17" s="3392"/>
      <c r="O17" s="3393"/>
      <c r="P17" s="3392"/>
      <c r="Q17" s="3400"/>
      <c r="R17" s="3401"/>
      <c r="S17" s="3400"/>
      <c r="T17" s="3400"/>
      <c r="U17" s="3395"/>
      <c r="V17" s="3402"/>
      <c r="W17" s="3397"/>
    </row>
    <row r="18" spans="1:23">
      <c r="A18" s="3363" t="s">
        <v>411</v>
      </c>
      <c r="C18" s="3398"/>
      <c r="D18" s="3392"/>
      <c r="E18" s="3403"/>
      <c r="F18" s="3390"/>
      <c r="G18" s="3390"/>
      <c r="H18" s="3392"/>
      <c r="I18" s="3192"/>
      <c r="J18" s="3364"/>
      <c r="K18" s="3192"/>
      <c r="L18" s="3392"/>
      <c r="M18" s="3192"/>
      <c r="N18" s="3392"/>
      <c r="O18" s="3393"/>
      <c r="P18" s="3392"/>
      <c r="Q18" s="3400"/>
      <c r="R18" s="3401"/>
      <c r="S18" s="3400"/>
      <c r="T18" s="3400"/>
      <c r="U18" s="3395"/>
      <c r="V18" s="3402"/>
      <c r="W18" s="3397"/>
    </row>
    <row r="19" spans="1:23" ht="12" customHeight="1">
      <c r="A19" s="3363" t="s">
        <v>1086</v>
      </c>
      <c r="C19" s="3191">
        <v>1815678.01</v>
      </c>
      <c r="D19" s="3392"/>
      <c r="E19" s="3405">
        <v>0</v>
      </c>
      <c r="F19" s="3390"/>
      <c r="G19" s="3405">
        <v>0</v>
      </c>
      <c r="H19" s="3392"/>
      <c r="I19" s="3405">
        <v>0</v>
      </c>
      <c r="J19" s="3364"/>
      <c r="K19" s="3405">
        <v>178461.98</v>
      </c>
      <c r="L19" s="3364" t="s">
        <v>15</v>
      </c>
      <c r="M19" s="3191">
        <f t="shared" ref="M19:M23" si="0">ROUND(SUM(C19)-SUM(K19)+SUM(G19),2)</f>
        <v>1637216.03</v>
      </c>
      <c r="N19" s="3392"/>
      <c r="O19" s="3393"/>
      <c r="P19" s="3392" t="s">
        <v>15</v>
      </c>
      <c r="Q19" s="3192">
        <v>0</v>
      </c>
      <c r="R19" s="3406"/>
      <c r="S19" s="3192">
        <v>47781.71</v>
      </c>
      <c r="T19" s="3192"/>
      <c r="U19" s="3395"/>
      <c r="V19" s="3402"/>
      <c r="W19" s="3397"/>
    </row>
    <row r="20" spans="1:23">
      <c r="A20" s="3363" t="s">
        <v>412</v>
      </c>
      <c r="C20" s="3191">
        <v>0</v>
      </c>
      <c r="D20" s="3392"/>
      <c r="E20" s="3405">
        <v>0</v>
      </c>
      <c r="F20" s="3390"/>
      <c r="G20" s="3405">
        <v>0</v>
      </c>
      <c r="H20" s="3392"/>
      <c r="I20" s="3405">
        <v>0</v>
      </c>
      <c r="J20" s="3407"/>
      <c r="K20" s="3405">
        <v>0</v>
      </c>
      <c r="L20" s="3392"/>
      <c r="M20" s="3191">
        <f t="shared" si="0"/>
        <v>0</v>
      </c>
      <c r="N20" s="3392"/>
      <c r="O20" s="3393"/>
      <c r="P20" s="3392"/>
      <c r="Q20" s="3192">
        <v>0</v>
      </c>
      <c r="R20" s="3191"/>
      <c r="S20" s="3192">
        <v>0</v>
      </c>
      <c r="T20" s="3192"/>
      <c r="U20" s="3395"/>
      <c r="V20" s="3402"/>
      <c r="W20" s="3397"/>
    </row>
    <row r="21" spans="1:23">
      <c r="A21" s="3363" t="s">
        <v>1516</v>
      </c>
      <c r="C21" s="3191">
        <v>374031345.50999999</v>
      </c>
      <c r="D21" s="3392"/>
      <c r="E21" s="3405">
        <v>0</v>
      </c>
      <c r="F21" s="3390"/>
      <c r="G21" s="3405">
        <v>0</v>
      </c>
      <c r="H21" s="3392"/>
      <c r="I21" s="3405">
        <v>0</v>
      </c>
      <c r="J21" s="3364"/>
      <c r="K21" s="3405">
        <v>9774512.5299999993</v>
      </c>
      <c r="L21" s="3392"/>
      <c r="M21" s="3191">
        <f t="shared" si="0"/>
        <v>364256832.98000002</v>
      </c>
      <c r="N21" s="3392"/>
      <c r="O21" s="3393"/>
      <c r="P21" s="3392"/>
      <c r="Q21" s="3192">
        <v>76334.92</v>
      </c>
      <c r="R21" s="3191"/>
      <c r="S21" s="3192">
        <v>9580078.1099999994</v>
      </c>
      <c r="T21" s="3192"/>
      <c r="U21" s="3395"/>
      <c r="V21" s="3402"/>
      <c r="W21" s="3397"/>
    </row>
    <row r="22" spans="1:23">
      <c r="A22" s="3363" t="s">
        <v>413</v>
      </c>
      <c r="C22" s="3191">
        <v>31471106.940000001</v>
      </c>
      <c r="D22" s="3392"/>
      <c r="E22" s="3405">
        <v>0</v>
      </c>
      <c r="F22" s="3390"/>
      <c r="G22" s="3405">
        <v>0</v>
      </c>
      <c r="H22" s="3392"/>
      <c r="I22" s="3405">
        <v>0</v>
      </c>
      <c r="J22" s="3392"/>
      <c r="K22" s="3405">
        <v>1630188.48</v>
      </c>
      <c r="L22" s="3392"/>
      <c r="M22" s="3191">
        <f t="shared" si="0"/>
        <v>29840918.460000001</v>
      </c>
      <c r="N22" s="3392"/>
      <c r="O22" s="3393"/>
      <c r="P22" s="3392"/>
      <c r="Q22" s="3192">
        <v>25516.22</v>
      </c>
      <c r="R22" s="3191"/>
      <c r="S22" s="3192">
        <v>715897.51</v>
      </c>
      <c r="T22" s="3192"/>
      <c r="U22" s="3395"/>
      <c r="V22" s="3402"/>
      <c r="W22" s="3397"/>
    </row>
    <row r="23" spans="1:23">
      <c r="A23" s="3363" t="s">
        <v>1087</v>
      </c>
      <c r="C23" s="3191">
        <v>67095926.600000001</v>
      </c>
      <c r="D23" s="3392"/>
      <c r="E23" s="3405">
        <v>0</v>
      </c>
      <c r="F23" s="3390"/>
      <c r="G23" s="3405">
        <v>0</v>
      </c>
      <c r="H23" s="3392"/>
      <c r="I23" s="3405">
        <v>0</v>
      </c>
      <c r="J23" s="3407"/>
      <c r="K23" s="3405">
        <v>1154973.8999999999</v>
      </c>
      <c r="L23" s="3392"/>
      <c r="M23" s="3191">
        <f t="shared" si="0"/>
        <v>65940952.700000003</v>
      </c>
      <c r="N23" s="3392"/>
      <c r="O23" s="3393"/>
      <c r="P23" s="3392"/>
      <c r="Q23" s="3192">
        <v>4018.47</v>
      </c>
      <c r="R23" s="3191"/>
      <c r="S23" s="3192">
        <v>1655718.28</v>
      </c>
      <c r="T23" s="3192"/>
      <c r="U23" s="3395"/>
      <c r="V23" s="3402"/>
      <c r="W23" s="3397"/>
    </row>
    <row r="24" spans="1:23">
      <c r="C24" s="3192"/>
      <c r="D24" s="3392"/>
      <c r="E24" s="3408"/>
      <c r="F24" s="3390"/>
      <c r="G24" s="3390"/>
      <c r="H24" s="3392"/>
      <c r="I24" s="3192"/>
      <c r="J24" s="3392"/>
      <c r="K24" s="3192"/>
      <c r="L24" s="3392"/>
      <c r="M24" s="3192"/>
      <c r="N24" s="3392"/>
      <c r="O24" s="3393"/>
      <c r="P24" s="3392"/>
      <c r="Q24" s="3192"/>
      <c r="R24" s="3192"/>
      <c r="S24" s="3192"/>
      <c r="T24" s="3192"/>
      <c r="U24" s="3395"/>
      <c r="V24" s="3402"/>
      <c r="W24" s="3397"/>
    </row>
    <row r="25" spans="1:23">
      <c r="A25" s="3363" t="s">
        <v>974</v>
      </c>
      <c r="C25" s="3192"/>
      <c r="D25" s="3392"/>
      <c r="E25" s="3408"/>
      <c r="F25" s="3390"/>
      <c r="G25" s="3390"/>
      <c r="H25" s="3392"/>
      <c r="I25" s="3192"/>
      <c r="J25" s="3392"/>
      <c r="K25" s="3192"/>
      <c r="L25" s="3392"/>
      <c r="M25" s="3192"/>
      <c r="N25" s="3392"/>
      <c r="O25" s="3393"/>
      <c r="P25" s="3392"/>
      <c r="Q25" s="3192"/>
      <c r="R25" s="3192"/>
      <c r="S25" s="3192"/>
      <c r="T25" s="3192"/>
      <c r="U25" s="3395"/>
      <c r="V25" s="3402"/>
      <c r="W25" s="3397"/>
    </row>
    <row r="26" spans="1:23">
      <c r="A26" s="3363" t="s">
        <v>1106</v>
      </c>
      <c r="C26" s="3191">
        <v>1847350.21</v>
      </c>
      <c r="D26" s="3392"/>
      <c r="E26" s="3405">
        <v>0</v>
      </c>
      <c r="F26" s="3390"/>
      <c r="G26" s="3405">
        <v>0</v>
      </c>
      <c r="H26" s="3392"/>
      <c r="I26" s="3405">
        <v>0</v>
      </c>
      <c r="J26" s="3364"/>
      <c r="K26" s="3405">
        <v>229317.7</v>
      </c>
      <c r="L26" s="3392"/>
      <c r="M26" s="3191">
        <f>ROUND(SUM(C26)-SUM(K26)+SUM(G26),2)</f>
        <v>1618032.51</v>
      </c>
      <c r="N26" s="3392"/>
      <c r="O26" s="3393"/>
      <c r="P26" s="3392"/>
      <c r="Q26" s="3192">
        <v>0</v>
      </c>
      <c r="R26" s="3191"/>
      <c r="S26" s="3192">
        <v>72486.25</v>
      </c>
      <c r="T26" s="3191"/>
      <c r="U26" s="3395"/>
      <c r="V26" s="3402"/>
      <c r="W26" s="3397"/>
    </row>
    <row r="27" spans="1:23">
      <c r="C27" s="3192"/>
      <c r="D27" s="3392"/>
      <c r="E27" s="3408"/>
      <c r="F27" s="3390"/>
      <c r="G27" s="3390"/>
      <c r="H27" s="3392"/>
      <c r="I27" s="3192"/>
      <c r="J27" s="3392"/>
      <c r="K27" s="3192"/>
      <c r="L27" s="3392"/>
      <c r="M27" s="3192"/>
      <c r="N27" s="3392"/>
      <c r="O27" s="3393"/>
      <c r="P27" s="3392"/>
      <c r="Q27" s="3192"/>
      <c r="R27" s="3192"/>
      <c r="S27" s="3192"/>
      <c r="T27" s="3192"/>
      <c r="U27" s="3395"/>
      <c r="V27" s="3402"/>
      <c r="W27" s="3397"/>
    </row>
    <row r="28" spans="1:23">
      <c r="A28" s="3363" t="s">
        <v>1362</v>
      </c>
      <c r="C28" s="3192"/>
      <c r="D28" s="3392"/>
      <c r="E28" s="3408"/>
      <c r="F28" s="3390"/>
      <c r="G28" s="3390"/>
      <c r="H28" s="3392"/>
      <c r="I28" s="3192"/>
      <c r="J28" s="3392"/>
      <c r="K28" s="3192"/>
      <c r="L28" s="3392"/>
      <c r="M28" s="3192"/>
      <c r="N28" s="3392"/>
      <c r="O28" s="3393"/>
      <c r="P28" s="3392"/>
      <c r="Q28" s="3192"/>
      <c r="R28" s="3192"/>
      <c r="S28" s="3192"/>
      <c r="T28" s="3192"/>
      <c r="U28" s="3395"/>
      <c r="V28" s="3402"/>
      <c r="W28" s="3397"/>
    </row>
    <row r="29" spans="1:23">
      <c r="A29" s="3363" t="s">
        <v>414</v>
      </c>
      <c r="C29" s="3191">
        <v>332071.89</v>
      </c>
      <c r="D29" s="3392"/>
      <c r="E29" s="3405">
        <v>0</v>
      </c>
      <c r="F29" s="3390"/>
      <c r="G29" s="3405">
        <v>0</v>
      </c>
      <c r="H29" s="3392"/>
      <c r="I29" s="3405">
        <v>0</v>
      </c>
      <c r="J29" s="3364"/>
      <c r="K29" s="3405">
        <v>160000</v>
      </c>
      <c r="L29" s="3392"/>
      <c r="M29" s="3191">
        <f t="shared" ref="M29:M31" si="1">ROUND(SUM(C29)-SUM(K29)+SUM(G29),2)</f>
        <v>172071.89</v>
      </c>
      <c r="N29" s="3392"/>
      <c r="O29" s="3393"/>
      <c r="P29" s="3392"/>
      <c r="Q29" s="3192">
        <v>0</v>
      </c>
      <c r="R29" s="3191"/>
      <c r="S29" s="3192">
        <v>12224.81</v>
      </c>
      <c r="T29" s="3191"/>
      <c r="U29" s="3395"/>
      <c r="V29" s="3402"/>
      <c r="W29" s="3397"/>
    </row>
    <row r="30" spans="1:23">
      <c r="A30" s="3363" t="s">
        <v>1088</v>
      </c>
      <c r="C30" s="3191">
        <v>3713411.44</v>
      </c>
      <c r="D30" s="3392"/>
      <c r="E30" s="3405">
        <v>0</v>
      </c>
      <c r="F30" s="3390"/>
      <c r="G30" s="3405">
        <v>0</v>
      </c>
      <c r="H30" s="3392"/>
      <c r="I30" s="3405">
        <v>0</v>
      </c>
      <c r="J30" s="3364"/>
      <c r="K30" s="3405">
        <v>175066.2</v>
      </c>
      <c r="L30" s="3392"/>
      <c r="M30" s="3191">
        <f t="shared" si="1"/>
        <v>3538345.24</v>
      </c>
      <c r="N30" s="3392"/>
      <c r="O30" s="3393"/>
      <c r="P30" s="3392"/>
      <c r="Q30" s="3192">
        <v>0</v>
      </c>
      <c r="R30" s="3191"/>
      <c r="S30" s="3192">
        <v>106322.27</v>
      </c>
      <c r="T30" s="3191"/>
      <c r="U30" s="3395"/>
      <c r="V30" s="3402"/>
      <c r="W30" s="3397"/>
    </row>
    <row r="31" spans="1:23">
      <c r="A31" s="3363" t="s">
        <v>415</v>
      </c>
      <c r="C31" s="3191">
        <v>21539219.609999999</v>
      </c>
      <c r="D31" s="3392"/>
      <c r="E31" s="3405">
        <v>0</v>
      </c>
      <c r="F31" s="3390"/>
      <c r="G31" s="3405">
        <v>0</v>
      </c>
      <c r="H31" s="3392"/>
      <c r="I31" s="3192">
        <v>0</v>
      </c>
      <c r="J31" s="3364"/>
      <c r="K31" s="3192">
        <v>5698859.8799999999</v>
      </c>
      <c r="L31" s="3392"/>
      <c r="M31" s="3191">
        <f t="shared" si="1"/>
        <v>15840359.73</v>
      </c>
      <c r="N31" s="3392"/>
      <c r="O31" s="3393"/>
      <c r="P31" s="3392"/>
      <c r="Q31" s="3192">
        <v>0</v>
      </c>
      <c r="R31" s="3191"/>
      <c r="S31" s="3192">
        <v>545497.87</v>
      </c>
      <c r="T31" s="3191"/>
      <c r="U31" s="3395"/>
      <c r="V31" s="3402"/>
      <c r="W31" s="3397"/>
    </row>
    <row r="32" spans="1:23">
      <c r="C32" s="3192"/>
      <c r="D32" s="3392"/>
      <c r="E32" s="3408"/>
      <c r="F32" s="3390"/>
      <c r="G32" s="3390"/>
      <c r="H32" s="3392"/>
      <c r="I32" s="3192"/>
      <c r="J32" s="3392"/>
      <c r="K32" s="3192"/>
      <c r="L32" s="3392"/>
      <c r="M32" s="3192"/>
      <c r="N32" s="3392"/>
      <c r="O32" s="3393"/>
      <c r="P32" s="3392"/>
      <c r="Q32" s="3192"/>
      <c r="R32" s="3192"/>
      <c r="S32" s="3192"/>
      <c r="T32" s="3192"/>
      <c r="U32" s="3395"/>
      <c r="V32" s="3402"/>
      <c r="W32" s="3397"/>
    </row>
    <row r="33" spans="1:24">
      <c r="A33" s="3363" t="s">
        <v>416</v>
      </c>
      <c r="C33" s="3192"/>
      <c r="D33" s="3392"/>
      <c r="E33" s="3408"/>
      <c r="F33" s="3390"/>
      <c r="G33" s="3390"/>
      <c r="H33" s="3392"/>
      <c r="I33" s="3192"/>
      <c r="J33" s="3392"/>
      <c r="K33" s="3192"/>
      <c r="L33" s="3392"/>
      <c r="M33" s="3192"/>
      <c r="N33" s="3392"/>
      <c r="O33" s="3393"/>
      <c r="P33" s="3392"/>
      <c r="Q33" s="3192"/>
      <c r="R33" s="3192"/>
      <c r="S33" s="3192"/>
      <c r="T33" s="3192"/>
      <c r="U33" s="3395"/>
      <c r="V33" s="3402"/>
      <c r="W33" s="3397"/>
    </row>
    <row r="34" spans="1:24">
      <c r="A34" s="3363" t="s">
        <v>1363</v>
      </c>
      <c r="C34" s="3191">
        <v>11764623.380000001</v>
      </c>
      <c r="D34" s="3392"/>
      <c r="E34" s="3405">
        <v>0</v>
      </c>
      <c r="F34" s="3390"/>
      <c r="G34" s="3405">
        <v>0</v>
      </c>
      <c r="H34" s="3392"/>
      <c r="I34" s="3405">
        <v>0</v>
      </c>
      <c r="J34" s="3364"/>
      <c r="K34" s="3405">
        <v>1737089.82</v>
      </c>
      <c r="L34" s="3392"/>
      <c r="M34" s="3191">
        <f t="shared" ref="M34:M35" si="2">ROUND(SUM(C34)-SUM(K34)+SUM(G34),2)</f>
        <v>10027533.560000001</v>
      </c>
      <c r="N34" s="3392"/>
      <c r="O34" s="3393"/>
      <c r="P34" s="3392"/>
      <c r="Q34" s="3192">
        <v>6583.21</v>
      </c>
      <c r="R34" s="3191"/>
      <c r="S34" s="3192">
        <v>310310.34000000003</v>
      </c>
      <c r="T34" s="3191"/>
      <c r="U34" s="3395"/>
      <c r="V34" s="3402"/>
      <c r="W34" s="3397"/>
    </row>
    <row r="35" spans="1:24" ht="13.8">
      <c r="A35" s="3363" t="s">
        <v>417</v>
      </c>
      <c r="C35" s="3191">
        <v>141551354.46000001</v>
      </c>
      <c r="D35" s="3392"/>
      <c r="E35" s="3405">
        <v>0</v>
      </c>
      <c r="F35" s="3390"/>
      <c r="G35" s="3405">
        <v>0</v>
      </c>
      <c r="H35" s="3392"/>
      <c r="I35" s="3405">
        <v>0</v>
      </c>
      <c r="J35" s="3364"/>
      <c r="K35" s="3405">
        <v>6671899.1399999997</v>
      </c>
      <c r="L35" s="3392"/>
      <c r="M35" s="3191">
        <f t="shared" si="2"/>
        <v>134879455.31999999</v>
      </c>
      <c r="N35" s="3392"/>
      <c r="O35" s="3393"/>
      <c r="P35" s="3392"/>
      <c r="Q35" s="3192">
        <v>23169.52</v>
      </c>
      <c r="R35" s="3409"/>
      <c r="S35" s="3192">
        <v>4498391.7699999996</v>
      </c>
      <c r="T35" s="3191"/>
      <c r="U35" s="3395"/>
      <c r="V35" s="3402"/>
      <c r="W35" s="3397"/>
      <c r="X35" s="3404"/>
    </row>
    <row r="36" spans="1:24">
      <c r="C36" s="3192"/>
      <c r="D36" s="3392"/>
      <c r="E36" s="3408"/>
      <c r="F36" s="3390"/>
      <c r="G36" s="3390"/>
      <c r="H36" s="3392"/>
      <c r="I36" s="3192"/>
      <c r="J36" s="3392"/>
      <c r="K36" s="3192"/>
      <c r="L36" s="3392"/>
      <c r="M36" s="3192"/>
      <c r="N36" s="3392"/>
      <c r="O36" s="3393"/>
      <c r="P36" s="3392"/>
      <c r="Q36" s="3192"/>
      <c r="R36" s="3192"/>
      <c r="S36" s="3192"/>
      <c r="T36" s="3192"/>
      <c r="U36" s="3395"/>
      <c r="V36" s="3402"/>
      <c r="W36" s="3397"/>
    </row>
    <row r="37" spans="1:24">
      <c r="A37" s="3363" t="s">
        <v>418</v>
      </c>
      <c r="C37" s="3192"/>
      <c r="D37" s="3392"/>
      <c r="E37" s="3408"/>
      <c r="F37" s="3410"/>
      <c r="G37" s="3410"/>
      <c r="H37" s="3392"/>
      <c r="I37" s="3191"/>
      <c r="J37" s="3392"/>
      <c r="K37" s="3191"/>
      <c r="L37" s="3392"/>
      <c r="M37" s="3192"/>
      <c r="N37" s="3392"/>
      <c r="O37" s="3393"/>
      <c r="P37" s="3392"/>
      <c r="Q37" s="3191"/>
      <c r="R37" s="3192"/>
      <c r="S37" s="3191"/>
      <c r="T37" s="3191"/>
      <c r="U37" s="3395"/>
      <c r="V37" s="3402"/>
      <c r="W37" s="3397"/>
    </row>
    <row r="38" spans="1:24">
      <c r="A38" s="3363" t="s">
        <v>1517</v>
      </c>
      <c r="C38" s="3191">
        <v>13240000</v>
      </c>
      <c r="D38" s="3392"/>
      <c r="E38" s="3405">
        <v>0</v>
      </c>
      <c r="F38" s="3390"/>
      <c r="G38" s="3405">
        <v>0</v>
      </c>
      <c r="H38" s="3392"/>
      <c r="I38" s="3405">
        <v>0</v>
      </c>
      <c r="J38" s="3399"/>
      <c r="K38" s="3405">
        <v>2880000</v>
      </c>
      <c r="L38" s="3392"/>
      <c r="M38" s="3191">
        <f>ROUND(SUM(C38)-SUM(K38)+SUM(G38),2)</f>
        <v>10360000</v>
      </c>
      <c r="N38" s="3392"/>
      <c r="O38" s="3393"/>
      <c r="P38" s="3392"/>
      <c r="Q38" s="3192">
        <v>0</v>
      </c>
      <c r="R38" s="3191"/>
      <c r="S38" s="3192">
        <v>382800</v>
      </c>
      <c r="T38" s="3411"/>
      <c r="U38" s="3395"/>
      <c r="V38" s="3402"/>
      <c r="W38" s="3397"/>
    </row>
    <row r="39" spans="1:24">
      <c r="A39" s="3363" t="s">
        <v>1089</v>
      </c>
      <c r="C39" s="3191">
        <v>10520000</v>
      </c>
      <c r="D39" s="3392"/>
      <c r="E39" s="3405">
        <v>0</v>
      </c>
      <c r="F39" s="3390"/>
      <c r="G39" s="3405">
        <v>0</v>
      </c>
      <c r="H39" s="3392"/>
      <c r="I39" s="3192">
        <v>0</v>
      </c>
      <c r="J39" s="3412"/>
      <c r="K39" s="3192">
        <v>2110000</v>
      </c>
      <c r="L39" s="3392"/>
      <c r="M39" s="3191">
        <f t="shared" ref="M39" si="3">ROUND(SUM(C39)-SUM(K39)+SUM(G39),2)</f>
        <v>8410000</v>
      </c>
      <c r="N39" s="3392"/>
      <c r="O39" s="3393"/>
      <c r="P39" s="3392"/>
      <c r="Q39" s="3192">
        <v>0</v>
      </c>
      <c r="R39" s="3192"/>
      <c r="S39" s="3192">
        <v>186238.75</v>
      </c>
      <c r="T39" s="3413"/>
      <c r="U39" s="3395"/>
      <c r="V39" s="3402"/>
      <c r="W39" s="3397"/>
    </row>
    <row r="40" spans="1:24">
      <c r="C40" s="3192"/>
      <c r="D40" s="3392"/>
      <c r="E40" s="3405"/>
      <c r="F40" s="3390"/>
      <c r="G40" s="3390"/>
      <c r="H40" s="3392"/>
      <c r="I40" s="3405"/>
      <c r="J40" s="3399"/>
      <c r="K40" s="3405"/>
      <c r="L40" s="3392"/>
      <c r="M40" s="3192"/>
      <c r="N40" s="3392"/>
      <c r="O40" s="3393"/>
      <c r="P40" s="3392"/>
      <c r="Q40" s="3411"/>
      <c r="R40" s="3191"/>
      <c r="S40" s="3411"/>
      <c r="T40" s="3411"/>
      <c r="U40" s="3395"/>
      <c r="V40" s="3402"/>
      <c r="W40" s="3397"/>
    </row>
    <row r="41" spans="1:24">
      <c r="A41" s="3363" t="s">
        <v>1090</v>
      </c>
      <c r="C41" s="3191">
        <v>3238</v>
      </c>
      <c r="D41" s="3392"/>
      <c r="E41" s="3405">
        <v>0</v>
      </c>
      <c r="F41" s="3390"/>
      <c r="G41" s="3405">
        <v>0</v>
      </c>
      <c r="H41" s="3392"/>
      <c r="I41" s="3191">
        <v>0</v>
      </c>
      <c r="J41" s="3392"/>
      <c r="K41" s="3191">
        <v>0</v>
      </c>
      <c r="L41" s="3392"/>
      <c r="M41" s="3191">
        <f>ROUND(SUM(C41)-SUM(K41)+SUM(G41),2)</f>
        <v>3238</v>
      </c>
      <c r="N41" s="3392"/>
      <c r="O41" s="3393"/>
      <c r="P41" s="3392"/>
      <c r="Q41" s="3192">
        <v>0</v>
      </c>
      <c r="R41" s="3192"/>
      <c r="S41" s="3192">
        <v>64.760000000000005</v>
      </c>
      <c r="T41" s="3413"/>
      <c r="U41" s="3395"/>
      <c r="V41" s="3402"/>
      <c r="W41" s="3397"/>
    </row>
    <row r="42" spans="1:24" ht="15">
      <c r="C42" s="3191"/>
      <c r="D42" s="3392"/>
      <c r="E42" s="3408"/>
      <c r="F42" s="3410"/>
      <c r="G42" s="3410"/>
      <c r="H42" s="3392"/>
      <c r="I42" s="3405"/>
      <c r="J42" s="3364"/>
      <c r="K42" s="3405"/>
      <c r="L42" s="3392"/>
      <c r="M42" s="3192"/>
      <c r="N42" s="3392"/>
      <c r="O42" s="3393"/>
      <c r="P42" s="3392"/>
      <c r="Q42" s="3411"/>
      <c r="R42" s="3414"/>
      <c r="S42" s="3411"/>
      <c r="T42" s="3411"/>
      <c r="U42" s="3395"/>
      <c r="V42" s="3402"/>
      <c r="W42" s="3397"/>
    </row>
    <row r="43" spans="1:24" ht="15">
      <c r="A43" s="3363" t="s">
        <v>419</v>
      </c>
      <c r="C43" s="3191">
        <v>25549130.920000002</v>
      </c>
      <c r="D43" s="3392"/>
      <c r="E43" s="3405">
        <v>0</v>
      </c>
      <c r="F43" s="3390"/>
      <c r="G43" s="3405">
        <v>0</v>
      </c>
      <c r="H43" s="3392"/>
      <c r="I43" s="3191">
        <v>0</v>
      </c>
      <c r="J43" s="3392"/>
      <c r="K43" s="3191">
        <v>4053652.29</v>
      </c>
      <c r="L43" s="3392"/>
      <c r="M43" s="3191">
        <f>ROUND(SUM(C43)-SUM(K43)+SUM(G43),2)</f>
        <v>21495478.629999999</v>
      </c>
      <c r="N43" s="3392"/>
      <c r="O43" s="3393"/>
      <c r="P43" s="3392"/>
      <c r="Q43" s="3192">
        <v>0</v>
      </c>
      <c r="R43" s="3415"/>
      <c r="S43" s="3192">
        <v>755277.69</v>
      </c>
      <c r="T43" s="3411"/>
      <c r="U43" s="3395"/>
      <c r="V43" s="3402"/>
      <c r="W43" s="3397"/>
    </row>
    <row r="44" spans="1:24" ht="15">
      <c r="C44" s="3191"/>
      <c r="D44" s="3392"/>
      <c r="E44" s="3408"/>
      <c r="F44" s="3410"/>
      <c r="G44" s="3410"/>
      <c r="H44" s="3392"/>
      <c r="I44" s="3405"/>
      <c r="J44" s="3364"/>
      <c r="K44" s="3405"/>
      <c r="L44" s="3392"/>
      <c r="M44" s="3192"/>
      <c r="N44" s="3392"/>
      <c r="O44" s="3393"/>
      <c r="P44" s="3392"/>
      <c r="Q44" s="3411"/>
      <c r="R44" s="3414"/>
      <c r="S44" s="3411"/>
      <c r="T44" s="3411"/>
      <c r="U44" s="3395"/>
      <c r="V44" s="3402"/>
      <c r="W44" s="3397"/>
    </row>
    <row r="45" spans="1:24" ht="15">
      <c r="A45" s="3363" t="s">
        <v>420</v>
      </c>
      <c r="C45" s="3191">
        <v>0</v>
      </c>
      <c r="D45" s="3392"/>
      <c r="E45" s="3405">
        <v>0</v>
      </c>
      <c r="F45" s="3390"/>
      <c r="G45" s="3405">
        <v>0</v>
      </c>
      <c r="H45" s="3392"/>
      <c r="I45" s="3192">
        <v>0</v>
      </c>
      <c r="J45" s="3392"/>
      <c r="K45" s="3192">
        <v>0</v>
      </c>
      <c r="L45" s="3392"/>
      <c r="M45" s="3191">
        <f>ROUND(SUM(C45)-SUM(K45)+SUM(G45),2)</f>
        <v>0</v>
      </c>
      <c r="N45" s="3392"/>
      <c r="O45" s="3393"/>
      <c r="P45" s="3392"/>
      <c r="Q45" s="3192">
        <v>0</v>
      </c>
      <c r="R45" s="3415"/>
      <c r="S45" s="3192">
        <v>0</v>
      </c>
      <c r="T45" s="3411"/>
      <c r="U45" s="3395"/>
      <c r="V45" s="3402"/>
      <c r="W45" s="3397"/>
    </row>
    <row r="46" spans="1:24" ht="15">
      <c r="C46" s="3191"/>
      <c r="D46" s="3392"/>
      <c r="E46" s="3408"/>
      <c r="F46" s="3390"/>
      <c r="G46" s="3390"/>
      <c r="H46" s="3392"/>
      <c r="L46" s="3392"/>
      <c r="M46" s="3192"/>
      <c r="N46" s="3392"/>
      <c r="O46" s="3393"/>
      <c r="P46" s="3392"/>
      <c r="R46" s="3415"/>
      <c r="U46" s="3395"/>
      <c r="V46" s="3402"/>
      <c r="W46" s="3397"/>
    </row>
    <row r="47" spans="1:24" ht="15">
      <c r="A47" s="3363" t="s">
        <v>421</v>
      </c>
      <c r="C47" s="3416"/>
      <c r="D47" s="3392"/>
      <c r="E47" s="3408"/>
      <c r="F47" s="3410"/>
      <c r="G47" s="3410"/>
      <c r="H47" s="3392"/>
      <c r="I47" s="3191"/>
      <c r="J47" s="3412"/>
      <c r="K47" s="3191"/>
      <c r="L47" s="3392"/>
      <c r="M47" s="3192"/>
      <c r="N47" s="3392"/>
      <c r="O47" s="3393"/>
      <c r="P47" s="3392"/>
      <c r="Q47" s="3411"/>
      <c r="R47" s="3415"/>
      <c r="S47" s="3411"/>
      <c r="T47" s="3411"/>
      <c r="U47" s="3395"/>
      <c r="V47" s="3402"/>
      <c r="W47" s="3397"/>
    </row>
    <row r="48" spans="1:24" ht="15">
      <c r="A48" s="3363" t="s">
        <v>422</v>
      </c>
      <c r="C48" s="3416">
        <v>746780633.12</v>
      </c>
      <c r="D48" s="3392"/>
      <c r="E48" s="3405">
        <v>0</v>
      </c>
      <c r="F48" s="3390"/>
      <c r="G48" s="3405">
        <v>0</v>
      </c>
      <c r="H48" s="3392"/>
      <c r="I48" s="3405">
        <v>0</v>
      </c>
      <c r="J48" s="3407"/>
      <c r="K48" s="3405">
        <v>5321311.84</v>
      </c>
      <c r="L48" s="3392"/>
      <c r="M48" s="3191">
        <f t="shared" ref="M48:M53" si="4">ROUND(SUM(C48)-SUM(K48)+SUM(G48),2)</f>
        <v>741459321.27999997</v>
      </c>
      <c r="N48" s="3392"/>
      <c r="O48" s="3393"/>
      <c r="P48" s="3392"/>
      <c r="Q48" s="3192">
        <v>0</v>
      </c>
      <c r="R48" s="3415"/>
      <c r="S48" s="3192">
        <v>18451495.280000001</v>
      </c>
      <c r="T48" s="3411"/>
      <c r="U48" s="3395"/>
      <c r="V48" s="3402"/>
      <c r="W48" s="3397"/>
    </row>
    <row r="49" spans="1:23" ht="15">
      <c r="A49" s="3363" t="s">
        <v>423</v>
      </c>
      <c r="C49" s="3416">
        <v>12439751.76</v>
      </c>
      <c r="D49" s="3417"/>
      <c r="E49" s="3405">
        <v>0</v>
      </c>
      <c r="F49" s="3390"/>
      <c r="G49" s="3405">
        <v>0</v>
      </c>
      <c r="H49" s="3392"/>
      <c r="I49" s="3405">
        <v>0</v>
      </c>
      <c r="J49" s="3407"/>
      <c r="K49" s="3405">
        <v>438102.38</v>
      </c>
      <c r="L49" s="3392"/>
      <c r="M49" s="3191">
        <f t="shared" si="4"/>
        <v>12001649.380000001</v>
      </c>
      <c r="N49" s="3392"/>
      <c r="O49" s="3393"/>
      <c r="P49" s="3392"/>
      <c r="Q49" s="3192">
        <v>0</v>
      </c>
      <c r="R49" s="3415"/>
      <c r="S49" s="3192">
        <v>356097.45</v>
      </c>
      <c r="T49" s="3411"/>
      <c r="U49" s="3395"/>
      <c r="V49" s="3402"/>
      <c r="W49" s="3397"/>
    </row>
    <row r="50" spans="1:23" ht="15">
      <c r="A50" s="3363" t="s">
        <v>424</v>
      </c>
      <c r="C50" s="3416">
        <v>45968154.450000003</v>
      </c>
      <c r="D50" s="3417"/>
      <c r="E50" s="3405">
        <v>0</v>
      </c>
      <c r="F50" s="3390"/>
      <c r="G50" s="3405">
        <v>0</v>
      </c>
      <c r="H50" s="3392"/>
      <c r="I50" s="3405">
        <v>0</v>
      </c>
      <c r="J50" s="3407"/>
      <c r="K50" s="3405">
        <v>0</v>
      </c>
      <c r="L50" s="3392"/>
      <c r="M50" s="3191">
        <f t="shared" si="4"/>
        <v>45968154.450000003</v>
      </c>
      <c r="N50" s="3392"/>
      <c r="O50" s="3393"/>
      <c r="P50" s="3392"/>
      <c r="Q50" s="3192">
        <v>0</v>
      </c>
      <c r="R50" s="3415"/>
      <c r="S50" s="3192">
        <v>991435.12</v>
      </c>
      <c r="T50" s="3411"/>
      <c r="U50" s="3395"/>
      <c r="V50" s="3402"/>
      <c r="W50" s="3397"/>
    </row>
    <row r="51" spans="1:23" ht="15">
      <c r="A51" s="3363" t="s">
        <v>425</v>
      </c>
      <c r="C51" s="3416">
        <v>76394073.310000002</v>
      </c>
      <c r="D51" s="3392"/>
      <c r="E51" s="3405">
        <v>0</v>
      </c>
      <c r="F51" s="3390"/>
      <c r="G51" s="3405">
        <v>0</v>
      </c>
      <c r="H51" s="3392"/>
      <c r="I51" s="3405">
        <v>0</v>
      </c>
      <c r="J51" s="3407"/>
      <c r="K51" s="3405">
        <v>0</v>
      </c>
      <c r="L51" s="3392"/>
      <c r="M51" s="3191">
        <f t="shared" si="4"/>
        <v>76394073.310000002</v>
      </c>
      <c r="N51" s="3392"/>
      <c r="O51" s="3393"/>
      <c r="P51" s="3392"/>
      <c r="Q51" s="3192">
        <v>0</v>
      </c>
      <c r="R51" s="3414"/>
      <c r="S51" s="3192">
        <v>1742970.83</v>
      </c>
      <c r="T51" s="3411"/>
      <c r="U51" s="3395"/>
      <c r="V51" s="3402"/>
      <c r="W51" s="3397"/>
    </row>
    <row r="52" spans="1:23">
      <c r="A52" s="3363" t="s">
        <v>426</v>
      </c>
      <c r="C52" s="3416">
        <v>4454664.26</v>
      </c>
      <c r="D52" s="3392"/>
      <c r="E52" s="3405">
        <v>0</v>
      </c>
      <c r="F52" s="3390"/>
      <c r="G52" s="3405">
        <v>0</v>
      </c>
      <c r="H52" s="3392"/>
      <c r="I52" s="3405">
        <v>0</v>
      </c>
      <c r="J52" s="3407"/>
      <c r="K52" s="3405">
        <v>0</v>
      </c>
      <c r="L52" s="3392"/>
      <c r="M52" s="3191">
        <f t="shared" si="4"/>
        <v>4454664.26</v>
      </c>
      <c r="N52" s="3392"/>
      <c r="O52" s="3393"/>
      <c r="P52" s="3392"/>
      <c r="Q52" s="3192">
        <v>0</v>
      </c>
      <c r="R52" s="3192"/>
      <c r="S52" s="3192">
        <v>102567.66</v>
      </c>
      <c r="T52" s="3192"/>
      <c r="U52" s="3395"/>
      <c r="V52" s="3402"/>
      <c r="W52" s="3397"/>
    </row>
    <row r="53" spans="1:23">
      <c r="A53" s="3363" t="s">
        <v>975</v>
      </c>
      <c r="C53" s="3191">
        <v>799411214.87</v>
      </c>
      <c r="D53" s="3392"/>
      <c r="E53" s="3405">
        <v>0</v>
      </c>
      <c r="F53" s="3390"/>
      <c r="G53" s="3405">
        <v>0</v>
      </c>
      <c r="H53" s="3392"/>
      <c r="I53" s="3405">
        <v>0</v>
      </c>
      <c r="J53" s="3399"/>
      <c r="K53" s="3405">
        <v>5897374.8600000003</v>
      </c>
      <c r="L53" s="3392"/>
      <c r="M53" s="3191">
        <f t="shared" si="4"/>
        <v>793513840.00999999</v>
      </c>
      <c r="N53" s="3392"/>
      <c r="O53" s="3393"/>
      <c r="P53" s="3392"/>
      <c r="Q53" s="3192">
        <v>0</v>
      </c>
      <c r="R53" s="3365"/>
      <c r="S53" s="3192">
        <v>20908282.469999999</v>
      </c>
      <c r="T53" s="3365"/>
      <c r="U53" s="3395"/>
      <c r="V53" s="3402"/>
      <c r="W53" s="3397"/>
    </row>
    <row r="54" spans="1:23">
      <c r="C54" s="3191"/>
      <c r="D54" s="3392"/>
      <c r="E54" s="3408"/>
      <c r="F54" s="3390"/>
      <c r="G54" s="3390"/>
      <c r="H54" s="3392"/>
      <c r="I54" s="3192"/>
      <c r="J54" s="3392"/>
      <c r="K54" s="3192"/>
      <c r="L54" s="3392"/>
      <c r="M54" s="3191"/>
      <c r="N54" s="3392"/>
      <c r="O54" s="3393"/>
      <c r="P54" s="3392"/>
      <c r="U54" s="3395"/>
      <c r="V54" s="3402"/>
      <c r="W54" s="3397"/>
    </row>
    <row r="55" spans="1:23">
      <c r="A55" s="3363" t="s">
        <v>976</v>
      </c>
      <c r="C55" s="3191"/>
      <c r="D55" s="3392"/>
      <c r="E55" s="3408"/>
      <c r="F55" s="3410"/>
      <c r="G55" s="3410"/>
      <c r="H55" s="3392"/>
      <c r="I55" s="3191"/>
      <c r="J55" s="3412"/>
      <c r="K55" s="3191"/>
      <c r="L55" s="3392"/>
      <c r="M55" s="3191"/>
      <c r="N55" s="3392"/>
      <c r="O55" s="3393"/>
      <c r="P55" s="3392"/>
      <c r="Q55" s="3191"/>
      <c r="R55" s="3192"/>
      <c r="S55" s="3191"/>
      <c r="T55" s="3191"/>
      <c r="U55" s="3395"/>
      <c r="V55" s="3402"/>
      <c r="W55" s="3397"/>
    </row>
    <row r="56" spans="1:23" ht="15">
      <c r="A56" s="3363" t="s">
        <v>1091</v>
      </c>
      <c r="C56" s="3191">
        <v>1089490.04</v>
      </c>
      <c r="D56" s="3392"/>
      <c r="E56" s="3405">
        <v>0</v>
      </c>
      <c r="F56" s="3390"/>
      <c r="G56" s="3405">
        <v>0</v>
      </c>
      <c r="H56" s="3392"/>
      <c r="I56" s="3405">
        <v>0</v>
      </c>
      <c r="J56" s="3399"/>
      <c r="K56" s="3405">
        <v>14352.52</v>
      </c>
      <c r="L56" s="3392"/>
      <c r="M56" s="3191">
        <f t="shared" ref="M56:M59" si="5">ROUND(SUM(C56)-SUM(K56)+SUM(G56),2)</f>
        <v>1075137.52</v>
      </c>
      <c r="N56" s="3392"/>
      <c r="O56" s="3393"/>
      <c r="P56" s="3392"/>
      <c r="Q56" s="3192">
        <v>0</v>
      </c>
      <c r="R56" s="3414"/>
      <c r="S56" s="3192">
        <v>28378.99</v>
      </c>
      <c r="T56" s="3411"/>
      <c r="U56" s="3395"/>
      <c r="V56" s="3402"/>
      <c r="W56" s="3397"/>
    </row>
    <row r="57" spans="1:23" ht="15">
      <c r="A57" s="3363" t="s">
        <v>1055</v>
      </c>
      <c r="C57" s="3191">
        <v>4471947.2699999996</v>
      </c>
      <c r="D57" s="3392"/>
      <c r="E57" s="3405">
        <v>0</v>
      </c>
      <c r="F57" s="3390"/>
      <c r="G57" s="3405">
        <v>0</v>
      </c>
      <c r="H57" s="3392"/>
      <c r="I57" s="3405">
        <v>0</v>
      </c>
      <c r="J57" s="3364"/>
      <c r="K57" s="3405">
        <v>781006.41</v>
      </c>
      <c r="L57" s="3392"/>
      <c r="M57" s="3191">
        <f t="shared" si="5"/>
        <v>3690940.86</v>
      </c>
      <c r="N57" s="3392"/>
      <c r="O57" s="3393"/>
      <c r="P57" s="3392"/>
      <c r="Q57" s="3192">
        <v>0</v>
      </c>
      <c r="R57" s="3415"/>
      <c r="S57" s="3192">
        <v>175013.83</v>
      </c>
      <c r="T57" s="3413"/>
      <c r="U57" s="3395"/>
      <c r="V57" s="3402"/>
      <c r="W57" s="3397"/>
    </row>
    <row r="58" spans="1:23" ht="13.5" customHeight="1">
      <c r="C58" s="3191"/>
      <c r="D58" s="3392"/>
      <c r="E58" s="3405"/>
      <c r="F58" s="3390"/>
      <c r="G58" s="3390"/>
      <c r="H58" s="3392"/>
      <c r="I58" s="3192"/>
      <c r="J58" s="3392"/>
      <c r="K58" s="3192"/>
      <c r="L58" s="3392"/>
      <c r="M58" s="3192"/>
      <c r="N58" s="3392"/>
      <c r="O58" s="3393"/>
      <c r="P58" s="3392"/>
      <c r="U58" s="3395"/>
      <c r="V58" s="3402"/>
      <c r="W58" s="3397"/>
    </row>
    <row r="59" spans="1:23" ht="15">
      <c r="A59" s="3363" t="s">
        <v>1470</v>
      </c>
      <c r="C59" s="3191">
        <v>0</v>
      </c>
      <c r="D59" s="3392"/>
      <c r="E59" s="3405">
        <v>0</v>
      </c>
      <c r="F59" s="3390"/>
      <c r="G59" s="3405">
        <v>0</v>
      </c>
      <c r="H59" s="3392"/>
      <c r="I59" s="3405">
        <v>0</v>
      </c>
      <c r="J59" s="3364"/>
      <c r="K59" s="3405">
        <v>0</v>
      </c>
      <c r="L59" s="3392"/>
      <c r="M59" s="3191">
        <f t="shared" si="5"/>
        <v>0</v>
      </c>
      <c r="N59" s="3392"/>
      <c r="O59" s="3393"/>
      <c r="P59" s="3392"/>
      <c r="Q59" s="3192">
        <v>0</v>
      </c>
      <c r="R59" s="3415"/>
      <c r="S59" s="3192">
        <v>0</v>
      </c>
      <c r="T59" s="3413"/>
      <c r="U59" s="3395"/>
      <c r="V59" s="3402"/>
      <c r="W59" s="3397"/>
    </row>
    <row r="60" spans="1:23" ht="13.5" customHeight="1">
      <c r="C60" s="3191"/>
      <c r="D60" s="3392"/>
      <c r="E60" s="3405"/>
      <c r="F60" s="3390"/>
      <c r="G60" s="3390"/>
      <c r="H60" s="3392"/>
      <c r="I60" s="3192"/>
      <c r="J60" s="3392"/>
      <c r="K60" s="3192"/>
      <c r="L60" s="3392"/>
      <c r="M60" s="3192"/>
      <c r="N60" s="3392"/>
      <c r="O60" s="3393"/>
      <c r="P60" s="3392"/>
      <c r="U60" s="3395"/>
      <c r="V60" s="3402"/>
      <c r="W60" s="3397"/>
    </row>
    <row r="61" spans="1:23" ht="15">
      <c r="A61" s="3363" t="s">
        <v>427</v>
      </c>
      <c r="C61" s="3191"/>
      <c r="D61" s="3392"/>
      <c r="E61" s="3408"/>
      <c r="F61" s="3390"/>
      <c r="G61" s="3390"/>
      <c r="H61" s="3392"/>
      <c r="I61" s="3192"/>
      <c r="J61" s="3392"/>
      <c r="K61" s="3192"/>
      <c r="L61" s="3392"/>
      <c r="M61" s="3192"/>
      <c r="N61" s="3392"/>
      <c r="O61" s="3393"/>
      <c r="P61" s="3392"/>
      <c r="Q61" s="3413"/>
      <c r="R61" s="3415"/>
      <c r="S61" s="3413"/>
      <c r="T61" s="3413"/>
      <c r="U61" s="3395"/>
      <c r="V61" s="3402"/>
      <c r="W61" s="3397"/>
    </row>
    <row r="62" spans="1:23" ht="15">
      <c r="A62" s="3363" t="s">
        <v>424</v>
      </c>
      <c r="C62" s="3191">
        <v>4390650.41</v>
      </c>
      <c r="D62" s="3392"/>
      <c r="E62" s="3405">
        <v>0</v>
      </c>
      <c r="F62" s="3390"/>
      <c r="G62" s="3405">
        <v>0</v>
      </c>
      <c r="H62" s="3392"/>
      <c r="I62" s="3405">
        <v>0</v>
      </c>
      <c r="J62" s="3364"/>
      <c r="K62" s="3405">
        <v>628532.92000000004</v>
      </c>
      <c r="L62" s="3392"/>
      <c r="M62" s="3191">
        <f t="shared" ref="M62" si="6">ROUND(SUM(C62)-SUM(K62)+SUM(G62),2)</f>
        <v>3762117.49</v>
      </c>
      <c r="N62" s="3392"/>
      <c r="O62" s="3393"/>
      <c r="P62" s="3392"/>
      <c r="Q62" s="3192">
        <v>0</v>
      </c>
      <c r="R62" s="3414"/>
      <c r="S62" s="3192">
        <v>151430.65</v>
      </c>
      <c r="T62" s="3411"/>
      <c r="U62" s="3395"/>
      <c r="V62" s="3402"/>
      <c r="W62" s="3397"/>
    </row>
    <row r="63" spans="1:23">
      <c r="A63" s="3363" t="s">
        <v>428</v>
      </c>
      <c r="C63" s="3191">
        <v>0</v>
      </c>
      <c r="D63" s="3392"/>
      <c r="E63" s="3405">
        <v>0</v>
      </c>
      <c r="F63" s="3390"/>
      <c r="G63" s="3405">
        <v>0</v>
      </c>
      <c r="H63" s="3392"/>
      <c r="I63" s="3405">
        <v>0</v>
      </c>
      <c r="J63" s="3364"/>
      <c r="K63" s="3405">
        <v>0</v>
      </c>
      <c r="L63" s="3392"/>
      <c r="M63" s="3191">
        <f>ROUND(SUM(C63)-SUM(K63)+SUM(G63),2)</f>
        <v>0</v>
      </c>
      <c r="N63" s="3392"/>
      <c r="O63" s="3393"/>
      <c r="P63" s="3392"/>
      <c r="Q63" s="3192">
        <v>0</v>
      </c>
      <c r="R63" s="3192"/>
      <c r="S63" s="3192">
        <v>0</v>
      </c>
      <c r="T63" s="3418"/>
      <c r="U63" s="3395"/>
      <c r="V63" s="3402"/>
      <c r="W63" s="3397"/>
    </row>
    <row r="64" spans="1:23">
      <c r="B64" s="3392"/>
      <c r="C64" s="3419"/>
      <c r="D64" s="3392"/>
      <c r="E64" s="3405"/>
      <c r="F64" s="3417"/>
      <c r="G64" s="3420"/>
      <c r="H64" s="3392"/>
      <c r="I64" s="3421"/>
      <c r="J64" s="3392"/>
      <c r="K64" s="3422"/>
      <c r="L64" s="3392"/>
      <c r="M64" s="3423"/>
      <c r="N64" s="3392"/>
      <c r="O64" s="3393"/>
      <c r="P64" s="3392"/>
      <c r="Q64" s="3421"/>
      <c r="R64" s="3392"/>
      <c r="S64" s="3421"/>
      <c r="T64" s="3424"/>
      <c r="U64" s="3395"/>
      <c r="W64" s="3397"/>
    </row>
    <row r="65" spans="1:23" ht="15" customHeight="1" thickBot="1">
      <c r="A65" s="3388" t="s">
        <v>429</v>
      </c>
      <c r="B65" s="3425"/>
      <c r="C65" s="3426">
        <f>ROUND(SUM(C16:C63),2)</f>
        <v>2462614999.46</v>
      </c>
      <c r="D65" s="3425"/>
      <c r="E65" s="3426">
        <f>ROUND(SUM(E16:E64),2)</f>
        <v>0</v>
      </c>
      <c r="F65" s="3364"/>
      <c r="G65" s="3426">
        <f>ROUND(SUM(G16:G63),2)</f>
        <v>0</v>
      </c>
      <c r="H65" s="3425"/>
      <c r="I65" s="3426">
        <f>ROUND(SUM(I16:I63),2)</f>
        <v>0</v>
      </c>
      <c r="J65" s="3425"/>
      <c r="K65" s="3426">
        <f>ROUND(SUM(K16:K63),2)</f>
        <v>75400000</v>
      </c>
      <c r="L65" s="3425"/>
      <c r="M65" s="3426">
        <f>ROUND(SUM(M16:M63),2)</f>
        <v>2387214999.46</v>
      </c>
      <c r="N65" s="3427"/>
      <c r="O65" s="3428"/>
      <c r="P65" s="3425"/>
      <c r="Q65" s="3426">
        <f>ROUND(SUM(Q16:Q63),2)</f>
        <v>135622.34</v>
      </c>
      <c r="R65" s="3425"/>
      <c r="S65" s="3426">
        <f>ROUND(SUM(S16:S63),2)</f>
        <v>63682840.18</v>
      </c>
      <c r="T65" s="3429"/>
      <c r="U65" s="3395"/>
      <c r="V65" s="3430"/>
      <c r="W65" s="3397"/>
    </row>
    <row r="66" spans="1:23" ht="15" customHeight="1" thickTop="1">
      <c r="A66" s="3431"/>
      <c r="B66" s="3432"/>
      <c r="C66" s="3429"/>
      <c r="D66" s="3432"/>
      <c r="E66" s="3433"/>
      <c r="F66" s="3434"/>
      <c r="G66" s="3433"/>
      <c r="H66" s="3432"/>
      <c r="I66" s="3429"/>
      <c r="J66" s="3432"/>
      <c r="K66" s="3435"/>
      <c r="L66" s="3432"/>
      <c r="M66" s="3436"/>
      <c r="N66" s="3388"/>
      <c r="O66" s="3388"/>
      <c r="P66" s="3432"/>
      <c r="Q66" s="3435"/>
      <c r="R66" s="3432"/>
      <c r="S66" s="3429"/>
      <c r="U66" s="3437"/>
      <c r="V66" s="3437"/>
      <c r="W66" s="3437"/>
    </row>
    <row r="67" spans="1:23">
      <c r="A67" s="3438"/>
      <c r="B67" s="3424"/>
      <c r="C67" s="3424"/>
      <c r="D67" s="3439"/>
      <c r="E67" s="3424"/>
      <c r="F67" s="3439"/>
      <c r="H67" s="3392"/>
      <c r="I67" s="3363"/>
      <c r="J67" s="3392"/>
      <c r="K67" s="3363"/>
      <c r="L67" s="3392"/>
      <c r="N67" s="3424"/>
      <c r="P67" s="3412"/>
    </row>
    <row r="68" spans="1:23">
      <c r="A68" s="3412"/>
      <c r="C68" s="3424"/>
      <c r="D68" s="3440"/>
      <c r="E68" s="3439"/>
      <c r="F68" s="3440"/>
      <c r="G68" s="3424"/>
      <c r="H68" s="3402"/>
      <c r="I68" s="3392"/>
      <c r="J68" s="3402"/>
      <c r="K68" s="3389"/>
      <c r="L68" s="3397"/>
      <c r="O68" s="3424"/>
      <c r="P68" s="3397"/>
      <c r="R68" s="3404"/>
    </row>
    <row r="69" spans="1:23">
      <c r="A69" s="3441"/>
      <c r="E69" s="3442"/>
      <c r="G69" s="3443"/>
      <c r="I69" s="3400"/>
      <c r="K69" s="3400"/>
      <c r="Q69" s="3404"/>
      <c r="S69" s="3404"/>
      <c r="T69" s="3444"/>
    </row>
    <row r="70" spans="1:23">
      <c r="E70" s="3392"/>
      <c r="G70" s="3392"/>
      <c r="M70" s="3192"/>
      <c r="O70" s="3424"/>
      <c r="Q70" s="3412"/>
    </row>
    <row r="71" spans="1:23">
      <c r="C71" s="3404"/>
      <c r="E71" s="3399"/>
      <c r="G71" s="3399"/>
      <c r="I71" s="3400"/>
      <c r="K71" s="3400"/>
      <c r="M71" s="3445"/>
      <c r="O71" s="3424"/>
      <c r="Q71" s="3407"/>
      <c r="S71" s="3404"/>
    </row>
    <row r="72" spans="1:23">
      <c r="C72" s="3404"/>
      <c r="E72" s="3399"/>
      <c r="G72" s="3397"/>
      <c r="I72" s="3400"/>
      <c r="K72" s="3400"/>
      <c r="M72" s="3446"/>
      <c r="O72" s="3424"/>
      <c r="Q72" s="3397"/>
      <c r="S72" s="3404"/>
    </row>
    <row r="73" spans="1:23">
      <c r="C73" s="3404"/>
      <c r="E73" s="3399"/>
      <c r="G73" s="3398"/>
      <c r="I73" s="3400"/>
      <c r="K73" s="3400"/>
      <c r="M73" s="3192"/>
      <c r="O73" s="3424"/>
      <c r="Q73" s="3447"/>
      <c r="S73" s="3404"/>
    </row>
    <row r="74" spans="1:23">
      <c r="C74" s="3404"/>
      <c r="E74" s="3399"/>
      <c r="G74" s="3399"/>
      <c r="I74" s="3400"/>
      <c r="K74" s="3400"/>
      <c r="M74" s="3445"/>
      <c r="O74" s="3424"/>
      <c r="Q74" s="3407"/>
      <c r="S74" s="3404"/>
      <c r="T74" s="3444"/>
    </row>
    <row r="75" spans="1:23">
      <c r="C75" s="3404"/>
      <c r="E75" s="3399"/>
      <c r="G75" s="3399"/>
      <c r="I75" s="3400"/>
      <c r="K75" s="3400"/>
      <c r="M75" s="3445"/>
      <c r="O75" s="3424"/>
      <c r="Q75" s="3407"/>
      <c r="S75" s="3404"/>
    </row>
    <row r="76" spans="1:23">
      <c r="C76" s="3404"/>
      <c r="E76" s="3399"/>
      <c r="G76" s="3397"/>
      <c r="I76" s="3400"/>
      <c r="K76" s="3400"/>
      <c r="M76" s="3446"/>
      <c r="O76" s="3424"/>
      <c r="Q76" s="3397"/>
      <c r="S76" s="3404"/>
    </row>
    <row r="77" spans="1:23">
      <c r="C77" s="3404"/>
      <c r="E77" s="3399"/>
      <c r="G77" s="3398"/>
      <c r="I77" s="3400"/>
      <c r="K77" s="3400"/>
      <c r="M77" s="3192"/>
      <c r="O77" s="3424"/>
      <c r="Q77" s="3447"/>
      <c r="S77" s="3404"/>
    </row>
    <row r="78" spans="1:23">
      <c r="B78" s="3424"/>
      <c r="C78" s="3448"/>
      <c r="D78" s="3424"/>
      <c r="E78" s="3449"/>
      <c r="F78" s="3424"/>
      <c r="G78" s="3449"/>
      <c r="H78" s="3424"/>
      <c r="I78" s="3450"/>
      <c r="J78" s="3424"/>
      <c r="K78" s="3450"/>
      <c r="L78" s="3424"/>
      <c r="M78" s="3451"/>
      <c r="N78" s="3424"/>
      <c r="O78" s="3424"/>
      <c r="P78" s="3424"/>
      <c r="Q78" s="3452"/>
      <c r="R78" s="3424"/>
      <c r="S78" s="3448"/>
    </row>
    <row r="79" spans="1:23">
      <c r="A79" s="3424"/>
      <c r="B79" s="3424"/>
      <c r="C79" s="3453"/>
      <c r="D79" s="3454"/>
      <c r="E79" s="3455"/>
      <c r="F79" s="3454"/>
      <c r="G79" s="3455"/>
      <c r="H79" s="3454"/>
      <c r="I79" s="3456"/>
      <c r="J79" s="3454"/>
      <c r="K79" s="3456"/>
      <c r="L79" s="3454"/>
      <c r="M79" s="3457"/>
      <c r="N79" s="3454"/>
      <c r="O79" s="3454"/>
      <c r="P79" s="3454"/>
      <c r="Q79" s="3455"/>
      <c r="R79" s="3454"/>
      <c r="S79" s="3453"/>
    </row>
    <row r="80" spans="1:23">
      <c r="A80" s="3454"/>
      <c r="C80" s="3437"/>
      <c r="D80" s="3388"/>
      <c r="E80" s="3437"/>
      <c r="F80" s="3388"/>
      <c r="G80" s="3437"/>
      <c r="H80" s="3388"/>
      <c r="I80" s="3395"/>
      <c r="J80" s="3388"/>
      <c r="K80" s="3395"/>
      <c r="L80" s="3388"/>
      <c r="M80" s="3436"/>
      <c r="N80" s="3388"/>
      <c r="O80" s="3388"/>
      <c r="P80" s="3388"/>
      <c r="Q80" s="3437"/>
      <c r="R80" s="3388"/>
      <c r="S80" s="3437"/>
    </row>
    <row r="81" spans="1:13">
      <c r="A81" s="3388"/>
    </row>
    <row r="82" spans="1:13">
      <c r="C82" s="3412"/>
    </row>
    <row r="83" spans="1:13">
      <c r="C83" s="3441"/>
      <c r="E83" s="3439"/>
      <c r="F83" s="3424"/>
      <c r="G83" s="3439"/>
      <c r="H83" s="3424"/>
      <c r="I83" s="3458"/>
      <c r="J83" s="3424"/>
      <c r="K83" s="3458"/>
      <c r="L83" s="3424"/>
      <c r="M83" s="3459"/>
    </row>
    <row r="84" spans="1:13">
      <c r="E84" s="3417"/>
      <c r="G84" s="3460"/>
    </row>
    <row r="85" spans="1:13">
      <c r="E85" s="3461"/>
      <c r="G85" s="3443"/>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V46"/>
  <sheetViews>
    <sheetView showGridLines="0" zoomScale="70" zoomScaleNormal="70" workbookViewId="0"/>
  </sheetViews>
  <sheetFormatPr defaultColWidth="8.90625" defaultRowHeight="13.2"/>
  <cols>
    <col min="1" max="1" width="3.08984375" style="2959" customWidth="1"/>
    <col min="2" max="2" width="43.90625" style="2959" customWidth="1"/>
    <col min="3" max="3" width="2.08984375" style="2959" customWidth="1"/>
    <col min="4" max="4" width="13.81640625" style="2959" customWidth="1"/>
    <col min="5" max="5" width="2.08984375" style="2959" customWidth="1"/>
    <col min="6" max="6" width="24" style="2959" bestFit="1" customWidth="1"/>
    <col min="7" max="7" width="2.08984375" style="2959" customWidth="1"/>
    <col min="8" max="8" width="20.36328125" style="2959" customWidth="1"/>
    <col min="9" max="9" width="2.08984375" style="2959" customWidth="1"/>
    <col min="10" max="10" width="17.90625" style="2959" bestFit="1" customWidth="1"/>
    <col min="11" max="11" width="2.08984375" style="2959" customWidth="1"/>
    <col min="12" max="12" width="17.90625" style="2959" bestFit="1" customWidth="1"/>
    <col min="13" max="13" width="2.08984375" style="2959" customWidth="1"/>
    <col min="14" max="14" width="19.90625" style="2959" bestFit="1" customWidth="1"/>
    <col min="15" max="15" width="2.08984375" style="2959" customWidth="1"/>
    <col min="16" max="16" width="18.453125" style="2959" bestFit="1" customWidth="1"/>
    <col min="17" max="17" width="2.08984375" style="2959" customWidth="1"/>
    <col min="18" max="18" width="19.6328125" style="2959" customWidth="1"/>
    <col min="19" max="19" width="2.08984375" style="2959" customWidth="1"/>
    <col min="20" max="20" width="19.90625" style="2959" bestFit="1" customWidth="1"/>
    <col min="21" max="21" width="2.08984375" style="2959" customWidth="1"/>
    <col min="22" max="22" width="20.90625" style="2959" bestFit="1" customWidth="1"/>
    <col min="23" max="16384" width="8.90625" style="2959"/>
  </cols>
  <sheetData>
    <row r="1" spans="1:22" ht="15">
      <c r="B1" s="1124" t="s">
        <v>1066</v>
      </c>
    </row>
    <row r="2" spans="1:22" ht="16.2">
      <c r="B2" s="1322"/>
      <c r="C2" s="1322"/>
      <c r="D2" s="1322"/>
      <c r="E2" s="1322"/>
      <c r="F2" s="1322"/>
      <c r="G2" s="1322"/>
      <c r="H2" s="1322"/>
      <c r="I2" s="1322"/>
      <c r="J2" s="1322"/>
      <c r="K2" s="1322"/>
      <c r="L2" s="1322"/>
      <c r="M2" s="1322"/>
      <c r="N2" s="1322"/>
      <c r="O2" s="1322"/>
      <c r="P2" s="1322"/>
      <c r="Q2" s="1322"/>
      <c r="R2" s="1322"/>
      <c r="S2" s="1322"/>
      <c r="T2" s="1322"/>
      <c r="U2" s="1322"/>
      <c r="V2" s="1322"/>
    </row>
    <row r="3" spans="1:22" ht="17.399999999999999">
      <c r="A3" s="2960"/>
      <c r="B3" s="1108" t="s">
        <v>0</v>
      </c>
      <c r="C3" s="1323"/>
      <c r="D3" s="1323"/>
      <c r="E3" s="1323"/>
      <c r="F3" s="1322"/>
      <c r="G3" s="1322"/>
      <c r="H3" s="1322"/>
      <c r="I3" s="1322"/>
      <c r="J3" s="1322"/>
      <c r="K3" s="1322"/>
      <c r="L3" s="1322"/>
      <c r="M3" s="1322"/>
      <c r="N3" s="1322"/>
      <c r="O3" s="1322"/>
      <c r="P3" s="1322"/>
      <c r="Q3" s="1322"/>
      <c r="R3" s="1322"/>
      <c r="S3" s="1322"/>
      <c r="T3" s="1322"/>
      <c r="U3" s="1322"/>
      <c r="V3" s="1501" t="s">
        <v>430</v>
      </c>
    </row>
    <row r="4" spans="1:22" ht="17.399999999999999">
      <c r="A4" s="2960"/>
      <c r="B4" s="1108" t="s">
        <v>431</v>
      </c>
      <c r="C4" s="1323"/>
      <c r="D4" s="1323"/>
      <c r="E4" s="1323"/>
      <c r="F4" s="1322"/>
      <c r="G4" s="1322"/>
      <c r="H4" s="1322"/>
      <c r="I4" s="1322"/>
      <c r="J4" s="1322"/>
      <c r="K4" s="1322"/>
      <c r="L4" s="1322"/>
      <c r="M4" s="1322"/>
      <c r="N4" s="1322"/>
      <c r="O4" s="1322"/>
      <c r="P4" s="1322"/>
      <c r="Q4" s="1322"/>
      <c r="R4" s="1322"/>
      <c r="S4" s="1322"/>
      <c r="T4" s="1322"/>
      <c r="U4" s="1322"/>
      <c r="V4" s="1441"/>
    </row>
    <row r="5" spans="1:22" ht="17.399999999999999">
      <c r="A5" s="2960"/>
      <c r="B5" s="1108" t="s">
        <v>432</v>
      </c>
      <c r="C5" s="1323"/>
      <c r="D5" s="1323"/>
      <c r="E5" s="1323"/>
      <c r="F5" s="1322"/>
      <c r="G5" s="1322"/>
      <c r="H5" s="1322"/>
      <c r="I5" s="1322"/>
      <c r="J5" s="1322"/>
      <c r="K5" s="1322"/>
      <c r="L5" s="1322"/>
      <c r="M5" s="1322"/>
      <c r="N5" s="1322"/>
      <c r="O5" s="1322"/>
      <c r="P5" s="1322"/>
      <c r="Q5" s="1322"/>
      <c r="R5" s="1322"/>
      <c r="S5" s="1322"/>
      <c r="T5" s="1322"/>
      <c r="U5" s="1322"/>
      <c r="V5" s="1322"/>
    </row>
    <row r="6" spans="1:22" ht="17.399999999999999">
      <c r="A6" s="2960"/>
      <c r="B6" s="1498" t="s">
        <v>1564</v>
      </c>
      <c r="C6" s="1442"/>
      <c r="D6" s="1323"/>
      <c r="E6" s="1323"/>
      <c r="F6" s="1322"/>
      <c r="G6" s="1322"/>
      <c r="H6" s="1322"/>
      <c r="I6" s="1322"/>
      <c r="J6" s="1322"/>
      <c r="K6" s="1322"/>
      <c r="L6" s="1322"/>
      <c r="M6" s="1322"/>
      <c r="N6" s="1322"/>
      <c r="O6" s="1322"/>
      <c r="P6" s="1322"/>
      <c r="Q6" s="1322"/>
      <c r="R6" s="1322"/>
      <c r="S6" s="1322"/>
      <c r="T6" s="1322"/>
      <c r="U6" s="1322"/>
      <c r="V6" s="1322"/>
    </row>
    <row r="7" spans="1:22" ht="16.2">
      <c r="A7" s="2960"/>
      <c r="B7" s="1324"/>
      <c r="C7" s="1324"/>
      <c r="D7" s="1323"/>
      <c r="E7" s="1323"/>
      <c r="F7" s="1322"/>
      <c r="G7" s="1322"/>
      <c r="H7" s="1322"/>
      <c r="I7" s="1322"/>
      <c r="J7" s="1322"/>
      <c r="K7" s="1322"/>
      <c r="L7" s="1322"/>
      <c r="M7" s="1322"/>
      <c r="N7" s="1322"/>
      <c r="O7" s="1322"/>
      <c r="P7" s="1322"/>
      <c r="Q7" s="1322"/>
      <c r="R7" s="1322"/>
      <c r="S7" s="1322"/>
      <c r="T7" s="1322"/>
      <c r="U7" s="1322"/>
      <c r="V7" s="1322"/>
    </row>
    <row r="8" spans="1:22" ht="16.2">
      <c r="B8" s="1443"/>
      <c r="C8" s="1443"/>
      <c r="D8" s="1322"/>
      <c r="E8" s="1322"/>
      <c r="F8" s="1322"/>
      <c r="G8" s="1322"/>
      <c r="H8" s="1322"/>
      <c r="I8" s="1322"/>
      <c r="J8" s="1322"/>
      <c r="K8" s="1322"/>
      <c r="L8" s="1322"/>
      <c r="M8" s="1322"/>
      <c r="N8" s="1322"/>
      <c r="O8" s="1322"/>
      <c r="P8" s="1322"/>
      <c r="Q8" s="1322"/>
      <c r="R8" s="1322"/>
      <c r="S8" s="1322"/>
      <c r="T8" s="1322"/>
      <c r="U8" s="1322"/>
      <c r="V8" s="1322"/>
    </row>
    <row r="9" spans="1:22" ht="16.2">
      <c r="B9" s="1322"/>
      <c r="C9" s="1322"/>
      <c r="E9" s="1444"/>
      <c r="F9" s="1444"/>
      <c r="G9" s="1444"/>
      <c r="H9" s="1444"/>
      <c r="I9" s="1444"/>
      <c r="J9" s="1444" t="s">
        <v>433</v>
      </c>
      <c r="K9" s="1444"/>
      <c r="L9" s="1444"/>
      <c r="M9" s="1444"/>
      <c r="N9" s="1444"/>
      <c r="O9" s="1444"/>
      <c r="P9" s="1444"/>
      <c r="Q9" s="1444"/>
      <c r="R9" s="1322"/>
      <c r="S9" s="1322"/>
      <c r="T9" s="1322"/>
      <c r="U9" s="1322"/>
      <c r="V9" s="1322"/>
    </row>
    <row r="10" spans="1:22" ht="16.2">
      <c r="B10" s="1322"/>
      <c r="C10" s="1322"/>
      <c r="D10" s="1444" t="s">
        <v>124</v>
      </c>
      <c r="E10" s="1325"/>
      <c r="F10" s="1325" t="s">
        <v>106</v>
      </c>
      <c r="G10" s="1325"/>
      <c r="H10" s="1325" t="s">
        <v>435</v>
      </c>
      <c r="I10" s="1325"/>
      <c r="J10" s="1325" t="s">
        <v>436</v>
      </c>
      <c r="K10" s="1325"/>
      <c r="L10" s="1325" t="s">
        <v>437</v>
      </c>
      <c r="M10" s="1325"/>
      <c r="N10" s="1325" t="s">
        <v>10</v>
      </c>
      <c r="O10" s="1325"/>
      <c r="P10" s="1325" t="s">
        <v>977</v>
      </c>
      <c r="Q10" s="1325"/>
      <c r="R10" s="1322"/>
      <c r="S10" s="1322"/>
      <c r="T10" s="1322"/>
      <c r="U10" s="1322"/>
      <c r="V10" s="1322"/>
    </row>
    <row r="11" spans="1:22" ht="16.2">
      <c r="B11" s="1322"/>
      <c r="C11" s="1322"/>
      <c r="D11" s="1325" t="s">
        <v>434</v>
      </c>
      <c r="E11" s="1325"/>
      <c r="F11" s="1325" t="s">
        <v>124</v>
      </c>
      <c r="G11" s="1325"/>
      <c r="H11" s="1325" t="s">
        <v>439</v>
      </c>
      <c r="I11" s="1325"/>
      <c r="J11" s="1325" t="s">
        <v>440</v>
      </c>
      <c r="K11" s="1325"/>
      <c r="L11" s="1325" t="s">
        <v>441</v>
      </c>
      <c r="M11" s="1325"/>
      <c r="N11" s="1326" t="s">
        <v>442</v>
      </c>
      <c r="O11" s="1325"/>
      <c r="P11" s="1325" t="s">
        <v>978</v>
      </c>
      <c r="Q11" s="1325"/>
      <c r="R11" s="1445" t="s">
        <v>443</v>
      </c>
      <c r="S11" s="1445"/>
      <c r="T11" s="1445"/>
      <c r="U11" s="1445"/>
      <c r="V11" s="1322"/>
    </row>
    <row r="12" spans="1:22" ht="16.2">
      <c r="B12" s="1322"/>
      <c r="C12" s="1322"/>
      <c r="D12" s="1325" t="s">
        <v>438</v>
      </c>
      <c r="E12" s="1325"/>
      <c r="F12" s="1325" t="s">
        <v>11</v>
      </c>
      <c r="G12" s="1325"/>
      <c r="H12" s="1325" t="s">
        <v>444</v>
      </c>
      <c r="I12" s="1325"/>
      <c r="J12" s="1325" t="s">
        <v>445</v>
      </c>
      <c r="K12" s="1325"/>
      <c r="L12" s="1325" t="s">
        <v>446</v>
      </c>
      <c r="M12" s="1325"/>
      <c r="N12" s="1326" t="s">
        <v>445</v>
      </c>
      <c r="O12" s="1326"/>
      <c r="P12" s="1325" t="s">
        <v>445</v>
      </c>
      <c r="Q12" s="1325"/>
      <c r="R12" s="1328" t="s">
        <v>1563</v>
      </c>
      <c r="S12" s="1328"/>
      <c r="T12" s="1328"/>
      <c r="U12" s="1327"/>
      <c r="V12" s="1444" t="s">
        <v>979</v>
      </c>
    </row>
    <row r="13" spans="1:22" ht="16.2">
      <c r="A13" s="2961"/>
      <c r="B13" s="1329" t="s">
        <v>454</v>
      </c>
      <c r="C13" s="1334"/>
      <c r="D13" s="1330" t="s">
        <v>447</v>
      </c>
      <c r="E13" s="1340"/>
      <c r="F13" s="1330" t="s">
        <v>448</v>
      </c>
      <c r="G13" s="1340"/>
      <c r="H13" s="1331" t="s">
        <v>449</v>
      </c>
      <c r="I13" s="1340"/>
      <c r="J13" s="1331" t="s">
        <v>450</v>
      </c>
      <c r="K13" s="1340"/>
      <c r="L13" s="1331" t="s">
        <v>451</v>
      </c>
      <c r="M13" s="1340"/>
      <c r="N13" s="1332" t="s">
        <v>452</v>
      </c>
      <c r="O13" s="1340"/>
      <c r="P13" s="1332" t="s">
        <v>980</v>
      </c>
      <c r="Q13" s="1340"/>
      <c r="R13" s="2962">
        <v>2018</v>
      </c>
      <c r="S13" s="2962"/>
      <c r="T13" s="2962">
        <v>2017</v>
      </c>
      <c r="U13" s="1340"/>
      <c r="V13" s="1333" t="s">
        <v>453</v>
      </c>
    </row>
    <row r="14" spans="1:22" ht="16.2">
      <c r="B14" s="1334" t="s">
        <v>455</v>
      </c>
      <c r="C14" s="1334"/>
      <c r="D14" s="1446"/>
      <c r="E14" s="1446"/>
      <c r="F14" s="1447"/>
      <c r="G14" s="1447"/>
      <c r="H14" s="1448"/>
      <c r="I14" s="1448"/>
      <c r="J14" s="1448"/>
      <c r="K14" s="1448"/>
      <c r="L14" s="1448"/>
      <c r="M14" s="1448"/>
      <c r="N14" s="1446"/>
      <c r="O14" s="1446"/>
      <c r="P14" s="1446"/>
      <c r="Q14" s="1446"/>
      <c r="R14" s="1448"/>
      <c r="S14" s="1448"/>
      <c r="T14" s="1449"/>
      <c r="U14" s="1449"/>
      <c r="V14" s="1450"/>
    </row>
    <row r="15" spans="1:22" ht="16.2">
      <c r="A15" s="2963"/>
      <c r="B15" s="1443" t="s">
        <v>456</v>
      </c>
      <c r="C15" s="1443"/>
      <c r="D15" s="1341">
        <v>0</v>
      </c>
      <c r="E15" s="1341"/>
      <c r="F15" s="1341">
        <v>154931151</v>
      </c>
      <c r="G15" s="1335"/>
      <c r="H15" s="1341">
        <v>0</v>
      </c>
      <c r="I15" s="1335"/>
      <c r="J15" s="1341">
        <v>0</v>
      </c>
      <c r="K15" s="1335"/>
      <c r="L15" s="1341">
        <v>0</v>
      </c>
      <c r="M15" s="1335"/>
      <c r="N15" s="1341">
        <v>0</v>
      </c>
      <c r="O15" s="1335"/>
      <c r="P15" s="1341">
        <v>0</v>
      </c>
      <c r="Q15" s="1335"/>
      <c r="R15" s="1341">
        <f>ROUND(SUM(D15:Q15),0)</f>
        <v>154931151</v>
      </c>
      <c r="S15" s="1341"/>
      <c r="T15" s="2659">
        <v>161996462</v>
      </c>
      <c r="U15" s="1335"/>
      <c r="V15" s="1451">
        <f>ROUND(R15-T15,0)</f>
        <v>-7065311</v>
      </c>
    </row>
    <row r="16" spans="1:22" ht="16.2">
      <c r="A16" s="2963"/>
      <c r="B16" s="1322" t="s">
        <v>457</v>
      </c>
      <c r="C16" s="1322"/>
      <c r="D16" s="1336"/>
      <c r="E16" s="1336"/>
      <c r="F16" s="1336"/>
      <c r="G16" s="1336"/>
      <c r="H16" s="1336"/>
      <c r="I16" s="1336"/>
      <c r="J16" s="1336"/>
      <c r="K16" s="1335"/>
      <c r="L16" s="1336"/>
      <c r="M16" s="1337"/>
      <c r="N16" s="1336"/>
      <c r="O16" s="1337"/>
      <c r="P16" s="1336"/>
      <c r="Q16" s="1337"/>
      <c r="R16" s="1337"/>
      <c r="S16" s="1337"/>
      <c r="T16" s="2660"/>
      <c r="U16" s="1337"/>
      <c r="V16" s="1452"/>
    </row>
    <row r="17" spans="1:22" ht="16.2">
      <c r="A17" s="2963"/>
      <c r="B17" s="1322" t="s">
        <v>1355</v>
      </c>
      <c r="C17" s="1322"/>
      <c r="D17" s="1336">
        <v>0</v>
      </c>
      <c r="E17" s="1336"/>
      <c r="F17" s="1336">
        <v>82311625</v>
      </c>
      <c r="G17" s="1336"/>
      <c r="H17" s="1336">
        <v>0</v>
      </c>
      <c r="I17" s="1336"/>
      <c r="J17" s="1336">
        <v>0</v>
      </c>
      <c r="K17" s="1336"/>
      <c r="L17" s="1336">
        <v>0</v>
      </c>
      <c r="M17" s="1336"/>
      <c r="N17" s="1336">
        <v>0</v>
      </c>
      <c r="O17" s="1336"/>
      <c r="P17" s="1336">
        <v>0</v>
      </c>
      <c r="Q17" s="1336">
        <v>0</v>
      </c>
      <c r="R17" s="1337">
        <f t="shared" ref="R17:R26" si="0">ROUND(SUM(D17:Q17),0)</f>
        <v>82311625</v>
      </c>
      <c r="S17" s="1337"/>
      <c r="T17" s="2660">
        <v>0</v>
      </c>
      <c r="U17" s="1338"/>
      <c r="V17" s="1338">
        <f t="shared" ref="V17:V26" si="1">SUM(R17-T17,0)</f>
        <v>82311625</v>
      </c>
    </row>
    <row r="18" spans="1:22" ht="16.2">
      <c r="A18" s="2963"/>
      <c r="B18" s="1322" t="s">
        <v>1356</v>
      </c>
      <c r="C18" s="1322"/>
      <c r="D18" s="1336">
        <v>0</v>
      </c>
      <c r="E18" s="1336"/>
      <c r="F18" s="1336">
        <v>0</v>
      </c>
      <c r="G18" s="1336"/>
      <c r="H18" s="1336">
        <v>0</v>
      </c>
      <c r="I18" s="1336"/>
      <c r="J18" s="1336">
        <v>0</v>
      </c>
      <c r="K18" s="1336"/>
      <c r="L18" s="1336">
        <v>0</v>
      </c>
      <c r="M18" s="1336"/>
      <c r="N18" s="1336">
        <v>420643117</v>
      </c>
      <c r="O18" s="1336"/>
      <c r="P18" s="1336">
        <v>122929197</v>
      </c>
      <c r="Q18" s="1336">
        <v>0</v>
      </c>
      <c r="R18" s="1337">
        <f t="shared" si="0"/>
        <v>543572314</v>
      </c>
      <c r="S18" s="1337"/>
      <c r="T18" s="2660">
        <v>539924485</v>
      </c>
      <c r="U18" s="1338"/>
      <c r="V18" s="1338">
        <f t="shared" si="1"/>
        <v>3647829</v>
      </c>
    </row>
    <row r="19" spans="1:22" ht="16.2">
      <c r="A19" s="2963"/>
      <c r="B19" s="1322" t="s">
        <v>458</v>
      </c>
      <c r="C19" s="1322"/>
      <c r="D19" s="1336">
        <v>0</v>
      </c>
      <c r="E19" s="1336"/>
      <c r="F19" s="1336">
        <v>0</v>
      </c>
      <c r="G19" s="1336"/>
      <c r="H19" s="1336">
        <v>26545203</v>
      </c>
      <c r="I19" s="1336"/>
      <c r="J19" s="1336">
        <v>0</v>
      </c>
      <c r="K19" s="1336"/>
      <c r="L19" s="1336">
        <v>0</v>
      </c>
      <c r="M19" s="1336"/>
      <c r="N19" s="1336">
        <v>0</v>
      </c>
      <c r="O19" s="1336"/>
      <c r="P19" s="1336">
        <v>0</v>
      </c>
      <c r="Q19" s="1336">
        <v>0</v>
      </c>
      <c r="R19" s="1337">
        <f>ROUND(SUM(D19:Q19),0)</f>
        <v>26545203</v>
      </c>
      <c r="S19" s="1337"/>
      <c r="T19" s="2660">
        <v>25572497</v>
      </c>
      <c r="U19" s="1338"/>
      <c r="V19" s="1338">
        <f t="shared" si="1"/>
        <v>972706</v>
      </c>
    </row>
    <row r="20" spans="1:22" ht="16.2">
      <c r="A20" s="2963"/>
      <c r="B20" s="1322" t="s">
        <v>1092</v>
      </c>
      <c r="C20" s="1322"/>
      <c r="D20" s="1336">
        <v>0</v>
      </c>
      <c r="E20" s="1336"/>
      <c r="F20" s="1336">
        <v>0</v>
      </c>
      <c r="G20" s="1336"/>
      <c r="H20" s="1336">
        <v>0</v>
      </c>
      <c r="I20" s="1336"/>
      <c r="J20" s="1336">
        <v>0</v>
      </c>
      <c r="K20" s="1336"/>
      <c r="L20" s="1336">
        <v>64072185</v>
      </c>
      <c r="M20" s="1336"/>
      <c r="N20" s="1336">
        <v>0</v>
      </c>
      <c r="O20" s="1336"/>
      <c r="P20" s="1336">
        <v>0</v>
      </c>
      <c r="Q20" s="1336">
        <v>0</v>
      </c>
      <c r="R20" s="1337">
        <f t="shared" si="0"/>
        <v>64072185</v>
      </c>
      <c r="S20" s="1337"/>
      <c r="T20" s="2660">
        <v>69181688</v>
      </c>
      <c r="U20" s="1339"/>
      <c r="V20" s="1338">
        <f t="shared" si="1"/>
        <v>-5109503</v>
      </c>
    </row>
    <row r="21" spans="1:22" ht="16.2">
      <c r="A21" s="2963"/>
      <c r="B21" s="1322" t="s">
        <v>921</v>
      </c>
      <c r="C21" s="1322"/>
      <c r="D21" s="1336">
        <v>0</v>
      </c>
      <c r="E21" s="1336"/>
      <c r="F21" s="1336">
        <v>8955500</v>
      </c>
      <c r="G21" s="1336"/>
      <c r="H21" s="1336">
        <v>0</v>
      </c>
      <c r="I21" s="1336"/>
      <c r="J21" s="1336">
        <v>0</v>
      </c>
      <c r="K21" s="1336"/>
      <c r="L21" s="1336">
        <v>0</v>
      </c>
      <c r="M21" s="1336"/>
      <c r="N21" s="1336">
        <v>0</v>
      </c>
      <c r="O21" s="1336"/>
      <c r="P21" s="1336">
        <v>0</v>
      </c>
      <c r="Q21" s="1336">
        <v>0</v>
      </c>
      <c r="R21" s="1337">
        <f t="shared" si="0"/>
        <v>8955500</v>
      </c>
      <c r="S21" s="1337"/>
      <c r="T21" s="2660">
        <v>1616683</v>
      </c>
      <c r="U21" s="1339"/>
      <c r="V21" s="1338">
        <f t="shared" si="1"/>
        <v>7338817</v>
      </c>
    </row>
    <row r="22" spans="1:22" ht="16.2">
      <c r="A22" s="2963"/>
      <c r="B22" s="1322" t="s">
        <v>1357</v>
      </c>
      <c r="C22" s="1322"/>
      <c r="D22" s="1336">
        <v>0</v>
      </c>
      <c r="E22" s="1336"/>
      <c r="F22" s="1336">
        <v>2904962</v>
      </c>
      <c r="G22" s="1336"/>
      <c r="H22" s="1336">
        <v>0</v>
      </c>
      <c r="I22" s="1336"/>
      <c r="J22" s="1336">
        <v>0</v>
      </c>
      <c r="K22" s="1336"/>
      <c r="L22" s="1336">
        <v>0</v>
      </c>
      <c r="M22" s="1336"/>
      <c r="N22" s="1336">
        <v>0</v>
      </c>
      <c r="O22" s="1336"/>
      <c r="P22" s="1336">
        <v>0</v>
      </c>
      <c r="Q22" s="1336">
        <v>0</v>
      </c>
      <c r="R22" s="1337">
        <f t="shared" si="0"/>
        <v>2904962</v>
      </c>
      <c r="S22" s="1337"/>
      <c r="T22" s="2660">
        <v>0</v>
      </c>
      <c r="U22" s="1338"/>
      <c r="V22" s="1338">
        <f t="shared" si="1"/>
        <v>2904962</v>
      </c>
    </row>
    <row r="23" spans="1:22" ht="16.2">
      <c r="A23" s="2963"/>
      <c r="B23" s="1322" t="s">
        <v>1358</v>
      </c>
      <c r="C23" s="1322"/>
      <c r="D23" s="1336">
        <v>0</v>
      </c>
      <c r="E23" s="1336"/>
      <c r="F23" s="1336">
        <v>0</v>
      </c>
      <c r="G23" s="1336"/>
      <c r="H23" s="1336">
        <v>0</v>
      </c>
      <c r="I23" s="1336"/>
      <c r="J23" s="1336">
        <v>0</v>
      </c>
      <c r="K23" s="1336"/>
      <c r="L23" s="1336">
        <v>0</v>
      </c>
      <c r="M23" s="1336"/>
      <c r="N23" s="1336">
        <v>0</v>
      </c>
      <c r="O23" s="1336"/>
      <c r="P23" s="1336">
        <v>0</v>
      </c>
      <c r="Q23" s="1336">
        <v>0</v>
      </c>
      <c r="R23" s="1337">
        <f t="shared" si="0"/>
        <v>0</v>
      </c>
      <c r="S23" s="1337"/>
      <c r="T23" s="2660">
        <v>0</v>
      </c>
      <c r="U23" s="1338"/>
      <c r="V23" s="1338">
        <f t="shared" si="1"/>
        <v>0</v>
      </c>
    </row>
    <row r="24" spans="1:22" ht="16.2">
      <c r="A24" s="2963"/>
      <c r="B24" s="1322" t="s">
        <v>459</v>
      </c>
      <c r="C24" s="1322"/>
      <c r="D24" s="1336">
        <v>0</v>
      </c>
      <c r="E24" s="1336"/>
      <c r="F24" s="1336">
        <v>0</v>
      </c>
      <c r="G24" s="1336"/>
      <c r="H24" s="1336">
        <v>0</v>
      </c>
      <c r="I24" s="1336"/>
      <c r="J24" s="1336">
        <v>0</v>
      </c>
      <c r="K24" s="1336"/>
      <c r="L24" s="1336">
        <v>0</v>
      </c>
      <c r="M24" s="1336"/>
      <c r="N24" s="1336">
        <v>29021087</v>
      </c>
      <c r="O24" s="1336"/>
      <c r="P24" s="1336">
        <v>0</v>
      </c>
      <c r="Q24" s="1336">
        <v>0</v>
      </c>
      <c r="R24" s="1337">
        <f t="shared" si="0"/>
        <v>29021087</v>
      </c>
      <c r="S24" s="1337"/>
      <c r="T24" s="2660">
        <v>53993762</v>
      </c>
      <c r="U24" s="1338"/>
      <c r="V24" s="1338">
        <f t="shared" si="1"/>
        <v>-24972675</v>
      </c>
    </row>
    <row r="25" spans="1:22" ht="16.2">
      <c r="A25" s="2963"/>
      <c r="B25" s="1322" t="s">
        <v>460</v>
      </c>
      <c r="C25" s="1322"/>
      <c r="D25" s="1336">
        <v>0</v>
      </c>
      <c r="E25" s="1336"/>
      <c r="F25" s="1336">
        <v>26284646</v>
      </c>
      <c r="G25" s="1336"/>
      <c r="H25" s="1336">
        <v>0</v>
      </c>
      <c r="I25" s="1336"/>
      <c r="J25" s="1336">
        <v>0</v>
      </c>
      <c r="K25" s="1336"/>
      <c r="L25" s="1336">
        <v>0</v>
      </c>
      <c r="M25" s="1336"/>
      <c r="N25" s="1336">
        <v>7228211</v>
      </c>
      <c r="O25" s="1336"/>
      <c r="P25" s="1336">
        <v>0</v>
      </c>
      <c r="Q25" s="1336">
        <v>0</v>
      </c>
      <c r="R25" s="1337">
        <f t="shared" si="0"/>
        <v>33512857</v>
      </c>
      <c r="S25" s="1337"/>
      <c r="T25" s="2660">
        <v>29301510</v>
      </c>
      <c r="U25" s="1338"/>
      <c r="V25" s="1338">
        <f t="shared" si="1"/>
        <v>4211347</v>
      </c>
    </row>
    <row r="26" spans="1:22" ht="16.2">
      <c r="A26" s="2963"/>
      <c r="B26" s="1322" t="s">
        <v>1359</v>
      </c>
      <c r="C26" s="1322"/>
      <c r="D26" s="1336">
        <v>0</v>
      </c>
      <c r="E26" s="1336"/>
      <c r="F26" s="1336">
        <v>0</v>
      </c>
      <c r="G26" s="1336"/>
      <c r="H26" s="1336">
        <v>0</v>
      </c>
      <c r="I26" s="1336"/>
      <c r="J26" s="1336">
        <v>50973706</v>
      </c>
      <c r="K26" s="1336"/>
      <c r="L26" s="1336">
        <v>0</v>
      </c>
      <c r="M26" s="1336"/>
      <c r="N26" s="1336">
        <v>0</v>
      </c>
      <c r="O26" s="1336"/>
      <c r="P26" s="1336">
        <v>0</v>
      </c>
      <c r="Q26" s="1336">
        <v>0</v>
      </c>
      <c r="R26" s="1337">
        <f t="shared" si="0"/>
        <v>50973706</v>
      </c>
      <c r="S26" s="1337"/>
      <c r="T26" s="2660">
        <v>39130075</v>
      </c>
      <c r="U26" s="1338"/>
      <c r="V26" s="1338">
        <f t="shared" si="1"/>
        <v>11843631</v>
      </c>
    </row>
    <row r="27" spans="1:22" ht="16.2">
      <c r="A27" s="2963"/>
      <c r="B27" s="1322" t="s">
        <v>461</v>
      </c>
      <c r="C27" s="1322"/>
      <c r="D27" s="1453"/>
      <c r="E27" s="1453"/>
      <c r="F27" s="1453"/>
      <c r="G27" s="1453"/>
      <c r="H27" s="1453"/>
      <c r="I27" s="1453"/>
      <c r="J27" s="1453"/>
      <c r="K27" s="1453"/>
      <c r="L27" s="1453"/>
      <c r="M27" s="1453"/>
      <c r="N27" s="1453"/>
      <c r="O27" s="1453"/>
      <c r="P27" s="1453"/>
      <c r="Q27" s="1453"/>
      <c r="R27" s="1337"/>
      <c r="S27" s="1337"/>
      <c r="T27" s="2660"/>
      <c r="U27" s="1338"/>
      <c r="V27" s="1337"/>
    </row>
    <row r="28" spans="1:22" ht="16.2">
      <c r="A28" s="2963"/>
      <c r="B28" s="1322" t="s">
        <v>462</v>
      </c>
      <c r="C28" s="1322"/>
      <c r="D28" s="1336">
        <v>0</v>
      </c>
      <c r="E28" s="1336"/>
      <c r="F28" s="1336">
        <v>77489250</v>
      </c>
      <c r="G28" s="1336"/>
      <c r="H28" s="1336">
        <v>0</v>
      </c>
      <c r="I28" s="1336"/>
      <c r="J28" s="1336">
        <v>0</v>
      </c>
      <c r="K28" s="1336"/>
      <c r="L28" s="1336">
        <v>0</v>
      </c>
      <c r="M28" s="1336"/>
      <c r="N28" s="1336">
        <v>0</v>
      </c>
      <c r="O28" s="1336"/>
      <c r="P28" s="1336">
        <v>0</v>
      </c>
      <c r="Q28" s="1336">
        <v>0</v>
      </c>
      <c r="R28" s="1337">
        <f>ROUND(SUM(D28:Q28),0)</f>
        <v>77489250</v>
      </c>
      <c r="S28" s="1337"/>
      <c r="T28" s="2660">
        <v>84088774</v>
      </c>
      <c r="U28" s="1338"/>
      <c r="V28" s="1338">
        <f>SUM(R28-T28,0)</f>
        <v>-6599524</v>
      </c>
    </row>
    <row r="29" spans="1:22" ht="16.2">
      <c r="A29" s="2963"/>
      <c r="B29" s="1322" t="s">
        <v>1038</v>
      </c>
      <c r="C29" s="1322"/>
      <c r="D29" s="1336"/>
      <c r="E29" s="1336"/>
      <c r="F29" s="1336"/>
      <c r="G29" s="1337"/>
      <c r="H29" s="1336"/>
      <c r="I29" s="1336"/>
      <c r="J29" s="1336"/>
      <c r="K29" s="1337"/>
      <c r="L29" s="1336"/>
      <c r="M29" s="1337"/>
      <c r="N29" s="1336"/>
      <c r="O29" s="1337"/>
      <c r="P29" s="1336"/>
      <c r="Q29" s="1337"/>
      <c r="R29" s="1337"/>
      <c r="S29" s="1337"/>
      <c r="T29" s="2660"/>
      <c r="U29" s="1338"/>
      <c r="V29" s="1337"/>
    </row>
    <row r="30" spans="1:22" ht="16.2">
      <c r="A30" s="2963"/>
      <c r="B30" s="1322" t="s">
        <v>1037</v>
      </c>
      <c r="C30" s="1322"/>
      <c r="D30" s="1336">
        <v>0</v>
      </c>
      <c r="E30" s="1336"/>
      <c r="F30" s="1336">
        <v>240886203</v>
      </c>
      <c r="G30" s="1337"/>
      <c r="H30" s="1336">
        <v>0</v>
      </c>
      <c r="I30" s="1336"/>
      <c r="J30" s="1336">
        <v>0</v>
      </c>
      <c r="K30" s="1337"/>
      <c r="L30" s="1336">
        <v>0</v>
      </c>
      <c r="M30" s="1337"/>
      <c r="N30" s="1336">
        <v>0</v>
      </c>
      <c r="O30" s="1337"/>
      <c r="P30" s="1336">
        <v>0</v>
      </c>
      <c r="Q30" s="1337"/>
      <c r="R30" s="1337">
        <f>ROUND(SUM(D30:Q30),0)</f>
        <v>240886203</v>
      </c>
      <c r="S30" s="1337"/>
      <c r="T30" s="2660">
        <v>239787633</v>
      </c>
      <c r="U30" s="1338"/>
      <c r="V30" s="1338">
        <f t="shared" ref="V30:V43" si="2">SUM(R30-T30,0)</f>
        <v>1098570</v>
      </c>
    </row>
    <row r="31" spans="1:22" ht="16.2">
      <c r="A31" s="2963"/>
      <c r="B31" s="1322" t="s">
        <v>1036</v>
      </c>
      <c r="C31" s="1322"/>
      <c r="D31" s="1336">
        <v>0</v>
      </c>
      <c r="E31" s="1336"/>
      <c r="F31" s="1336">
        <v>53845175</v>
      </c>
      <c r="G31" s="1336"/>
      <c r="H31" s="1336">
        <v>0</v>
      </c>
      <c r="I31" s="1336"/>
      <c r="J31" s="1336">
        <v>0</v>
      </c>
      <c r="K31" s="1336"/>
      <c r="L31" s="1336">
        <v>0</v>
      </c>
      <c r="M31" s="1336"/>
      <c r="N31" s="1336">
        <v>0</v>
      </c>
      <c r="O31" s="1336"/>
      <c r="P31" s="1336">
        <v>0</v>
      </c>
      <c r="Q31" s="1336">
        <v>0</v>
      </c>
      <c r="R31" s="1337">
        <f>ROUND(SUM(D31:Q31),0)</f>
        <v>53845175</v>
      </c>
      <c r="S31" s="1337"/>
      <c r="T31" s="2660">
        <v>64908450</v>
      </c>
      <c r="U31" s="1338"/>
      <c r="V31" s="1338">
        <f t="shared" si="2"/>
        <v>-11063275</v>
      </c>
    </row>
    <row r="32" spans="1:22" ht="16.2">
      <c r="A32" s="2963"/>
      <c r="B32" s="1322" t="s">
        <v>981</v>
      </c>
      <c r="C32" s="1322"/>
      <c r="D32" s="1336">
        <v>0</v>
      </c>
      <c r="E32" s="1336"/>
      <c r="F32" s="1336">
        <v>0</v>
      </c>
      <c r="G32" s="1336"/>
      <c r="H32" s="1336">
        <v>0</v>
      </c>
      <c r="I32" s="1336"/>
      <c r="J32" s="1336">
        <v>0</v>
      </c>
      <c r="K32" s="1336"/>
      <c r="L32" s="1336">
        <v>0</v>
      </c>
      <c r="M32" s="1336"/>
      <c r="N32" s="1336">
        <v>33752675</v>
      </c>
      <c r="O32" s="1336"/>
      <c r="P32" s="1336">
        <v>0</v>
      </c>
      <c r="Q32" s="1336">
        <v>0</v>
      </c>
      <c r="R32" s="1337">
        <f>ROUND(SUM(D32:Q32),0)</f>
        <v>33752675</v>
      </c>
      <c r="S32" s="1337"/>
      <c r="T32" s="2660">
        <v>46208075</v>
      </c>
      <c r="U32" s="1338"/>
      <c r="V32" s="1338">
        <f t="shared" si="2"/>
        <v>-12455400</v>
      </c>
    </row>
    <row r="33" spans="1:22" ht="16.2">
      <c r="A33" s="2963"/>
      <c r="B33" s="1322" t="s">
        <v>463</v>
      </c>
      <c r="C33" s="1322"/>
      <c r="D33" s="1336"/>
      <c r="E33" s="1336"/>
      <c r="F33" s="1336"/>
      <c r="G33" s="1336"/>
      <c r="H33" s="1336"/>
      <c r="I33" s="1336"/>
      <c r="J33" s="1336"/>
      <c r="K33" s="1336"/>
      <c r="L33" s="1336"/>
      <c r="M33" s="1336"/>
      <c r="N33" s="1336"/>
      <c r="O33" s="1336"/>
      <c r="P33" s="1336"/>
      <c r="Q33" s="1336"/>
      <c r="R33" s="1337"/>
      <c r="S33" s="1337"/>
      <c r="T33" s="2660"/>
      <c r="U33" s="1338"/>
      <c r="V33" s="1337"/>
    </row>
    <row r="34" spans="1:22" ht="16.2">
      <c r="A34" s="2963"/>
      <c r="B34" s="1322" t="s">
        <v>464</v>
      </c>
      <c r="C34" s="1322"/>
      <c r="D34" s="1336">
        <v>0</v>
      </c>
      <c r="E34" s="1336"/>
      <c r="F34" s="1336">
        <v>945900</v>
      </c>
      <c r="G34" s="1336"/>
      <c r="H34" s="1336">
        <v>0</v>
      </c>
      <c r="I34" s="1336"/>
      <c r="J34" s="1336">
        <v>0</v>
      </c>
      <c r="K34" s="1336"/>
      <c r="L34" s="1336">
        <v>0</v>
      </c>
      <c r="M34" s="1336"/>
      <c r="N34" s="1336">
        <v>0</v>
      </c>
      <c r="O34" s="1336"/>
      <c r="P34" s="1336">
        <v>0</v>
      </c>
      <c r="Q34" s="1336">
        <v>0</v>
      </c>
      <c r="R34" s="1337">
        <f t="shared" ref="R34:R39" si="3">ROUND(SUM(D34:Q34),0)</f>
        <v>945900</v>
      </c>
      <c r="S34" s="1337"/>
      <c r="T34" s="2660">
        <v>0</v>
      </c>
      <c r="U34" s="1339"/>
      <c r="V34" s="1338">
        <f t="shared" si="2"/>
        <v>945900</v>
      </c>
    </row>
    <row r="35" spans="1:22" ht="16.2">
      <c r="A35" s="2963"/>
      <c r="B35" s="1455" t="s">
        <v>465</v>
      </c>
      <c r="C35" s="1454"/>
      <c r="D35" s="1336">
        <v>0</v>
      </c>
      <c r="E35" s="1336"/>
      <c r="F35" s="1336">
        <v>0</v>
      </c>
      <c r="G35" s="1336"/>
      <c r="H35" s="1336">
        <v>0</v>
      </c>
      <c r="I35" s="1336"/>
      <c r="J35" s="1336">
        <v>0</v>
      </c>
      <c r="K35" s="1336"/>
      <c r="L35" s="1336">
        <v>0</v>
      </c>
      <c r="M35" s="1336"/>
      <c r="N35" s="1336">
        <v>0</v>
      </c>
      <c r="O35" s="1336"/>
      <c r="P35" s="1336">
        <v>0</v>
      </c>
      <c r="Q35" s="1336">
        <v>0</v>
      </c>
      <c r="R35" s="1337">
        <f t="shared" si="3"/>
        <v>0</v>
      </c>
      <c r="S35" s="1337"/>
      <c r="T35" s="2660">
        <v>0</v>
      </c>
      <c r="U35" s="1339"/>
      <c r="V35" s="1338">
        <f t="shared" si="2"/>
        <v>0</v>
      </c>
    </row>
    <row r="36" spans="1:22" ht="16.2">
      <c r="A36" s="2963"/>
      <c r="B36" s="1322" t="s">
        <v>1355</v>
      </c>
      <c r="C36" s="1322"/>
      <c r="D36" s="1336">
        <v>0</v>
      </c>
      <c r="E36" s="1336"/>
      <c r="F36" s="1336">
        <v>245863121</v>
      </c>
      <c r="G36" s="1336"/>
      <c r="H36" s="1336">
        <v>0</v>
      </c>
      <c r="I36" s="1336"/>
      <c r="J36" s="1336">
        <v>0</v>
      </c>
      <c r="K36" s="1336"/>
      <c r="L36" s="1336">
        <v>0</v>
      </c>
      <c r="M36" s="1336"/>
      <c r="N36" s="1336">
        <v>0</v>
      </c>
      <c r="O36" s="1336"/>
      <c r="P36" s="1336">
        <v>0</v>
      </c>
      <c r="Q36" s="1336">
        <v>0</v>
      </c>
      <c r="R36" s="1337">
        <f t="shared" si="3"/>
        <v>245863121</v>
      </c>
      <c r="S36" s="1337"/>
      <c r="T36" s="2660">
        <v>0</v>
      </c>
      <c r="U36" s="1339"/>
      <c r="V36" s="1338">
        <f t="shared" si="2"/>
        <v>245863121</v>
      </c>
    </row>
    <row r="37" spans="1:22" ht="16.2">
      <c r="A37" s="2963"/>
      <c r="B37" s="1455" t="s">
        <v>466</v>
      </c>
      <c r="C37" s="1454"/>
      <c r="D37" s="1336">
        <v>0</v>
      </c>
      <c r="E37" s="1336"/>
      <c r="F37" s="1336">
        <v>0</v>
      </c>
      <c r="G37" s="1336"/>
      <c r="H37" s="1336">
        <v>0</v>
      </c>
      <c r="I37" s="1336"/>
      <c r="J37" s="1336">
        <v>0</v>
      </c>
      <c r="K37" s="1336"/>
      <c r="L37" s="1336">
        <v>0</v>
      </c>
      <c r="M37" s="1336"/>
      <c r="N37" s="1336">
        <v>0</v>
      </c>
      <c r="O37" s="1336"/>
      <c r="P37" s="1336">
        <v>0</v>
      </c>
      <c r="Q37" s="1336">
        <v>0</v>
      </c>
      <c r="R37" s="1337">
        <f t="shared" si="3"/>
        <v>0</v>
      </c>
      <c r="S37" s="1337"/>
      <c r="T37" s="2660">
        <v>0</v>
      </c>
      <c r="U37" s="1338"/>
      <c r="V37" s="1338">
        <f t="shared" si="2"/>
        <v>0</v>
      </c>
    </row>
    <row r="38" spans="1:22" ht="16.2">
      <c r="A38" s="2963"/>
      <c r="B38" s="1443" t="s">
        <v>467</v>
      </c>
      <c r="C38" s="1443"/>
      <c r="D38" s="1336">
        <v>0</v>
      </c>
      <c r="E38" s="1336"/>
      <c r="F38" s="1336">
        <v>1578900</v>
      </c>
      <c r="G38" s="1336"/>
      <c r="H38" s="1336">
        <v>0</v>
      </c>
      <c r="I38" s="1336"/>
      <c r="J38" s="1336">
        <v>0</v>
      </c>
      <c r="K38" s="1336"/>
      <c r="L38" s="1336">
        <v>0</v>
      </c>
      <c r="M38" s="1336"/>
      <c r="N38" s="1336">
        <v>0</v>
      </c>
      <c r="O38" s="1336"/>
      <c r="P38" s="1336">
        <v>0</v>
      </c>
      <c r="Q38" s="1336">
        <v>0</v>
      </c>
      <c r="R38" s="1337">
        <f t="shared" si="3"/>
        <v>1578900</v>
      </c>
      <c r="S38" s="1337"/>
      <c r="T38" s="2660">
        <v>0</v>
      </c>
      <c r="U38" s="1338"/>
      <c r="V38" s="1338">
        <f t="shared" si="2"/>
        <v>1578900</v>
      </c>
    </row>
    <row r="39" spans="1:22" ht="16.2">
      <c r="A39" s="2963"/>
      <c r="B39" s="1455" t="s">
        <v>1254</v>
      </c>
      <c r="C39" s="1454"/>
      <c r="D39" s="1336">
        <v>0</v>
      </c>
      <c r="E39" s="1336"/>
      <c r="F39" s="1336">
        <v>0</v>
      </c>
      <c r="G39" s="1336"/>
      <c r="H39" s="1336">
        <v>0</v>
      </c>
      <c r="I39" s="1336"/>
      <c r="J39" s="1336">
        <v>0</v>
      </c>
      <c r="K39" s="1336"/>
      <c r="L39" s="1336">
        <v>0</v>
      </c>
      <c r="M39" s="1336"/>
      <c r="N39" s="1336">
        <v>0</v>
      </c>
      <c r="O39" s="1336"/>
      <c r="P39" s="1336">
        <v>0</v>
      </c>
      <c r="Q39" s="1336">
        <v>0</v>
      </c>
      <c r="R39" s="1337">
        <f t="shared" si="3"/>
        <v>0</v>
      </c>
      <c r="S39" s="1337"/>
      <c r="T39" s="2660">
        <v>0</v>
      </c>
      <c r="U39" s="1338"/>
      <c r="V39" s="1338">
        <f t="shared" si="2"/>
        <v>0</v>
      </c>
    </row>
    <row r="40" spans="1:22" ht="16.2">
      <c r="A40" s="2961"/>
      <c r="B40" s="1322" t="s">
        <v>1360</v>
      </c>
      <c r="C40" s="1322"/>
      <c r="D40" s="1456"/>
      <c r="E40" s="1456"/>
      <c r="F40" s="1456"/>
      <c r="G40" s="1456"/>
      <c r="H40" s="1456"/>
      <c r="I40" s="1456"/>
      <c r="J40" s="1456"/>
      <c r="K40" s="1456"/>
      <c r="L40" s="1456"/>
      <c r="M40" s="1456"/>
      <c r="N40" s="1456"/>
      <c r="O40" s="1456"/>
      <c r="P40" s="1456"/>
      <c r="Q40" s="1456"/>
      <c r="R40" s="1337"/>
      <c r="S40" s="1337"/>
      <c r="T40" s="2409"/>
      <c r="U40" s="1338"/>
      <c r="V40" s="1337"/>
    </row>
    <row r="41" spans="1:22" ht="16.2">
      <c r="A41" s="2961"/>
      <c r="B41" s="1322" t="s">
        <v>468</v>
      </c>
      <c r="C41" s="1322"/>
      <c r="D41" s="1336">
        <v>0</v>
      </c>
      <c r="E41" s="1336"/>
      <c r="F41" s="1336">
        <v>0</v>
      </c>
      <c r="G41" s="1336"/>
      <c r="H41" s="1336">
        <v>0</v>
      </c>
      <c r="I41" s="1336"/>
      <c r="J41" s="1336">
        <v>0</v>
      </c>
      <c r="K41" s="1336"/>
      <c r="L41" s="1336">
        <v>0</v>
      </c>
      <c r="M41" s="1336"/>
      <c r="N41" s="1336">
        <v>0</v>
      </c>
      <c r="O41" s="1336"/>
      <c r="P41" s="1336">
        <v>0</v>
      </c>
      <c r="Q41" s="1336">
        <v>0</v>
      </c>
      <c r="R41" s="1337">
        <f>ROUND(SUM(D41:Q41),0)</f>
        <v>0</v>
      </c>
      <c r="S41" s="1337"/>
      <c r="T41" s="2660">
        <v>0</v>
      </c>
      <c r="U41" s="2410"/>
      <c r="V41" s="1338">
        <f t="shared" si="2"/>
        <v>0</v>
      </c>
    </row>
    <row r="42" spans="1:22" ht="16.2">
      <c r="A42" s="2961"/>
      <c r="B42" s="1322" t="s">
        <v>1109</v>
      </c>
      <c r="C42" s="1322"/>
      <c r="D42" s="1336">
        <v>0</v>
      </c>
      <c r="E42" s="1336"/>
      <c r="F42" s="1336">
        <v>0</v>
      </c>
      <c r="G42" s="1336"/>
      <c r="H42" s="1336">
        <v>0</v>
      </c>
      <c r="I42" s="1336"/>
      <c r="J42" s="1336">
        <v>0</v>
      </c>
      <c r="K42" s="1336"/>
      <c r="L42" s="1336">
        <v>0</v>
      </c>
      <c r="M42" s="1336"/>
      <c r="N42" s="1336">
        <v>432254798</v>
      </c>
      <c r="O42" s="1336"/>
      <c r="P42" s="1336">
        <v>0</v>
      </c>
      <c r="Q42" s="1336">
        <v>0</v>
      </c>
      <c r="R42" s="1337">
        <f>ROUND(SUM(D42:Q42),0)</f>
        <v>432254798</v>
      </c>
      <c r="S42" s="1337"/>
      <c r="T42" s="2660">
        <v>433935968</v>
      </c>
      <c r="U42" s="2410"/>
      <c r="V42" s="1338">
        <f t="shared" si="2"/>
        <v>-1681170</v>
      </c>
    </row>
    <row r="43" spans="1:22" ht="16.2">
      <c r="B43" s="1322" t="s">
        <v>469</v>
      </c>
      <c r="C43" s="1322"/>
      <c r="D43" s="1336">
        <v>0</v>
      </c>
      <c r="E43" s="1336"/>
      <c r="F43" s="1336">
        <v>1628809</v>
      </c>
      <c r="G43" s="1336"/>
      <c r="H43" s="1336">
        <v>0</v>
      </c>
      <c r="I43" s="1336"/>
      <c r="J43" s="1336">
        <v>0</v>
      </c>
      <c r="K43" s="1336"/>
      <c r="L43" s="1336">
        <v>0</v>
      </c>
      <c r="M43" s="1336"/>
      <c r="N43" s="1336">
        <v>0</v>
      </c>
      <c r="O43" s="1336"/>
      <c r="P43" s="1336">
        <v>0</v>
      </c>
      <c r="Q43" s="1336">
        <v>0</v>
      </c>
      <c r="R43" s="1337">
        <f>ROUND(SUM(D43:Q43),0)</f>
        <v>1628809</v>
      </c>
      <c r="S43" s="1337"/>
      <c r="T43" s="2660">
        <v>0</v>
      </c>
      <c r="U43" s="2411"/>
      <c r="V43" s="1338">
        <f t="shared" si="2"/>
        <v>1628809</v>
      </c>
    </row>
    <row r="44" spans="1:22" ht="16.2">
      <c r="A44" s="2964"/>
      <c r="B44" s="1323" t="s">
        <v>470</v>
      </c>
      <c r="C44" s="1323"/>
      <c r="D44" s="1441"/>
      <c r="E44" s="1441"/>
      <c r="F44" s="1441"/>
      <c r="G44" s="1441"/>
      <c r="H44" s="1457"/>
      <c r="I44" s="1457"/>
      <c r="J44" s="1452"/>
      <c r="K44" s="1452"/>
      <c r="L44" s="1452"/>
      <c r="M44" s="1452"/>
      <c r="N44" s="1457"/>
      <c r="O44" s="1457"/>
      <c r="P44" s="1457"/>
      <c r="Q44" s="1457"/>
      <c r="R44" s="1457"/>
      <c r="S44" s="1457"/>
      <c r="T44" s="1457"/>
      <c r="U44" s="2412"/>
      <c r="V44" s="1337"/>
    </row>
    <row r="45" spans="1:22" s="2960" customFormat="1" ht="16.8" thickBot="1">
      <c r="B45" s="1458" t="s">
        <v>471</v>
      </c>
      <c r="C45" s="1442"/>
      <c r="D45" s="2965">
        <f>ROUND(SUM(D15:D43),0)</f>
        <v>0</v>
      </c>
      <c r="E45" s="1496"/>
      <c r="F45" s="2965">
        <f>ROUND(SUM(F15:F43),0)</f>
        <v>897625242</v>
      </c>
      <c r="G45" s="1496"/>
      <c r="H45" s="2965">
        <f>ROUND(SUM(H15:H43),0)</f>
        <v>26545203</v>
      </c>
      <c r="I45" s="1496"/>
      <c r="J45" s="2965">
        <f>ROUND(SUM(J15:J43),0)</f>
        <v>50973706</v>
      </c>
      <c r="K45" s="1497"/>
      <c r="L45" s="2965">
        <f>ROUND(SUM(L15:L43),0)</f>
        <v>64072185</v>
      </c>
      <c r="M45" s="1497"/>
      <c r="N45" s="2965">
        <f>ROUND(SUM(N15:N43),0)</f>
        <v>922899888</v>
      </c>
      <c r="O45" s="1496"/>
      <c r="P45" s="2965">
        <f>ROUND(SUM(P15:P43),0)</f>
        <v>122929197</v>
      </c>
      <c r="Q45" s="1496"/>
      <c r="R45" s="2965">
        <f>ROUND(SUM(R15:R43),0)</f>
        <v>2085045421</v>
      </c>
      <c r="S45" s="1496"/>
      <c r="T45" s="2965">
        <f>ROUND(SUM(T15:T43),0)</f>
        <v>1789646062</v>
      </c>
      <c r="U45" s="1496"/>
      <c r="V45" s="2965">
        <f>ROUND(SUM(V15:V43),0)</f>
        <v>295399359</v>
      </c>
    </row>
    <row r="46" spans="1:22" ht="13.8" thickTop="1"/>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392" customWidth="1"/>
    <col min="4" max="4" width="10.453125" style="2392" customWidth="1"/>
    <col min="5" max="5" width="14.81640625" style="2392" customWidth="1"/>
    <col min="6" max="6" width="1.36328125" style="2392" customWidth="1"/>
    <col min="7" max="7" width="16.6328125" style="2392" customWidth="1"/>
    <col min="8" max="8" width="1.36328125" style="2392" customWidth="1"/>
    <col min="9" max="9" width="16.6328125" style="2392" bestFit="1" customWidth="1"/>
    <col min="10" max="10" width="9.6328125" style="2392" customWidth="1"/>
    <col min="11" max="11" width="15.6328125" style="2392" customWidth="1"/>
    <col min="12" max="16384" width="8.90625" style="2392"/>
  </cols>
  <sheetData>
    <row r="1" spans="1:11">
      <c r="A1" s="1124" t="s">
        <v>1066</v>
      </c>
    </row>
    <row r="2" spans="1:11">
      <c r="A2" s="1582"/>
    </row>
    <row r="3" spans="1:11" ht="15.6">
      <c r="A3" s="1320" t="s">
        <v>0</v>
      </c>
      <c r="I3" s="2207" t="s">
        <v>1253</v>
      </c>
    </row>
    <row r="4" spans="1:11" ht="15.6">
      <c r="A4" s="1583" t="s">
        <v>1252</v>
      </c>
    </row>
    <row r="5" spans="1:11" ht="15.6">
      <c r="A5" s="3566" t="s">
        <v>1579</v>
      </c>
      <c r="B5" s="3567"/>
      <c r="C5" s="3567"/>
      <c r="D5" s="3567"/>
      <c r="E5" s="3567"/>
      <c r="F5" s="3567"/>
      <c r="G5" s="3567"/>
      <c r="H5" s="3567"/>
      <c r="I5" s="3567"/>
      <c r="J5" s="3567"/>
      <c r="K5" s="3567"/>
    </row>
    <row r="6" spans="1:11" ht="15.6">
      <c r="A6" s="3566" t="s">
        <v>961</v>
      </c>
      <c r="B6" s="3567"/>
      <c r="C6" s="3567"/>
      <c r="D6" s="3567"/>
      <c r="E6" s="3567"/>
      <c r="F6" s="3567"/>
      <c r="G6" s="3567"/>
      <c r="H6" s="3567"/>
      <c r="I6" s="3567"/>
      <c r="J6" s="3567"/>
      <c r="K6" s="3567"/>
    </row>
    <row r="7" spans="1:11" ht="15.6">
      <c r="A7" s="3566" t="s">
        <v>958</v>
      </c>
      <c r="B7" s="3568"/>
      <c r="C7" s="3568"/>
      <c r="D7" s="3568"/>
      <c r="E7" s="3568"/>
      <c r="F7" s="3568"/>
      <c r="G7" s="3568"/>
      <c r="H7" s="3568"/>
      <c r="I7" s="3568"/>
      <c r="J7" s="3568"/>
      <c r="K7" s="3568"/>
    </row>
    <row r="8" spans="1:11" ht="15.6">
      <c r="A8" s="745"/>
      <c r="F8" s="745"/>
      <c r="H8" s="745"/>
      <c r="I8" s="746" t="s">
        <v>472</v>
      </c>
    </row>
    <row r="9" spans="1:11" ht="15.6">
      <c r="A9" s="745"/>
      <c r="F9" s="745"/>
      <c r="G9" s="747" t="s">
        <v>473</v>
      </c>
      <c r="H9" s="745"/>
      <c r="I9" s="747" t="s">
        <v>474</v>
      </c>
    </row>
    <row r="10" spans="1:11" ht="15.6">
      <c r="A10" s="745"/>
      <c r="E10" s="748" t="s">
        <v>1580</v>
      </c>
      <c r="F10" s="745"/>
      <c r="G10" s="747" t="s">
        <v>475</v>
      </c>
      <c r="H10" s="745"/>
      <c r="I10" s="748" t="s">
        <v>1581</v>
      </c>
    </row>
    <row r="11" spans="1:11" ht="15.6">
      <c r="A11" s="745"/>
      <c r="E11" s="749"/>
      <c r="F11" s="745"/>
      <c r="G11" s="749"/>
      <c r="H11" s="745"/>
      <c r="I11" s="749"/>
    </row>
    <row r="12" spans="1:11" ht="15.6">
      <c r="A12" s="750" t="s">
        <v>1058</v>
      </c>
      <c r="F12" s="745"/>
      <c r="H12" s="745"/>
    </row>
    <row r="13" spans="1:11">
      <c r="A13" s="745"/>
      <c r="F13" s="745"/>
      <c r="H13" s="745"/>
    </row>
    <row r="14" spans="1:11">
      <c r="A14" s="1199" t="s">
        <v>1057</v>
      </c>
      <c r="E14" s="2393">
        <v>22258.400000000001</v>
      </c>
      <c r="F14" s="2393"/>
      <c r="G14" s="2394">
        <v>12012.9</v>
      </c>
      <c r="H14" s="2393"/>
      <c r="I14" s="2395">
        <v>12951.4</v>
      </c>
    </row>
    <row r="15" spans="1:11">
      <c r="A15" s="1199" t="s">
        <v>1056</v>
      </c>
      <c r="E15" s="751">
        <v>1.516E-2</v>
      </c>
      <c r="F15" s="1502"/>
      <c r="G15" s="752">
        <v>1.24E-2</v>
      </c>
      <c r="H15" s="1502"/>
      <c r="I15" s="753">
        <v>6.0000000000000001E-3</v>
      </c>
    </row>
    <row r="16" spans="1:11">
      <c r="A16" s="1502" t="s">
        <v>476</v>
      </c>
      <c r="E16" s="2396">
        <v>27.27</v>
      </c>
      <c r="F16" s="754"/>
      <c r="G16" s="2397">
        <v>124.28700000000001</v>
      </c>
      <c r="H16" s="1683"/>
      <c r="I16" s="2398">
        <v>55.396000000000001</v>
      </c>
    </row>
    <row r="17" spans="1:10">
      <c r="A17" s="745"/>
      <c r="J17" s="745"/>
    </row>
    <row r="18" spans="1:10">
      <c r="A18" s="1652"/>
      <c r="B18" s="2399"/>
      <c r="C18" s="2399"/>
      <c r="D18" s="2399"/>
      <c r="E18" s="2399"/>
      <c r="F18" s="2399"/>
      <c r="G18" s="2399"/>
      <c r="H18" s="2399"/>
      <c r="I18" s="2399"/>
      <c r="J18" s="1652"/>
    </row>
    <row r="19" spans="1:10">
      <c r="A19" s="1652"/>
      <c r="B19" s="2399"/>
      <c r="C19" s="2399"/>
      <c r="D19" s="2399"/>
      <c r="E19" s="2399"/>
      <c r="F19" s="2399"/>
      <c r="G19" s="2399"/>
      <c r="H19" s="2399"/>
      <c r="I19" s="3493" t="s">
        <v>15</v>
      </c>
      <c r="J19" s="1652"/>
    </row>
    <row r="20" spans="1:10" ht="17.399999999999999">
      <c r="A20" s="1653" t="s">
        <v>477</v>
      </c>
      <c r="B20" s="1654"/>
      <c r="C20" s="1654"/>
      <c r="D20" s="2399"/>
      <c r="E20" s="2399"/>
      <c r="F20" s="2399"/>
      <c r="G20" s="2399"/>
      <c r="H20" s="2399"/>
      <c r="I20" s="2399"/>
      <c r="J20" s="1652"/>
    </row>
    <row r="21" spans="1:10">
      <c r="A21" s="1652"/>
      <c r="B21" s="2399"/>
      <c r="C21" s="2399"/>
      <c r="D21" s="2399"/>
      <c r="E21" s="2399"/>
      <c r="F21" s="1107"/>
      <c r="G21" s="1107" t="s">
        <v>1580</v>
      </c>
      <c r="H21" s="1107"/>
      <c r="I21" s="1107" t="s">
        <v>1581</v>
      </c>
      <c r="J21" s="1652"/>
    </row>
    <row r="22" spans="1:10">
      <c r="A22" s="1652"/>
      <c r="B22" s="1655" t="s">
        <v>478</v>
      </c>
      <c r="C22" s="2399"/>
      <c r="D22" s="2400" t="s">
        <v>15</v>
      </c>
      <c r="E22" s="2399"/>
      <c r="F22" s="1656"/>
      <c r="G22" s="2401" t="s">
        <v>479</v>
      </c>
      <c r="H22" s="1656"/>
      <c r="I22" s="2401" t="s">
        <v>479</v>
      </c>
      <c r="J22" s="1652"/>
    </row>
    <row r="23" spans="1:10">
      <c r="A23" s="1652"/>
      <c r="B23" s="2400" t="s">
        <v>480</v>
      </c>
      <c r="C23" s="2399"/>
      <c r="D23" s="2399"/>
      <c r="E23" s="2399"/>
      <c r="F23" s="2402"/>
      <c r="G23" s="2403">
        <v>0</v>
      </c>
      <c r="H23" s="2402"/>
      <c r="I23" s="2403">
        <v>0</v>
      </c>
      <c r="J23" s="1652"/>
    </row>
    <row r="24" spans="1:10">
      <c r="A24" s="1652"/>
      <c r="B24" s="2400" t="s">
        <v>481</v>
      </c>
      <c r="C24" s="2399"/>
      <c r="D24" s="2399"/>
      <c r="E24" s="2399"/>
      <c r="F24" s="2402"/>
      <c r="G24" s="2404">
        <v>23.4</v>
      </c>
      <c r="H24" s="2402"/>
      <c r="I24" s="2404">
        <v>824.3</v>
      </c>
      <c r="J24" s="1652"/>
    </row>
    <row r="25" spans="1:10">
      <c r="A25" s="1652"/>
      <c r="B25" s="2400" t="s">
        <v>482</v>
      </c>
      <c r="C25" s="2399"/>
      <c r="D25" s="2399"/>
      <c r="E25" s="2399"/>
      <c r="F25" s="2405"/>
      <c r="G25" s="2404">
        <v>20134.5</v>
      </c>
      <c r="H25" s="2405"/>
      <c r="I25" s="2406">
        <v>14233</v>
      </c>
      <c r="J25" s="1652"/>
    </row>
    <row r="26" spans="1:10">
      <c r="A26" s="1652"/>
      <c r="B26" s="2400" t="s">
        <v>483</v>
      </c>
      <c r="C26" s="2399"/>
      <c r="D26" s="2399"/>
      <c r="E26" s="2399"/>
      <c r="F26" s="2405"/>
      <c r="G26" s="2404">
        <v>2831.2</v>
      </c>
      <c r="H26" s="2405"/>
      <c r="I26" s="2406">
        <v>1838.3</v>
      </c>
      <c r="J26" s="1652"/>
    </row>
    <row r="27" spans="1:10">
      <c r="A27" s="1652"/>
      <c r="B27" s="1657" t="s">
        <v>922</v>
      </c>
      <c r="C27" s="2399"/>
      <c r="D27" s="2399"/>
      <c r="E27" s="2399"/>
      <c r="F27" s="2407"/>
      <c r="G27" s="2404">
        <v>1480</v>
      </c>
      <c r="H27" s="2407"/>
      <c r="I27" s="2406">
        <v>5030</v>
      </c>
      <c r="J27" s="1652"/>
    </row>
    <row r="28" spans="1:10" ht="16.2" thickBot="1">
      <c r="A28" s="1652"/>
      <c r="B28" s="2399"/>
      <c r="C28" s="2399"/>
      <c r="D28" s="2399"/>
      <c r="E28" s="2399"/>
      <c r="F28" s="755"/>
      <c r="G28" s="756">
        <f>ROUND(SUM(G23:G27),1)</f>
        <v>24469.1</v>
      </c>
      <c r="H28" s="755"/>
      <c r="I28" s="756">
        <f>ROUND(SUM(I23:I27),1)</f>
        <v>21925.599999999999</v>
      </c>
      <c r="J28" s="1652"/>
    </row>
    <row r="29" spans="1:10" ht="15.6" thickTop="1">
      <c r="A29" s="745"/>
      <c r="F29" s="2408"/>
      <c r="G29" s="2408"/>
      <c r="H29" s="2408"/>
      <c r="J29" s="745"/>
    </row>
    <row r="30" spans="1:10">
      <c r="A30" s="745"/>
      <c r="J30" s="745"/>
    </row>
    <row r="31" spans="1:10" ht="15.6">
      <c r="A31" s="750"/>
      <c r="J31" s="745"/>
    </row>
    <row r="32" spans="1:10" ht="192.75" customHeight="1">
      <c r="A32" s="3569" t="s">
        <v>1071</v>
      </c>
      <c r="B32" s="3570"/>
      <c r="C32" s="3570"/>
      <c r="D32" s="3570"/>
      <c r="E32" s="3570"/>
      <c r="F32" s="3570"/>
      <c r="G32" s="3570"/>
      <c r="H32" s="3570"/>
      <c r="I32" s="3570"/>
      <c r="J32" s="745"/>
    </row>
    <row r="34" spans="1:11" ht="15" customHeight="1">
      <c r="A34" s="1140" t="s">
        <v>1059</v>
      </c>
      <c r="B34" s="1318"/>
      <c r="C34" s="1318"/>
      <c r="D34" s="1318"/>
      <c r="E34" s="1318"/>
      <c r="F34" s="1318"/>
      <c r="G34" s="1318"/>
      <c r="H34" s="1318"/>
      <c r="I34" s="1318"/>
      <c r="J34" s="1318"/>
      <c r="K34" s="1318"/>
    </row>
    <row r="35" spans="1:11" ht="17.25" customHeight="1">
      <c r="A35" s="1316"/>
      <c r="B35" s="1319"/>
      <c r="C35" s="1319"/>
      <c r="D35" s="1319"/>
      <c r="E35" s="1319"/>
      <c r="F35" s="1319"/>
      <c r="G35" s="1319"/>
      <c r="H35" s="1319"/>
      <c r="I35" s="1319"/>
      <c r="J35" s="1319"/>
      <c r="K35" s="757"/>
    </row>
    <row r="36" spans="1:11">
      <c r="A36" s="1502"/>
      <c r="B36" s="1502"/>
      <c r="C36" s="1319"/>
      <c r="D36" s="1319"/>
      <c r="E36" s="1319"/>
      <c r="F36" s="1319"/>
      <c r="G36" s="1319"/>
      <c r="H36" s="1319"/>
      <c r="I36" s="1319"/>
      <c r="J36" s="1319"/>
      <c r="K36" s="757"/>
    </row>
    <row r="37" spans="1:11">
      <c r="A37" s="1316"/>
      <c r="B37" s="1317"/>
      <c r="C37" s="1319"/>
      <c r="D37" s="1319"/>
      <c r="E37" s="1319"/>
      <c r="F37" s="1319"/>
      <c r="G37" s="1319"/>
      <c r="H37" s="1319"/>
      <c r="I37" s="1319"/>
      <c r="J37" s="1319"/>
      <c r="K37" s="757"/>
    </row>
    <row r="38" spans="1:11">
      <c r="A38" s="745"/>
      <c r="B38" s="1502"/>
      <c r="C38" s="745"/>
      <c r="D38" s="745"/>
      <c r="E38" s="745"/>
      <c r="F38" s="745"/>
      <c r="G38" s="745"/>
      <c r="H38" s="745"/>
      <c r="I38" s="745"/>
    </row>
    <row r="39" spans="1:11">
      <c r="B39" s="1502"/>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3" customWidth="1"/>
    <col min="2" max="2" width="17" style="758" bestFit="1" customWidth="1"/>
    <col min="3" max="3" width="1.81640625" style="758" customWidth="1"/>
    <col min="4" max="4" width="17" style="758" bestFit="1" customWidth="1"/>
    <col min="5" max="5" width="1.6328125" style="764" customWidth="1"/>
    <col min="6" max="6" width="17.1796875" style="758" customWidth="1"/>
    <col min="7" max="7" width="1.6328125" style="764" customWidth="1"/>
    <col min="8" max="8" width="17.54296875" style="758" customWidth="1"/>
    <col min="9" max="9" width="1.6328125" style="764" customWidth="1"/>
    <col min="10" max="10" width="16.453125" style="758" customWidth="1"/>
    <col min="11" max="11" width="1.6328125" style="758" customWidth="1"/>
    <col min="12" max="12" width="17" style="758" bestFit="1" customWidth="1"/>
    <col min="13" max="13" width="1.6328125" style="764" customWidth="1"/>
    <col min="14" max="14" width="17.54296875" style="758" customWidth="1"/>
    <col min="15" max="15" width="1.6328125" style="764" customWidth="1"/>
    <col min="16" max="16" width="17.1796875" style="758" customWidth="1"/>
    <col min="17" max="17" width="1.6328125" style="764" customWidth="1"/>
    <col min="18" max="18" width="13.6328125" style="758" customWidth="1"/>
    <col min="19" max="19" width="1.6328125" style="764" customWidth="1"/>
    <col min="20" max="20" width="13.6328125" style="758" customWidth="1"/>
    <col min="21" max="21" width="1.6328125" style="764" customWidth="1"/>
    <col min="22" max="22" width="13.6328125" style="758" customWidth="1"/>
    <col min="23" max="23" width="1.6328125" style="764" customWidth="1"/>
    <col min="24" max="24" width="13.6328125" style="758" customWidth="1"/>
    <col min="25" max="25" width="1.6328125" style="764" customWidth="1"/>
    <col min="26" max="26" width="22.4531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124" t="s">
        <v>1066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row>
    <row r="2" spans="1:40" ht="15">
      <c r="A2" s="1124"/>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row>
    <row r="3" spans="1:40" ht="16.8">
      <c r="A3" s="1561" t="s">
        <v>510</v>
      </c>
      <c r="B3" s="920"/>
      <c r="C3" s="920"/>
      <c r="D3" s="921"/>
      <c r="E3" s="922"/>
      <c r="F3" s="921"/>
      <c r="G3" s="922"/>
      <c r="H3" s="921"/>
      <c r="I3" s="922"/>
      <c r="K3" s="920"/>
      <c r="L3" s="759"/>
      <c r="M3" s="920"/>
      <c r="N3" s="921"/>
      <c r="O3" s="922"/>
      <c r="P3" s="921"/>
      <c r="Q3" s="922"/>
      <c r="R3" s="921"/>
      <c r="S3" s="922"/>
      <c r="T3" s="921"/>
      <c r="U3" s="922"/>
      <c r="V3" s="921"/>
      <c r="W3" s="922"/>
      <c r="X3" s="921"/>
      <c r="Y3" s="922"/>
      <c r="Z3" s="1495" t="s">
        <v>484</v>
      </c>
      <c r="AA3" s="920"/>
      <c r="AC3" s="920"/>
      <c r="AE3" s="920"/>
    </row>
    <row r="4" spans="1:40" ht="16.8">
      <c r="A4" s="1561" t="s">
        <v>1477</v>
      </c>
      <c r="B4" s="2349"/>
      <c r="C4" s="2349"/>
      <c r="D4" s="924"/>
      <c r="E4" s="922"/>
      <c r="F4" s="2349"/>
      <c r="G4" s="922"/>
      <c r="H4" s="2349"/>
      <c r="I4" s="922"/>
      <c r="J4" s="2349"/>
      <c r="K4" s="2349"/>
      <c r="L4" s="2349"/>
      <c r="M4" s="925"/>
      <c r="N4" s="2349"/>
      <c r="O4" s="922"/>
      <c r="P4" s="2349"/>
      <c r="Q4" s="922"/>
      <c r="R4" s="2349"/>
      <c r="S4" s="922"/>
      <c r="T4" s="2349"/>
      <c r="U4" s="922"/>
      <c r="V4" s="2349"/>
      <c r="W4" s="922"/>
      <c r="X4" s="2349"/>
      <c r="Y4" s="922"/>
      <c r="Z4" s="2350"/>
      <c r="AA4" s="926"/>
      <c r="AC4" s="920"/>
    </row>
    <row r="5" spans="1:40" ht="16.8">
      <c r="A5" s="1562" t="s">
        <v>1276</v>
      </c>
      <c r="B5" s="2349"/>
      <c r="C5" s="2349"/>
      <c r="D5" s="2349"/>
      <c r="E5" s="922"/>
      <c r="F5" s="2349"/>
      <c r="G5" s="922"/>
      <c r="H5" s="2349"/>
      <c r="I5" s="922"/>
      <c r="J5" s="2349"/>
      <c r="K5" s="2349"/>
      <c r="L5" s="2349"/>
      <c r="M5" s="925"/>
      <c r="N5" s="2349"/>
      <c r="O5" s="922"/>
      <c r="P5" s="2349"/>
      <c r="Q5" s="922"/>
      <c r="R5" s="2349"/>
      <c r="S5" s="922"/>
      <c r="T5" s="2349"/>
      <c r="U5" s="922"/>
      <c r="V5" s="2349"/>
      <c r="W5" s="922"/>
      <c r="X5" s="2349"/>
      <c r="Y5" s="922"/>
      <c r="Z5" s="2350"/>
    </row>
    <row r="6" spans="1:40" ht="16.8">
      <c r="A6" s="1562" t="s">
        <v>1467</v>
      </c>
      <c r="B6" s="2349"/>
      <c r="C6" s="2349"/>
      <c r="D6" s="2349"/>
      <c r="E6" s="922"/>
      <c r="F6" s="2349"/>
      <c r="G6" s="922"/>
      <c r="H6" s="2349"/>
      <c r="I6" s="922"/>
      <c r="J6" s="2349"/>
      <c r="K6" s="2349"/>
      <c r="L6" s="2349"/>
      <c r="M6" s="925"/>
      <c r="N6" s="2349"/>
      <c r="O6" s="922"/>
      <c r="P6" s="2349"/>
      <c r="Q6" s="922"/>
      <c r="R6" s="2349"/>
      <c r="S6" s="922"/>
      <c r="T6" s="2349"/>
      <c r="U6" s="922"/>
      <c r="V6" s="2349"/>
      <c r="W6" s="922"/>
      <c r="X6" s="2349"/>
      <c r="Y6" s="922"/>
      <c r="Z6" s="2350"/>
    </row>
    <row r="7" spans="1:40" ht="17.399999999999999">
      <c r="A7" s="928"/>
      <c r="B7" s="2349"/>
      <c r="C7" s="2349"/>
      <c r="D7" s="2349"/>
      <c r="E7" s="922"/>
      <c r="F7" s="2349"/>
      <c r="G7" s="922"/>
      <c r="H7" s="2349"/>
      <c r="I7" s="922"/>
      <c r="J7" s="2349"/>
      <c r="K7" s="2349"/>
      <c r="L7" s="2349"/>
      <c r="M7" s="925"/>
      <c r="N7" s="2349"/>
      <c r="O7" s="922"/>
      <c r="P7" s="2349"/>
      <c r="Q7" s="922"/>
      <c r="R7" s="2351"/>
      <c r="S7" s="922"/>
      <c r="T7" s="2351"/>
      <c r="U7" s="922"/>
      <c r="V7" s="2351"/>
      <c r="W7" s="922"/>
      <c r="X7" s="2351"/>
      <c r="Y7" s="922"/>
      <c r="Z7" s="2350"/>
    </row>
    <row r="8" spans="1:40" ht="27" customHeight="1">
      <c r="A8" s="919"/>
      <c r="B8" s="2349"/>
      <c r="C8" s="2349"/>
      <c r="D8" s="2349"/>
      <c r="E8" s="922"/>
      <c r="F8" s="2349"/>
      <c r="G8" s="922"/>
      <c r="H8" s="2349"/>
      <c r="I8" s="922"/>
      <c r="J8" s="2349"/>
      <c r="K8" s="2349"/>
      <c r="L8" s="2349"/>
      <c r="M8" s="922"/>
      <c r="N8" s="2349"/>
      <c r="O8" s="922"/>
      <c r="P8" s="2349"/>
      <c r="Q8" s="922"/>
      <c r="R8" s="2349"/>
      <c r="S8" s="922"/>
      <c r="T8" s="2349"/>
      <c r="U8" s="922"/>
      <c r="V8" s="2349"/>
      <c r="W8" s="922"/>
      <c r="X8" s="2349"/>
      <c r="Y8" s="922"/>
      <c r="Z8" s="930"/>
      <c r="AA8" s="931"/>
    </row>
    <row r="9" spans="1:40" ht="15.6">
      <c r="A9" s="2352"/>
      <c r="B9" s="1696">
        <v>2017</v>
      </c>
      <c r="C9" s="932"/>
      <c r="D9" s="932"/>
      <c r="E9" s="925"/>
      <c r="F9" s="932"/>
      <c r="G9" s="925"/>
      <c r="H9" s="932"/>
      <c r="I9" s="925"/>
      <c r="J9" s="932"/>
      <c r="K9" s="932"/>
      <c r="L9" s="933"/>
      <c r="M9" s="925"/>
      <c r="N9" s="933"/>
      <c r="O9" s="925"/>
      <c r="P9" s="933"/>
      <c r="Q9" s="925"/>
      <c r="R9" s="933"/>
      <c r="S9" s="925"/>
      <c r="T9" s="1696">
        <v>2018</v>
      </c>
      <c r="U9" s="925"/>
      <c r="V9" s="933"/>
      <c r="W9" s="925"/>
      <c r="X9" s="933"/>
      <c r="Y9" s="925"/>
      <c r="Z9" s="934" t="s">
        <v>1565</v>
      </c>
      <c r="AA9" s="934"/>
    </row>
    <row r="10" spans="1:40" ht="15.6">
      <c r="A10" s="235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43131</v>
      </c>
      <c r="AA10" s="938"/>
    </row>
    <row r="11" spans="1:40" ht="15.6">
      <c r="A11" s="2352"/>
      <c r="B11" s="2353" t="s">
        <v>15</v>
      </c>
      <c r="C11" s="2354"/>
      <c r="D11" s="2353" t="s">
        <v>15</v>
      </c>
      <c r="E11" s="2355"/>
      <c r="F11" s="2353" t="s">
        <v>15</v>
      </c>
      <c r="G11" s="2355"/>
      <c r="H11" s="2353" t="s">
        <v>15</v>
      </c>
      <c r="I11" s="2355"/>
      <c r="J11" s="2353" t="s">
        <v>15</v>
      </c>
      <c r="K11" s="937"/>
      <c r="L11" s="2353" t="s">
        <v>15</v>
      </c>
      <c r="M11" s="2355"/>
      <c r="N11" s="2353" t="s">
        <v>15</v>
      </c>
      <c r="O11" s="2355"/>
      <c r="P11" s="2353" t="s">
        <v>15</v>
      </c>
      <c r="Q11" s="2355"/>
      <c r="R11" s="2353" t="s">
        <v>15</v>
      </c>
      <c r="S11" s="2355"/>
      <c r="T11" s="2353" t="s">
        <v>15</v>
      </c>
      <c r="U11" s="2355"/>
      <c r="V11" s="2353" t="s">
        <v>15</v>
      </c>
      <c r="W11" s="2355"/>
      <c r="X11" s="2353" t="s">
        <v>15</v>
      </c>
      <c r="Y11" s="2355"/>
      <c r="Z11" s="2356" t="s">
        <v>15</v>
      </c>
      <c r="AB11" s="939"/>
      <c r="AC11" s="939"/>
      <c r="AD11" s="939"/>
      <c r="AE11" s="939"/>
      <c r="AF11" s="939"/>
      <c r="AG11" s="939"/>
      <c r="AH11" s="939"/>
      <c r="AI11" s="939"/>
      <c r="AJ11" s="939"/>
      <c r="AK11" s="939"/>
      <c r="AL11" s="939"/>
      <c r="AM11" s="939"/>
      <c r="AN11" s="939"/>
    </row>
    <row r="12" spans="1:40" s="944" customFormat="1" ht="15.6">
      <c r="A12" s="1563" t="s">
        <v>485</v>
      </c>
      <c r="B12" s="940">
        <v>11905507</v>
      </c>
      <c r="C12" s="941"/>
      <c r="D12" s="940">
        <f>B46</f>
        <v>111014558</v>
      </c>
      <c r="E12" s="2357"/>
      <c r="F12" s="940">
        <f>D46</f>
        <v>57395772</v>
      </c>
      <c r="G12" s="2357"/>
      <c r="H12" s="940">
        <f>F46</f>
        <v>157404396</v>
      </c>
      <c r="I12" s="2357"/>
      <c r="J12" s="940">
        <f>H46</f>
        <v>190349200</v>
      </c>
      <c r="K12" s="942"/>
      <c r="L12" s="940">
        <f>+J46</f>
        <v>139926319</v>
      </c>
      <c r="M12" s="943"/>
      <c r="N12" s="940">
        <f>+L46</f>
        <v>124005879</v>
      </c>
      <c r="O12" s="940"/>
      <c r="P12" s="940">
        <f>+N46</f>
        <v>188812552</v>
      </c>
      <c r="Q12" s="940"/>
      <c r="R12" s="940">
        <f>+P46</f>
        <v>122816440</v>
      </c>
      <c r="S12" s="940"/>
      <c r="T12" s="940">
        <f>+R46</f>
        <v>210253771</v>
      </c>
      <c r="U12" s="940"/>
      <c r="V12" s="940"/>
      <c r="W12" s="940"/>
      <c r="X12" s="940"/>
      <c r="Y12" s="940"/>
      <c r="Z12" s="940">
        <f>+B12</f>
        <v>11905507</v>
      </c>
    </row>
    <row r="13" spans="1:40" ht="15.6">
      <c r="A13" s="2358"/>
      <c r="B13" s="2359"/>
      <c r="C13" s="2360"/>
      <c r="D13" s="2359"/>
      <c r="E13" s="2359"/>
      <c r="F13" s="2359"/>
      <c r="G13" s="2359"/>
      <c r="H13" s="2359"/>
      <c r="I13" s="2359"/>
      <c r="J13" s="2359"/>
      <c r="K13" s="937"/>
      <c r="L13" s="2359"/>
      <c r="M13" s="2359"/>
      <c r="N13" s="2359"/>
      <c r="O13" s="2359"/>
      <c r="P13" s="2359"/>
      <c r="Q13" s="2359"/>
      <c r="R13" s="2359"/>
      <c r="S13" s="2359"/>
      <c r="T13" s="2359"/>
      <c r="U13" s="2359"/>
      <c r="V13" s="2359"/>
      <c r="W13" s="2359"/>
      <c r="X13" s="2359"/>
      <c r="Y13" s="2359"/>
      <c r="Z13" s="2361"/>
    </row>
    <row r="14" spans="1:40" ht="15.6">
      <c r="A14" s="945" t="s">
        <v>14</v>
      </c>
      <c r="B14" s="2359"/>
      <c r="C14" s="2360"/>
      <c r="D14" s="2359"/>
      <c r="E14" s="2359"/>
      <c r="F14" s="2359"/>
      <c r="G14" s="2359"/>
      <c r="H14" s="2359"/>
      <c r="I14" s="2359"/>
      <c r="J14" s="2359"/>
      <c r="K14" s="2359"/>
      <c r="L14" s="2359"/>
      <c r="M14" s="2359"/>
      <c r="N14" s="2359"/>
      <c r="O14" s="2359"/>
      <c r="P14" s="2359"/>
      <c r="Q14" s="2359"/>
      <c r="R14" s="2359"/>
      <c r="S14" s="2359"/>
      <c r="T14" s="2359"/>
      <c r="U14" s="2359"/>
      <c r="V14" s="2359"/>
      <c r="W14" s="2359"/>
      <c r="X14" s="2359"/>
      <c r="Y14" s="2359"/>
      <c r="Z14" s="2361"/>
    </row>
    <row r="15" spans="1:40" ht="15" customHeight="1">
      <c r="A15" s="1564" t="s">
        <v>486</v>
      </c>
      <c r="B15" s="2362">
        <v>64087125</v>
      </c>
      <c r="C15" s="2363"/>
      <c r="D15" s="2362">
        <v>76504194</v>
      </c>
      <c r="E15" s="2362"/>
      <c r="F15" s="2362">
        <v>74773288</v>
      </c>
      <c r="G15" s="2362"/>
      <c r="H15" s="2362">
        <v>71476601</v>
      </c>
      <c r="I15" s="2362"/>
      <c r="J15" s="2362">
        <v>83555794</v>
      </c>
      <c r="K15" s="2362"/>
      <c r="L15" s="2362">
        <v>70127435</v>
      </c>
      <c r="M15" s="2359"/>
      <c r="N15" s="2362">
        <v>74924658</v>
      </c>
      <c r="O15" s="2362"/>
      <c r="P15" s="2362">
        <v>68201419</v>
      </c>
      <c r="Q15" s="2362"/>
      <c r="R15" s="2373">
        <v>67692399</v>
      </c>
      <c r="S15" s="2362"/>
      <c r="T15" s="2362">
        <v>71986366</v>
      </c>
      <c r="U15" s="2362"/>
      <c r="V15" s="2362"/>
      <c r="W15" s="2362"/>
      <c r="X15" s="2362"/>
      <c r="Y15" s="2362"/>
      <c r="Z15" s="2364">
        <f>ROUND(SUM(B15:X15),0)</f>
        <v>723329279</v>
      </c>
    </row>
    <row r="16" spans="1:40" ht="15" customHeight="1">
      <c r="A16" s="1564" t="s">
        <v>487</v>
      </c>
      <c r="B16" s="2362">
        <v>2421000</v>
      </c>
      <c r="C16" s="2363"/>
      <c r="D16" s="2362">
        <v>2432000</v>
      </c>
      <c r="E16" s="2362"/>
      <c r="F16" s="2362">
        <v>3097000</v>
      </c>
      <c r="G16" s="2362"/>
      <c r="H16" s="2362">
        <v>2871000</v>
      </c>
      <c r="I16" s="2362"/>
      <c r="J16" s="2362">
        <v>3288000</v>
      </c>
      <c r="K16" s="2362"/>
      <c r="L16" s="2373">
        <v>2592000</v>
      </c>
      <c r="M16" s="2359"/>
      <c r="N16" s="2362">
        <v>2263000</v>
      </c>
      <c r="O16" s="2362"/>
      <c r="P16" s="2362">
        <v>3300000</v>
      </c>
      <c r="Q16" s="2362"/>
      <c r="R16" s="2373">
        <v>1970000</v>
      </c>
      <c r="S16" s="2362"/>
      <c r="T16" s="2362">
        <v>3337000</v>
      </c>
      <c r="U16" s="2362"/>
      <c r="V16" s="2362"/>
      <c r="W16" s="2362"/>
      <c r="X16" s="2362"/>
      <c r="Y16" s="2362"/>
      <c r="Z16" s="2364">
        <f t="shared" ref="Z16:Z23" si="0">ROUND(SUM(B16:X16),0)</f>
        <v>27571000</v>
      </c>
    </row>
    <row r="17" spans="1:28" ht="15" customHeight="1">
      <c r="A17" s="1564" t="s">
        <v>488</v>
      </c>
      <c r="B17" s="2362">
        <v>141791</v>
      </c>
      <c r="C17" s="2363"/>
      <c r="D17" s="2362">
        <v>156153</v>
      </c>
      <c r="E17" s="2362"/>
      <c r="F17" s="2362">
        <v>241049</v>
      </c>
      <c r="G17" s="2362"/>
      <c r="H17" s="2362">
        <v>269270</v>
      </c>
      <c r="I17" s="2362"/>
      <c r="J17" s="2365">
        <v>279692</v>
      </c>
      <c r="K17" s="2362"/>
      <c r="L17" s="2362">
        <v>421154</v>
      </c>
      <c r="M17" s="2359"/>
      <c r="N17" s="2362">
        <v>257781</v>
      </c>
      <c r="O17" s="2362"/>
      <c r="P17" s="2362">
        <v>293416</v>
      </c>
      <c r="Q17" s="2362"/>
      <c r="R17" s="2362">
        <f>2505101-2060306</f>
        <v>444795</v>
      </c>
      <c r="S17" s="2362"/>
      <c r="T17" s="2362">
        <v>392329</v>
      </c>
      <c r="U17" s="2362"/>
      <c r="V17" s="2362"/>
      <c r="W17" s="2362"/>
      <c r="X17" s="2362"/>
      <c r="Y17" s="2362"/>
      <c r="Z17" s="2364">
        <f t="shared" si="0"/>
        <v>2897430</v>
      </c>
    </row>
    <row r="18" spans="1:28" ht="15" customHeight="1">
      <c r="A18" s="1564" t="s">
        <v>489</v>
      </c>
      <c r="B18" s="2362">
        <v>0</v>
      </c>
      <c r="C18" s="2366"/>
      <c r="D18" s="2362">
        <v>0</v>
      </c>
      <c r="E18" s="2365"/>
      <c r="F18" s="2365">
        <v>0</v>
      </c>
      <c r="G18" s="2365"/>
      <c r="H18" s="2365">
        <v>0</v>
      </c>
      <c r="I18" s="2362"/>
      <c r="J18" s="2365">
        <v>0</v>
      </c>
      <c r="K18" s="2367"/>
      <c r="L18" s="2365">
        <v>0</v>
      </c>
      <c r="M18" s="2359"/>
      <c r="N18" s="2365">
        <v>0</v>
      </c>
      <c r="O18" s="2362"/>
      <c r="P18" s="2365">
        <v>0</v>
      </c>
      <c r="Q18" s="2362"/>
      <c r="R18" s="2365">
        <v>0</v>
      </c>
      <c r="S18" s="2362"/>
      <c r="T18" s="2365">
        <v>0</v>
      </c>
      <c r="U18" s="2362"/>
      <c r="V18" s="2365"/>
      <c r="W18" s="2362"/>
      <c r="X18" s="2365"/>
      <c r="Y18" s="2362"/>
      <c r="Z18" s="2364">
        <f t="shared" si="0"/>
        <v>0</v>
      </c>
    </row>
    <row r="19" spans="1:28" ht="15" customHeight="1">
      <c r="A19" s="1564" t="s">
        <v>490</v>
      </c>
      <c r="B19" s="2362">
        <v>389230236</v>
      </c>
      <c r="C19" s="2363"/>
      <c r="D19" s="2362">
        <v>389467699</v>
      </c>
      <c r="E19" s="2362"/>
      <c r="F19" s="2362">
        <v>384757532</v>
      </c>
      <c r="G19" s="2362"/>
      <c r="H19" s="2362">
        <v>462750154</v>
      </c>
      <c r="I19" s="2362"/>
      <c r="J19" s="2362">
        <v>431211662</v>
      </c>
      <c r="K19" s="2362"/>
      <c r="L19" s="2362">
        <v>402896272</v>
      </c>
      <c r="M19" s="2359"/>
      <c r="N19" s="2362">
        <v>422921389</v>
      </c>
      <c r="O19" s="2362"/>
      <c r="P19" s="2362">
        <v>392765123</v>
      </c>
      <c r="Q19" s="2362"/>
      <c r="R19" s="2362">
        <f>3728956724-3276000067</f>
        <v>452956657</v>
      </c>
      <c r="S19" s="2362"/>
      <c r="T19" s="2362">
        <v>418838642</v>
      </c>
      <c r="U19" s="2362"/>
      <c r="V19" s="2362"/>
      <c r="W19" s="2362"/>
      <c r="X19" s="2362"/>
      <c r="Y19" s="2362"/>
      <c r="Z19" s="2364">
        <f t="shared" si="0"/>
        <v>4147795366</v>
      </c>
    </row>
    <row r="20" spans="1:28" ht="15" customHeight="1">
      <c r="A20" s="1564" t="s">
        <v>491</v>
      </c>
      <c r="B20" s="2362">
        <v>684635</v>
      </c>
      <c r="C20" s="2366"/>
      <c r="D20" s="2362">
        <v>866000</v>
      </c>
      <c r="E20" s="2362"/>
      <c r="F20" s="2368">
        <v>2382000</v>
      </c>
      <c r="G20" s="2362"/>
      <c r="H20" s="2368">
        <v>415000</v>
      </c>
      <c r="I20" s="2362"/>
      <c r="J20" s="2362">
        <v>111499</v>
      </c>
      <c r="K20" s="2369"/>
      <c r="L20" s="2362">
        <v>890001</v>
      </c>
      <c r="M20" s="2359"/>
      <c r="N20" s="2362">
        <v>410999</v>
      </c>
      <c r="O20" s="2362"/>
      <c r="P20" s="2370">
        <v>53240</v>
      </c>
      <c r="Q20" s="2362"/>
      <c r="R20" s="2370">
        <f>8779374-5813374</f>
        <v>2966000</v>
      </c>
      <c r="S20" s="2362"/>
      <c r="T20" s="2368">
        <v>624000</v>
      </c>
      <c r="U20" s="2362"/>
      <c r="V20" s="2368"/>
      <c r="W20" s="2365"/>
      <c r="X20" s="2368"/>
      <c r="Y20" s="2362"/>
      <c r="Z20" s="2364">
        <f t="shared" si="0"/>
        <v>9403374</v>
      </c>
    </row>
    <row r="21" spans="1:28" ht="15" customHeight="1">
      <c r="A21" s="1564" t="s">
        <v>492</v>
      </c>
      <c r="B21" s="2362">
        <v>4162737</v>
      </c>
      <c r="C21" s="2366"/>
      <c r="D21" s="2362">
        <v>1621391.47</v>
      </c>
      <c r="E21" s="2362"/>
      <c r="F21" s="2368">
        <v>7601278</v>
      </c>
      <c r="G21" s="2362"/>
      <c r="H21" s="2365">
        <v>7136552</v>
      </c>
      <c r="I21" s="2362"/>
      <c r="J21" s="2365">
        <v>5367985</v>
      </c>
      <c r="K21" s="2369"/>
      <c r="L21" s="2365">
        <v>160687</v>
      </c>
      <c r="M21" s="2359"/>
      <c r="N21" s="2365">
        <v>9993452</v>
      </c>
      <c r="O21" s="2362"/>
      <c r="P21" s="2362">
        <v>4881807</v>
      </c>
      <c r="Q21" s="2362"/>
      <c r="R21" s="2362">
        <f>41031545-40925889</f>
        <v>105656</v>
      </c>
      <c r="S21" s="2362"/>
      <c r="T21" s="2365">
        <v>5119796</v>
      </c>
      <c r="U21" s="2362"/>
      <c r="V21" s="2365"/>
      <c r="W21" s="2365"/>
      <c r="X21" s="2365"/>
      <c r="Y21" s="2362"/>
      <c r="Z21" s="2364">
        <f t="shared" si="0"/>
        <v>46151341</v>
      </c>
    </row>
    <row r="22" spans="1:28" ht="15" customHeight="1">
      <c r="A22" s="1564" t="s">
        <v>493</v>
      </c>
      <c r="B22" s="2368">
        <v>0</v>
      </c>
      <c r="C22" s="2366"/>
      <c r="D22" s="2362">
        <v>16777</v>
      </c>
      <c r="E22" s="2362"/>
      <c r="F22" s="2368">
        <v>0</v>
      </c>
      <c r="G22" s="2362"/>
      <c r="H22" s="2368">
        <v>-2150</v>
      </c>
      <c r="I22" s="2362"/>
      <c r="J22" s="2362">
        <v>0</v>
      </c>
      <c r="K22" s="2369"/>
      <c r="L22" s="2362">
        <v>0</v>
      </c>
      <c r="M22" s="2359"/>
      <c r="N22" s="2362">
        <v>0</v>
      </c>
      <c r="O22" s="2362"/>
      <c r="P22" s="2362">
        <v>0</v>
      </c>
      <c r="Q22" s="2362"/>
      <c r="R22" s="2362">
        <v>0</v>
      </c>
      <c r="S22" s="2362"/>
      <c r="T22" s="2365">
        <v>0</v>
      </c>
      <c r="U22" s="2362"/>
      <c r="V22" s="2365"/>
      <c r="W22" s="2365"/>
      <c r="X22" s="2365"/>
      <c r="Y22" s="2362"/>
      <c r="Z22" s="2364">
        <f t="shared" si="0"/>
        <v>14627</v>
      </c>
    </row>
    <row r="23" spans="1:28" ht="15" customHeight="1">
      <c r="A23" s="1564" t="s">
        <v>494</v>
      </c>
      <c r="B23" s="2365">
        <v>0</v>
      </c>
      <c r="C23" s="2371"/>
      <c r="D23" s="2362">
        <v>55</v>
      </c>
      <c r="E23" s="2362"/>
      <c r="F23" s="2365">
        <v>0</v>
      </c>
      <c r="G23" s="2362"/>
      <c r="H23" s="2362">
        <v>30</v>
      </c>
      <c r="I23" s="2362"/>
      <c r="J23" s="2365">
        <v>0</v>
      </c>
      <c r="K23" s="2362"/>
      <c r="L23" s="2369">
        <v>-83668</v>
      </c>
      <c r="M23" s="2359"/>
      <c r="N23" s="2365">
        <v>0</v>
      </c>
      <c r="O23" s="2362"/>
      <c r="P23" s="2365">
        <v>4417</v>
      </c>
      <c r="Q23" s="2362"/>
      <c r="R23" s="2365">
        <v>0</v>
      </c>
      <c r="S23" s="2362"/>
      <c r="T23" s="2379">
        <v>0</v>
      </c>
      <c r="U23" s="2362"/>
      <c r="V23" s="2379"/>
      <c r="W23" s="2362"/>
      <c r="X23" s="2367"/>
      <c r="Y23" s="2362"/>
      <c r="Z23" s="2364">
        <f t="shared" si="0"/>
        <v>-79166</v>
      </c>
    </row>
    <row r="24" spans="1:28" s="944" customFormat="1" ht="15.6">
      <c r="A24" s="945" t="s">
        <v>154</v>
      </c>
      <c r="B24" s="946">
        <f>ROUND(SUM(B15:B23),0)</f>
        <v>460727524</v>
      </c>
      <c r="C24" s="947"/>
      <c r="D24" s="946">
        <f>ROUND(SUM(D15:D23),0)</f>
        <v>471064269</v>
      </c>
      <c r="E24" s="948"/>
      <c r="F24" s="946">
        <f>ROUND(SUM(F15:F23),0)</f>
        <v>472852147</v>
      </c>
      <c r="G24" s="948"/>
      <c r="H24" s="946">
        <f>ROUND(SUM(H15:H23),0)</f>
        <v>544916457</v>
      </c>
      <c r="I24" s="948"/>
      <c r="J24" s="946">
        <f>ROUND(SUM(J15:J23),0)</f>
        <v>523814632</v>
      </c>
      <c r="K24" s="950"/>
      <c r="L24" s="946">
        <f>ROUND(SUM(L15:L23),0)</f>
        <v>477003881</v>
      </c>
      <c r="M24" s="943"/>
      <c r="N24" s="946">
        <f>ROUND(SUM(N15:N23),0)</f>
        <v>510771279</v>
      </c>
      <c r="O24" s="948"/>
      <c r="P24" s="946">
        <f>ROUND(SUM(P15:P23),0)</f>
        <v>469499422</v>
      </c>
      <c r="Q24" s="948"/>
      <c r="R24" s="946">
        <f>ROUND(SUM(R15:R23),0)</f>
        <v>526135507</v>
      </c>
      <c r="S24" s="948"/>
      <c r="T24" s="946">
        <f>ROUND(SUM(T15:T23),0)</f>
        <v>500298133</v>
      </c>
      <c r="U24" s="948"/>
      <c r="V24" s="946">
        <f>ROUND(SUM(V15:V23),0)</f>
        <v>0</v>
      </c>
      <c r="W24" s="948"/>
      <c r="X24" s="946">
        <f>ROUND(SUM(X15:X23),0)</f>
        <v>0</v>
      </c>
      <c r="Y24" s="948"/>
      <c r="Z24" s="946">
        <f>ROUND(SUM(Z15:Z23),0)</f>
        <v>4957083251</v>
      </c>
      <c r="AB24" s="761"/>
    </row>
    <row r="25" spans="1:28" ht="15" customHeight="1">
      <c r="A25" s="2358"/>
      <c r="B25" s="2362"/>
      <c r="C25" s="2363"/>
      <c r="D25" s="2362"/>
      <c r="E25" s="2362"/>
      <c r="F25" s="2362"/>
      <c r="G25" s="2362"/>
      <c r="H25" s="2362"/>
      <c r="I25" s="2362"/>
      <c r="J25" s="2362"/>
      <c r="K25" s="2362"/>
      <c r="L25" s="2362"/>
      <c r="M25" s="2359"/>
      <c r="N25" s="2362"/>
      <c r="O25" s="2362"/>
      <c r="P25" s="2362"/>
      <c r="Q25" s="2362"/>
      <c r="R25" s="2362"/>
      <c r="S25" s="2362"/>
      <c r="T25" s="2362"/>
      <c r="U25" s="2362"/>
      <c r="V25" s="2362"/>
      <c r="W25" s="2362"/>
      <c r="X25" s="2362"/>
      <c r="Y25" s="2362"/>
      <c r="Z25" s="2372"/>
    </row>
    <row r="26" spans="1:28" ht="15.6">
      <c r="A26" s="945" t="s">
        <v>23</v>
      </c>
      <c r="B26" s="2362"/>
      <c r="C26" s="2363"/>
      <c r="D26" s="2362"/>
      <c r="E26" s="2362"/>
      <c r="F26" s="2362"/>
      <c r="G26" s="2362"/>
      <c r="H26" s="2362"/>
      <c r="I26" s="2362"/>
      <c r="J26" s="2362"/>
      <c r="K26" s="2362"/>
      <c r="L26" s="2362"/>
      <c r="M26" s="2359"/>
      <c r="N26" s="2362"/>
      <c r="O26" s="2362"/>
      <c r="P26" s="2362"/>
      <c r="Q26" s="2362"/>
      <c r="R26" s="2362"/>
      <c r="S26" s="2362"/>
      <c r="T26" s="2362"/>
      <c r="U26" s="2362"/>
      <c r="V26" s="2362"/>
      <c r="W26" s="2362"/>
      <c r="X26" s="2362"/>
      <c r="Y26" s="2362"/>
      <c r="Z26" s="2372"/>
    </row>
    <row r="27" spans="1:28" ht="15" customHeight="1">
      <c r="A27" s="1565" t="s">
        <v>495</v>
      </c>
      <c r="B27" s="2373">
        <v>360903249</v>
      </c>
      <c r="C27" s="2374"/>
      <c r="D27" s="2362">
        <v>505202281</v>
      </c>
      <c r="E27" s="2373"/>
      <c r="F27" s="2373">
        <v>369248231</v>
      </c>
      <c r="G27" s="2373"/>
      <c r="H27" s="2373">
        <v>510303626</v>
      </c>
      <c r="I27" s="2373"/>
      <c r="J27" s="2373">
        <v>564835841</v>
      </c>
      <c r="K27" s="2373"/>
      <c r="L27" s="2373">
        <v>481412502</v>
      </c>
      <c r="M27" s="2375"/>
      <c r="N27" s="2373">
        <v>441195241</v>
      </c>
      <c r="O27" s="2373"/>
      <c r="P27" s="2373">
        <v>531729522</v>
      </c>
      <c r="Q27" s="2373"/>
      <c r="R27" s="2373">
        <v>434514993</v>
      </c>
      <c r="S27" s="2373"/>
      <c r="T27" s="2373">
        <v>479256320</v>
      </c>
      <c r="U27" s="2373"/>
      <c r="V27" s="2373"/>
      <c r="W27" s="2373"/>
      <c r="X27" s="2373"/>
      <c r="Y27" s="2373"/>
      <c r="Z27" s="2364">
        <f>ROUND(SUM(B27:X27),0)</f>
        <v>4678601806</v>
      </c>
    </row>
    <row r="28" spans="1:28" ht="15" customHeight="1">
      <c r="A28" s="1565" t="s">
        <v>496</v>
      </c>
      <c r="B28" s="2373">
        <v>359</v>
      </c>
      <c r="C28" s="2374"/>
      <c r="D28" s="2362">
        <v>534</v>
      </c>
      <c r="E28" s="2373"/>
      <c r="F28" s="2373">
        <v>15</v>
      </c>
      <c r="G28" s="2373"/>
      <c r="H28" s="2373">
        <v>40</v>
      </c>
      <c r="I28" s="2373"/>
      <c r="J28" s="2373">
        <v>458</v>
      </c>
      <c r="K28" s="2373"/>
      <c r="L28" s="2373">
        <v>4</v>
      </c>
      <c r="M28" s="2375"/>
      <c r="N28" s="2376">
        <v>136</v>
      </c>
      <c r="O28" s="2373"/>
      <c r="P28" s="2377">
        <v>43</v>
      </c>
      <c r="Q28" s="2373"/>
      <c r="R28" s="2373">
        <f>1614-1589</f>
        <v>25</v>
      </c>
      <c r="S28" s="2373"/>
      <c r="T28" s="2376">
        <v>299</v>
      </c>
      <c r="U28" s="2373"/>
      <c r="V28" s="2376"/>
      <c r="W28" s="2373"/>
      <c r="X28" s="2378"/>
      <c r="Y28" s="2373"/>
      <c r="Z28" s="2364">
        <f>ROUND(SUM(B28:X28),0)</f>
        <v>1913</v>
      </c>
      <c r="AB28" s="762"/>
    </row>
    <row r="29" spans="1:28" ht="15" customHeight="1">
      <c r="A29" s="1565" t="s">
        <v>497</v>
      </c>
      <c r="B29" s="2373">
        <v>-203232</v>
      </c>
      <c r="C29" s="2374"/>
      <c r="D29" s="2362">
        <v>946322</v>
      </c>
      <c r="E29" s="2373"/>
      <c r="F29" s="2373">
        <v>925549</v>
      </c>
      <c r="G29" s="2373"/>
      <c r="H29" s="2373">
        <v>1009655</v>
      </c>
      <c r="I29" s="2373"/>
      <c r="J29" s="2373">
        <v>276616</v>
      </c>
      <c r="K29" s="2373"/>
      <c r="L29" s="2373">
        <v>541042</v>
      </c>
      <c r="M29" s="2375"/>
      <c r="N29" s="2376">
        <v>1149161</v>
      </c>
      <c r="O29" s="2373"/>
      <c r="P29" s="2377">
        <v>684244</v>
      </c>
      <c r="Q29" s="2373"/>
      <c r="R29" s="2373">
        <f>5707680-5329357</f>
        <v>378323</v>
      </c>
      <c r="S29" s="2373"/>
      <c r="T29" s="2373">
        <v>199837</v>
      </c>
      <c r="U29" s="2373"/>
      <c r="V29" s="2373"/>
      <c r="W29" s="2373"/>
      <c r="X29" s="2373"/>
      <c r="Y29" s="2373"/>
      <c r="Z29" s="2364">
        <f>ROUND(SUM(B29:X29),0)</f>
        <v>5907517</v>
      </c>
    </row>
    <row r="30" spans="1:28" ht="15" customHeight="1">
      <c r="A30" s="1565" t="s">
        <v>498</v>
      </c>
      <c r="B30" s="2373">
        <v>625977</v>
      </c>
      <c r="C30" s="2374"/>
      <c r="D30" s="2362">
        <v>1992212</v>
      </c>
      <c r="E30" s="2373"/>
      <c r="F30" s="2378">
        <v>1230145</v>
      </c>
      <c r="G30" s="2373"/>
      <c r="H30" s="2373">
        <v>45004</v>
      </c>
      <c r="I30" s="2373"/>
      <c r="J30" s="2373">
        <v>3891340</v>
      </c>
      <c r="K30" s="2373"/>
      <c r="L30" s="2373">
        <v>461636</v>
      </c>
      <c r="M30" s="2375"/>
      <c r="N30" s="2376">
        <v>2705643</v>
      </c>
      <c r="O30" s="2373"/>
      <c r="P30" s="2377">
        <v>2571981</v>
      </c>
      <c r="Q30" s="2373"/>
      <c r="R30" s="2373">
        <v>1654293</v>
      </c>
      <c r="S30" s="2373"/>
      <c r="T30" s="2373">
        <v>967894</v>
      </c>
      <c r="U30" s="2373"/>
      <c r="V30" s="2373"/>
      <c r="W30" s="2373"/>
      <c r="X30" s="2373"/>
      <c r="Y30" s="2373"/>
      <c r="Z30" s="2364">
        <f>ROUND(SUM(B30:X30),0)</f>
        <v>16146125</v>
      </c>
    </row>
    <row r="31" spans="1:28" ht="15" customHeight="1">
      <c r="A31" s="1565" t="s">
        <v>499</v>
      </c>
      <c r="B31" s="2379">
        <v>0</v>
      </c>
      <c r="C31" s="2374"/>
      <c r="D31" s="2362">
        <v>756263</v>
      </c>
      <c r="E31" s="2373"/>
      <c r="F31" s="2380">
        <v>786414</v>
      </c>
      <c r="G31" s="2373"/>
      <c r="H31" s="2379">
        <v>98408</v>
      </c>
      <c r="I31" s="2373"/>
      <c r="J31" s="2373">
        <v>529181</v>
      </c>
      <c r="K31" s="2373"/>
      <c r="L31" s="2373">
        <v>308570</v>
      </c>
      <c r="M31" s="2375"/>
      <c r="N31" s="2379">
        <v>493779</v>
      </c>
      <c r="O31" s="2373"/>
      <c r="P31" s="2373">
        <v>273280</v>
      </c>
      <c r="Q31" s="2373"/>
      <c r="R31" s="2378">
        <f>3245895-3245895</f>
        <v>0</v>
      </c>
      <c r="S31" s="2373"/>
      <c r="T31" s="2380">
        <v>17780</v>
      </c>
      <c r="U31" s="2373"/>
      <c r="V31" s="2380"/>
      <c r="W31" s="2373"/>
      <c r="X31" s="2380"/>
      <c r="Y31" s="2373"/>
      <c r="Z31" s="2364">
        <f>ROUND(SUM(B31:X31),0)</f>
        <v>3263675</v>
      </c>
    </row>
    <row r="32" spans="1:28" ht="15.6">
      <c r="A32" s="951" t="s">
        <v>160</v>
      </c>
      <c r="B32" s="949">
        <f>ROUND(SUM(B27:B31),0)</f>
        <v>361326353</v>
      </c>
      <c r="C32" s="2374"/>
      <c r="D32" s="949">
        <f>ROUND(SUM(D27:D31),0)</f>
        <v>508897612</v>
      </c>
      <c r="E32" s="2373"/>
      <c r="F32" s="949">
        <f>ROUND(SUM(F27:F31),0)</f>
        <v>372190354</v>
      </c>
      <c r="G32" s="2373"/>
      <c r="H32" s="949">
        <f>ROUND(SUM(H27:H31),0)</f>
        <v>511456733</v>
      </c>
      <c r="I32" s="2373"/>
      <c r="J32" s="949">
        <f>ROUND(SUM(J27:J31),0)</f>
        <v>569533436</v>
      </c>
      <c r="K32" s="2373"/>
      <c r="L32" s="949">
        <f>ROUND(SUM(L27:L31),0)</f>
        <v>482723754</v>
      </c>
      <c r="M32" s="2375"/>
      <c r="N32" s="949">
        <f>ROUND(SUM(N27:N31),0)</f>
        <v>445543960</v>
      </c>
      <c r="O32" s="2373"/>
      <c r="P32" s="949">
        <f>ROUND(SUM(P27:P31),0)</f>
        <v>535259070</v>
      </c>
      <c r="Q32" s="2373"/>
      <c r="R32" s="949">
        <f>ROUND(SUM(R27:R31),0)</f>
        <v>436547634</v>
      </c>
      <c r="S32" s="2373"/>
      <c r="T32" s="949">
        <f>ROUND(SUM(T27:T31),0)</f>
        <v>480442130</v>
      </c>
      <c r="U32" s="2373"/>
      <c r="V32" s="949">
        <f>ROUND(SUM(V27:V31),0)</f>
        <v>0</v>
      </c>
      <c r="W32" s="2373"/>
      <c r="X32" s="949">
        <f>ROUND(SUM(X27:X31),0)</f>
        <v>0</v>
      </c>
      <c r="Y32" s="2373"/>
      <c r="Z32" s="949">
        <f>ROUND(SUM(Z27:Z31),0)</f>
        <v>4703921036</v>
      </c>
    </row>
    <row r="33" spans="1:28" ht="15.6">
      <c r="A33" s="951"/>
      <c r="B33" s="2373"/>
      <c r="C33" s="2374"/>
      <c r="D33" s="2373"/>
      <c r="E33" s="2373"/>
      <c r="F33" s="2379"/>
      <c r="G33" s="2373"/>
      <c r="H33" s="2379"/>
      <c r="I33" s="2373"/>
      <c r="J33" s="2373"/>
      <c r="K33" s="2373"/>
      <c r="L33" s="2378"/>
      <c r="M33" s="2375"/>
      <c r="N33" s="2378"/>
      <c r="O33" s="2373"/>
      <c r="P33" s="2377"/>
      <c r="Q33" s="2373"/>
      <c r="R33" s="2379"/>
      <c r="S33" s="2373"/>
      <c r="T33" s="2379"/>
      <c r="U33" s="2373"/>
      <c r="V33" s="2379"/>
      <c r="W33" s="2373"/>
      <c r="X33" s="2379"/>
      <c r="Y33" s="2373"/>
      <c r="Z33" s="2364"/>
    </row>
    <row r="34" spans="1:28" ht="15.6">
      <c r="A34" s="952" t="s">
        <v>500</v>
      </c>
      <c r="B34" s="2379"/>
      <c r="C34" s="2381"/>
      <c r="D34" s="2379"/>
      <c r="E34" s="2373"/>
      <c r="F34" s="2378"/>
      <c r="G34" s="2373"/>
      <c r="H34" s="2379"/>
      <c r="I34" s="2373"/>
      <c r="J34" s="2379"/>
      <c r="K34" s="2373"/>
      <c r="L34" s="2379"/>
      <c r="M34" s="2375"/>
      <c r="N34" s="2379"/>
      <c r="O34" s="2373"/>
      <c r="P34" s="2377"/>
      <c r="Q34" s="2373"/>
      <c r="R34" s="2379"/>
      <c r="S34" s="2373"/>
      <c r="T34" s="2379"/>
      <c r="U34" s="2373"/>
      <c r="V34" s="2379"/>
      <c r="W34" s="2373"/>
      <c r="X34" s="2378"/>
      <c r="Y34" s="2373"/>
      <c r="Z34" s="2364"/>
    </row>
    <row r="35" spans="1:28" ht="15" customHeight="1">
      <c r="A35" s="1565" t="s">
        <v>501</v>
      </c>
      <c r="B35" s="2379">
        <v>0</v>
      </c>
      <c r="C35" s="2381"/>
      <c r="D35" s="2362">
        <v>0</v>
      </c>
      <c r="E35" s="2373"/>
      <c r="F35" s="2379">
        <v>0</v>
      </c>
      <c r="G35" s="2373"/>
      <c r="H35" s="2379">
        <v>0</v>
      </c>
      <c r="I35" s="2373"/>
      <c r="J35" s="2379">
        <v>0</v>
      </c>
      <c r="K35" s="2373"/>
      <c r="L35" s="2379">
        <v>0</v>
      </c>
      <c r="M35" s="2375"/>
      <c r="N35" s="2378">
        <v>0</v>
      </c>
      <c r="O35" s="2373"/>
      <c r="P35" s="2379">
        <v>0</v>
      </c>
      <c r="Q35" s="2373"/>
      <c r="R35" s="2380">
        <v>0</v>
      </c>
      <c r="S35" s="2373"/>
      <c r="T35" s="2380">
        <v>0</v>
      </c>
      <c r="U35" s="2373"/>
      <c r="V35" s="2380"/>
      <c r="W35" s="2373"/>
      <c r="X35" s="2380"/>
      <c r="Y35" s="2373"/>
      <c r="Z35" s="2364">
        <f t="shared" ref="Z35:Z40" si="1">ROUND(SUM(B35:X35),0)</f>
        <v>0</v>
      </c>
    </row>
    <row r="36" spans="1:28" ht="15" customHeight="1">
      <c r="A36" s="1565" t="s">
        <v>502</v>
      </c>
      <c r="B36" s="2379">
        <v>0</v>
      </c>
      <c r="C36" s="2381"/>
      <c r="D36" s="2362">
        <v>0</v>
      </c>
      <c r="E36" s="2373"/>
      <c r="F36" s="2379">
        <v>21041</v>
      </c>
      <c r="G36" s="2373"/>
      <c r="H36" s="2379">
        <v>0</v>
      </c>
      <c r="I36" s="2373"/>
      <c r="J36" s="2379">
        <v>0</v>
      </c>
      <c r="K36" s="2373"/>
      <c r="L36" s="2379">
        <v>0</v>
      </c>
      <c r="M36" s="2375"/>
      <c r="N36" s="2379">
        <v>0</v>
      </c>
      <c r="O36" s="2373"/>
      <c r="P36" s="2379">
        <v>1247</v>
      </c>
      <c r="Q36" s="2373"/>
      <c r="R36" s="2379">
        <v>0</v>
      </c>
      <c r="S36" s="2373"/>
      <c r="T36" s="2365">
        <v>0</v>
      </c>
      <c r="U36" s="2373"/>
      <c r="V36" s="2365"/>
      <c r="W36" s="2373"/>
      <c r="X36" s="2379"/>
      <c r="Y36" s="2373"/>
      <c r="Z36" s="2364">
        <f t="shared" si="1"/>
        <v>22288</v>
      </c>
    </row>
    <row r="37" spans="1:28" ht="15" customHeight="1">
      <c r="A37" s="1565" t="s">
        <v>148</v>
      </c>
      <c r="B37" s="2379">
        <v>0</v>
      </c>
      <c r="C37" s="2381"/>
      <c r="D37" s="2362">
        <v>0</v>
      </c>
      <c r="E37" s="2373"/>
      <c r="F37" s="2379">
        <v>0</v>
      </c>
      <c r="G37" s="2373"/>
      <c r="H37" s="2379">
        <v>0</v>
      </c>
      <c r="I37" s="2373"/>
      <c r="J37" s="2380">
        <v>3582200</v>
      </c>
      <c r="K37" s="2373"/>
      <c r="L37" s="2378">
        <v>5830080</v>
      </c>
      <c r="M37" s="2375"/>
      <c r="N37" s="2379">
        <v>0</v>
      </c>
      <c r="O37" s="2373"/>
      <c r="P37" s="2379">
        <v>0</v>
      </c>
      <c r="Q37" s="2373"/>
      <c r="R37" s="2379">
        <v>0</v>
      </c>
      <c r="S37" s="2373"/>
      <c r="T37" s="2365">
        <v>0</v>
      </c>
      <c r="U37" s="2373"/>
      <c r="V37" s="2365"/>
      <c r="W37" s="2373"/>
      <c r="X37" s="2379"/>
      <c r="Y37" s="2373"/>
      <c r="Z37" s="2364">
        <f t="shared" si="1"/>
        <v>9412280</v>
      </c>
    </row>
    <row r="38" spans="1:28" ht="15">
      <c r="A38" s="1565" t="s">
        <v>503</v>
      </c>
      <c r="B38" s="953"/>
      <c r="C38" s="953"/>
      <c r="D38" s="2362"/>
      <c r="E38" s="953"/>
      <c r="F38" s="953"/>
      <c r="G38" s="953"/>
      <c r="H38" s="953"/>
      <c r="I38" s="953"/>
      <c r="J38" s="953"/>
      <c r="K38" s="953"/>
      <c r="L38" s="953"/>
      <c r="M38" s="2375"/>
      <c r="N38" s="953"/>
      <c r="O38" s="953"/>
      <c r="P38" s="953"/>
      <c r="Q38" s="953"/>
      <c r="R38" s="953"/>
      <c r="S38" s="953"/>
      <c r="T38" s="953"/>
      <c r="U38" s="953"/>
      <c r="V38" s="953"/>
      <c r="W38" s="953"/>
      <c r="X38" s="953"/>
      <c r="Y38" s="953"/>
      <c r="Z38" s="2364"/>
    </row>
    <row r="39" spans="1:28" ht="15">
      <c r="A39" s="1565" t="s">
        <v>504</v>
      </c>
      <c r="B39" s="2379">
        <v>0</v>
      </c>
      <c r="C39" s="2381"/>
      <c r="D39" s="2362">
        <v>0</v>
      </c>
      <c r="E39" s="2373"/>
      <c r="F39" s="2379">
        <v>140000</v>
      </c>
      <c r="G39" s="2373"/>
      <c r="H39" s="2379">
        <v>0</v>
      </c>
      <c r="I39" s="2373"/>
      <c r="J39" s="2379">
        <v>0</v>
      </c>
      <c r="K39" s="2373"/>
      <c r="L39" s="2379">
        <v>0</v>
      </c>
      <c r="M39" s="2375"/>
      <c r="N39" s="2379">
        <v>121600</v>
      </c>
      <c r="O39" s="2373"/>
      <c r="P39" s="2379">
        <v>0</v>
      </c>
      <c r="Q39" s="2373"/>
      <c r="R39" s="2379">
        <v>0</v>
      </c>
      <c r="S39" s="2373"/>
      <c r="T39" s="2365">
        <v>0</v>
      </c>
      <c r="U39" s="2373"/>
      <c r="V39" s="2365"/>
      <c r="W39" s="2373"/>
      <c r="X39" s="2379"/>
      <c r="Y39" s="2373"/>
      <c r="Z39" s="2364">
        <f t="shared" si="1"/>
        <v>261600</v>
      </c>
    </row>
    <row r="40" spans="1:28" ht="15">
      <c r="A40" s="1565" t="s">
        <v>505</v>
      </c>
      <c r="B40" s="2379">
        <v>0</v>
      </c>
      <c r="C40" s="2381"/>
      <c r="D40" s="2362">
        <v>15148000</v>
      </c>
      <c r="E40" s="2373"/>
      <c r="F40" s="2379">
        <v>0</v>
      </c>
      <c r="G40" s="2373"/>
      <c r="H40" s="2373">
        <v>0</v>
      </c>
      <c r="I40" s="2373"/>
      <c r="J40" s="2379">
        <v>0</v>
      </c>
      <c r="K40" s="2373"/>
      <c r="L40" s="2379">
        <v>3750000</v>
      </c>
      <c r="M40" s="2375"/>
      <c r="N40" s="2378">
        <v>0</v>
      </c>
      <c r="O40" s="2373"/>
      <c r="P40" s="2379">
        <v>0</v>
      </c>
      <c r="Q40" s="2373"/>
      <c r="R40" s="2379">
        <v>0</v>
      </c>
      <c r="S40" s="2373"/>
      <c r="T40" s="2365">
        <v>0</v>
      </c>
      <c r="U40" s="2373"/>
      <c r="V40" s="2365"/>
      <c r="W40" s="2373"/>
      <c r="X40" s="2379"/>
      <c r="Y40" s="2373"/>
      <c r="Z40" s="2364">
        <f t="shared" si="1"/>
        <v>18898000</v>
      </c>
    </row>
    <row r="41" spans="1:28" ht="15" customHeight="1">
      <c r="A41" s="1565" t="s">
        <v>506</v>
      </c>
      <c r="B41" s="2380">
        <v>292120</v>
      </c>
      <c r="C41" s="2381"/>
      <c r="D41" s="2362">
        <v>637443</v>
      </c>
      <c r="E41" s="2373"/>
      <c r="F41" s="2380">
        <v>492128</v>
      </c>
      <c r="G41" s="2373"/>
      <c r="H41" s="2380">
        <v>514920</v>
      </c>
      <c r="I41" s="2373"/>
      <c r="J41" s="2380">
        <v>1121877</v>
      </c>
      <c r="K41" s="2373"/>
      <c r="L41" s="2380">
        <v>620487</v>
      </c>
      <c r="M41" s="2375"/>
      <c r="N41" s="2378">
        <v>299046</v>
      </c>
      <c r="O41" s="2373"/>
      <c r="P41" s="2378">
        <v>235217</v>
      </c>
      <c r="Q41" s="2373"/>
      <c r="R41" s="2378">
        <v>2150542</v>
      </c>
      <c r="S41" s="2373"/>
      <c r="T41" s="2378">
        <v>1254694</v>
      </c>
      <c r="U41" s="2373"/>
      <c r="V41" s="2378"/>
      <c r="W41" s="2373"/>
      <c r="X41" s="2378"/>
      <c r="Y41" s="2373"/>
      <c r="Z41" s="2364">
        <f>ROUND(SUM(B41:X41),0)</f>
        <v>7618474</v>
      </c>
    </row>
    <row r="42" spans="1:28" ht="15.6">
      <c r="A42" s="945" t="s">
        <v>507</v>
      </c>
      <c r="B42" s="954">
        <f>ROUND(SUM(B35:B41),0)</f>
        <v>292120</v>
      </c>
      <c r="C42" s="2366"/>
      <c r="D42" s="954">
        <f>ROUND(SUM(D35:D41),0)</f>
        <v>15785443</v>
      </c>
      <c r="E42" s="2362"/>
      <c r="F42" s="954">
        <f>ROUND(SUM(F35:F41),0)</f>
        <v>653169</v>
      </c>
      <c r="G42" s="2362"/>
      <c r="H42" s="954">
        <f>ROUND(SUM(H35:H41),0)</f>
        <v>514920</v>
      </c>
      <c r="I42" s="2362"/>
      <c r="J42" s="954">
        <f>ROUND(SUM(J35:J41),0)</f>
        <v>4704077</v>
      </c>
      <c r="K42" s="2362"/>
      <c r="L42" s="954">
        <f>ROUND(SUM(L35:L41),0)</f>
        <v>10200567</v>
      </c>
      <c r="M42" s="2359"/>
      <c r="N42" s="954">
        <f>ROUND(SUM(N35:N41),0)</f>
        <v>420646</v>
      </c>
      <c r="O42" s="2362"/>
      <c r="P42" s="954">
        <f>ROUND(SUM(P35:P41),0)</f>
        <v>236464</v>
      </c>
      <c r="Q42" s="2362"/>
      <c r="R42" s="954">
        <f>ROUND(SUM(R35:R41),0)</f>
        <v>2150542</v>
      </c>
      <c r="S42" s="2362"/>
      <c r="T42" s="954">
        <f>ROUND(SUM(T35:T41),0)</f>
        <v>1254694</v>
      </c>
      <c r="U42" s="2362"/>
      <c r="V42" s="954">
        <f>ROUND(SUM(V35:V41),0)</f>
        <v>0</v>
      </c>
      <c r="W42" s="2362"/>
      <c r="X42" s="954">
        <f>ROUND(SUM(X35:X41),0)</f>
        <v>0</v>
      </c>
      <c r="Y42" s="2362"/>
      <c r="Z42" s="954">
        <f>ROUND(SUM(Z35:Z41),0)</f>
        <v>36212642</v>
      </c>
    </row>
    <row r="43" spans="1:28" ht="15" customHeight="1">
      <c r="B43" s="2382"/>
      <c r="C43" s="2366"/>
      <c r="D43" s="2382"/>
      <c r="E43" s="2362"/>
      <c r="F43" s="2383"/>
      <c r="G43" s="2362"/>
      <c r="H43" s="2382"/>
      <c r="I43" s="2362"/>
      <c r="J43" s="2382"/>
      <c r="K43" s="2362"/>
      <c r="L43" s="2382"/>
      <c r="M43" s="2359"/>
      <c r="N43" s="2382"/>
      <c r="O43" s="2362"/>
      <c r="P43" s="2384"/>
      <c r="Q43" s="2362"/>
      <c r="R43" s="2382"/>
      <c r="S43" s="2362"/>
      <c r="T43" s="2382"/>
      <c r="U43" s="2362"/>
      <c r="V43" s="2382"/>
      <c r="W43" s="2362"/>
      <c r="X43" s="2385"/>
      <c r="Y43" s="2362"/>
      <c r="Z43" s="2386"/>
    </row>
    <row r="44" spans="1:28" s="944" customFormat="1" ht="15.6">
      <c r="A44" s="945" t="s">
        <v>508</v>
      </c>
      <c r="B44" s="2387">
        <f>ROUND(B32+B42,0)</f>
        <v>361618473</v>
      </c>
      <c r="C44" s="947"/>
      <c r="D44" s="2387">
        <f>ROUND(D32+D42,0)</f>
        <v>524683055</v>
      </c>
      <c r="E44" s="948"/>
      <c r="F44" s="2387">
        <f>ROUND(F32+F42,0)</f>
        <v>372843523</v>
      </c>
      <c r="G44" s="948"/>
      <c r="H44" s="2387">
        <f>ROUND(H32+H42,0)</f>
        <v>511971653</v>
      </c>
      <c r="I44" s="948"/>
      <c r="J44" s="2387">
        <f>ROUND(J32+J42,0)</f>
        <v>574237513</v>
      </c>
      <c r="K44" s="947"/>
      <c r="L44" s="2387">
        <f>ROUND(L32+L42,0)</f>
        <v>492924321</v>
      </c>
      <c r="M44" s="943"/>
      <c r="N44" s="2387">
        <f>ROUND(N32+N42,0)</f>
        <v>445964606</v>
      </c>
      <c r="O44" s="948"/>
      <c r="P44" s="2387">
        <f>ROUND(P32+P42,0)</f>
        <v>535495534</v>
      </c>
      <c r="Q44" s="948"/>
      <c r="R44" s="2387">
        <f>ROUND(R32+R42,0)</f>
        <v>438698176</v>
      </c>
      <c r="S44" s="948"/>
      <c r="T44" s="2387">
        <f>ROUND(T32+T42,0)</f>
        <v>481696824</v>
      </c>
      <c r="U44" s="948"/>
      <c r="V44" s="2387">
        <f>ROUND(V32+V42,0)</f>
        <v>0</v>
      </c>
      <c r="W44" s="948"/>
      <c r="X44" s="2387">
        <f>ROUND(X32+X42,0)</f>
        <v>0</v>
      </c>
      <c r="Y44" s="948"/>
      <c r="Z44" s="2387">
        <f>ROUND(Z32+Z42,0)</f>
        <v>4740133678</v>
      </c>
      <c r="AB44" s="761"/>
    </row>
    <row r="45" spans="1:28" ht="15" customHeight="1">
      <c r="A45" s="2358"/>
      <c r="B45" s="2360"/>
      <c r="C45" s="2360"/>
      <c r="D45" s="2360"/>
      <c r="E45" s="2359"/>
      <c r="F45" s="2360"/>
      <c r="G45" s="2359"/>
      <c r="H45" s="2360"/>
      <c r="I45" s="2359"/>
      <c r="J45" s="2388"/>
      <c r="K45" s="2360"/>
      <c r="L45" s="2388"/>
      <c r="M45" s="2359"/>
      <c r="N45" s="2388"/>
      <c r="O45" s="2359"/>
      <c r="P45" s="2388"/>
      <c r="Q45" s="2359"/>
      <c r="R45" s="2388"/>
      <c r="S45" s="2359"/>
      <c r="T45" s="2388"/>
      <c r="U45" s="2359"/>
      <c r="V45" s="2388"/>
      <c r="W45" s="2359"/>
      <c r="X45" s="2388"/>
      <c r="Y45" s="2359"/>
      <c r="Z45" s="2389"/>
    </row>
    <row r="46" spans="1:28" s="944" customFormat="1" ht="16.2" thickBot="1">
      <c r="A46" s="952" t="s">
        <v>509</v>
      </c>
      <c r="B46" s="955">
        <f>ROUND(B12+B24-B44,0)</f>
        <v>111014558</v>
      </c>
      <c r="C46" s="941"/>
      <c r="D46" s="955">
        <f>ROUND(D12+D24-D44,0)</f>
        <v>57395772</v>
      </c>
      <c r="E46" s="2357"/>
      <c r="F46" s="955">
        <f>ROUND(F12+F24-F44,0)</f>
        <v>157404396</v>
      </c>
      <c r="G46" s="2357"/>
      <c r="H46" s="955">
        <f>ROUND(H12+H24-H44,0)</f>
        <v>190349200</v>
      </c>
      <c r="I46" s="2357"/>
      <c r="J46" s="955">
        <f>ROUND(J12+J24-J44,0)</f>
        <v>139926319</v>
      </c>
      <c r="K46" s="941"/>
      <c r="L46" s="955">
        <f>ROUND(L12+L24-L44,0)</f>
        <v>124005879</v>
      </c>
      <c r="M46" s="956"/>
      <c r="N46" s="955">
        <f>ROUND(N12+N24-N44,0)</f>
        <v>188812552</v>
      </c>
      <c r="O46" s="957"/>
      <c r="P46" s="955">
        <f>ROUND(P12+P24-P44,0)</f>
        <v>122816440</v>
      </c>
      <c r="Q46" s="957"/>
      <c r="R46" s="955">
        <f>ROUND(R12+R24-R44,0)</f>
        <v>210253771</v>
      </c>
      <c r="S46" s="957"/>
      <c r="T46" s="955">
        <f>ROUND(T12+T24-T44,0)</f>
        <v>228855080</v>
      </c>
      <c r="U46" s="957"/>
      <c r="V46" s="955">
        <f>ROUND(V12+V24-V44,0)</f>
        <v>0</v>
      </c>
      <c r="W46" s="957"/>
      <c r="X46" s="955">
        <f>ROUND(X12+X24-X44,0)</f>
        <v>0</v>
      </c>
      <c r="Y46" s="957"/>
      <c r="Z46" s="955">
        <f>ROUND(Z12+Z24-Z44,0)</f>
        <v>228855080</v>
      </c>
    </row>
    <row r="47" spans="1:28" ht="15.6" thickTop="1">
      <c r="A47" s="2358"/>
      <c r="B47" s="2354"/>
      <c r="C47" s="2354"/>
      <c r="D47" s="2354"/>
      <c r="E47" s="2390"/>
      <c r="F47" s="2354"/>
      <c r="G47" s="2390"/>
      <c r="H47" s="2354"/>
      <c r="I47" s="2390"/>
      <c r="J47" s="2354"/>
      <c r="K47" s="2354"/>
      <c r="L47" s="2354"/>
      <c r="M47" s="2390"/>
      <c r="N47" s="2354"/>
      <c r="O47" s="2390"/>
      <c r="P47" s="2354"/>
      <c r="Q47" s="2390"/>
      <c r="R47" s="2354"/>
      <c r="S47" s="2390"/>
      <c r="T47" s="2354"/>
      <c r="U47" s="2390"/>
      <c r="V47" s="2354"/>
      <c r="W47" s="2390"/>
      <c r="X47" s="2354"/>
      <c r="Y47" s="2390"/>
      <c r="Z47" s="2389"/>
    </row>
    <row r="48" spans="1:28" ht="15">
      <c r="A48" s="958"/>
      <c r="B48" s="2391"/>
      <c r="C48" s="2391"/>
      <c r="D48" s="2391"/>
      <c r="E48" s="2355"/>
      <c r="F48" s="2391"/>
      <c r="G48" s="2355"/>
      <c r="H48" s="2391"/>
      <c r="I48" s="2355"/>
      <c r="J48" s="2391"/>
      <c r="K48" s="2391"/>
      <c r="L48" s="2391"/>
      <c r="M48" s="2355"/>
      <c r="N48" s="2391"/>
      <c r="O48" s="2355"/>
      <c r="P48" s="2391"/>
      <c r="Q48" s="2355"/>
      <c r="R48" s="2391"/>
      <c r="S48" s="2355"/>
      <c r="T48" s="2391"/>
      <c r="U48" s="2355"/>
      <c r="V48" s="2391"/>
      <c r="W48" s="2355"/>
      <c r="X48" s="2391"/>
      <c r="Y48" s="2355"/>
      <c r="Z48" s="2361"/>
    </row>
    <row r="50" spans="1:26" ht="18" customHeight="1">
      <c r="A50" s="959"/>
      <c r="B50" s="2349"/>
      <c r="C50" s="2349"/>
      <c r="D50" s="2349"/>
      <c r="E50" s="922"/>
      <c r="F50" s="2349"/>
      <c r="G50" s="922"/>
      <c r="H50" s="2349"/>
      <c r="I50" s="922"/>
      <c r="J50" s="2349"/>
      <c r="K50" s="2349"/>
      <c r="L50" s="2349"/>
      <c r="M50" s="2355"/>
      <c r="N50" s="2349"/>
      <c r="O50" s="922"/>
      <c r="P50" s="2349"/>
      <c r="Q50" s="922"/>
      <c r="R50" s="2349"/>
      <c r="S50" s="922"/>
      <c r="T50" s="2349"/>
      <c r="U50" s="922"/>
      <c r="V50" s="2349"/>
      <c r="W50" s="922"/>
      <c r="X50" s="2349"/>
      <c r="Y50" s="922"/>
      <c r="Z50" s="2350"/>
    </row>
    <row r="51" spans="1:26" ht="15">
      <c r="A51" s="2352"/>
      <c r="B51" s="2391"/>
      <c r="C51" s="2391"/>
      <c r="D51" s="2391"/>
      <c r="E51" s="2355"/>
      <c r="F51" s="2391"/>
      <c r="G51" s="2355"/>
      <c r="H51" s="2391"/>
      <c r="I51" s="2355"/>
      <c r="J51" s="2391"/>
      <c r="K51" s="2391"/>
      <c r="L51" s="2391"/>
      <c r="M51" s="2355"/>
      <c r="N51" s="2391"/>
      <c r="O51" s="2355"/>
      <c r="P51" s="2391"/>
      <c r="Q51" s="2355"/>
      <c r="R51" s="2391"/>
      <c r="S51" s="2355"/>
      <c r="T51" s="2391"/>
      <c r="U51" s="2355"/>
      <c r="V51" s="2391"/>
      <c r="W51" s="2355"/>
      <c r="X51" s="2391"/>
      <c r="Y51" s="2355"/>
      <c r="Z51" s="2361"/>
    </row>
    <row r="52" spans="1:26" ht="15">
      <c r="A52" s="2352"/>
      <c r="B52" s="2391"/>
      <c r="C52" s="2391"/>
      <c r="D52" s="2391"/>
      <c r="E52" s="2355"/>
      <c r="F52" s="2391"/>
      <c r="G52" s="2355"/>
      <c r="H52" s="2391"/>
      <c r="I52" s="2355"/>
      <c r="J52" s="2391"/>
      <c r="K52" s="2391"/>
      <c r="L52" s="2391"/>
      <c r="M52" s="2355"/>
      <c r="N52" s="2391"/>
      <c r="O52" s="2355"/>
      <c r="P52" s="2391"/>
      <c r="Q52" s="2355"/>
      <c r="R52" s="2391"/>
      <c r="S52" s="2355"/>
      <c r="T52" s="2391"/>
      <c r="U52" s="2355"/>
      <c r="V52" s="2391"/>
      <c r="W52" s="2355"/>
      <c r="X52" s="2391"/>
      <c r="Y52" s="2355"/>
      <c r="Z52" s="2361"/>
    </row>
    <row r="53" spans="1:26">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row r="94" spans="1:26">
      <c r="A94" s="919"/>
      <c r="B94" s="921"/>
      <c r="C94" s="921"/>
      <c r="D94" s="921"/>
      <c r="E94" s="922"/>
      <c r="F94" s="921"/>
      <c r="G94" s="922"/>
      <c r="H94" s="921"/>
      <c r="I94" s="922"/>
      <c r="J94" s="921"/>
      <c r="K94" s="921"/>
      <c r="L94" s="921"/>
      <c r="M94" s="922"/>
      <c r="N94" s="921"/>
      <c r="O94" s="922"/>
      <c r="P94" s="921"/>
      <c r="Q94" s="922"/>
      <c r="R94" s="921"/>
      <c r="S94" s="922"/>
      <c r="T94" s="921"/>
      <c r="U94" s="922"/>
      <c r="V94" s="921"/>
      <c r="W94" s="922"/>
      <c r="X94" s="921"/>
      <c r="Y94" s="922"/>
      <c r="Z94" s="763"/>
    </row>
    <row r="95" spans="1:26">
      <c r="A95" s="919"/>
      <c r="B95" s="921"/>
      <c r="C95" s="921"/>
      <c r="D95" s="921"/>
      <c r="E95" s="922"/>
      <c r="F95" s="921"/>
      <c r="G95" s="922"/>
      <c r="H95" s="921"/>
      <c r="I95" s="922"/>
      <c r="J95" s="921"/>
      <c r="K95" s="921"/>
      <c r="L95" s="921"/>
      <c r="M95" s="922"/>
      <c r="N95" s="921"/>
      <c r="O95" s="922"/>
      <c r="P95" s="921"/>
      <c r="Q95" s="922"/>
      <c r="R95" s="921"/>
      <c r="S95" s="922"/>
      <c r="T95" s="921"/>
      <c r="U95" s="922"/>
      <c r="V95" s="921"/>
      <c r="W95" s="922"/>
      <c r="X95" s="921"/>
      <c r="Y95" s="922"/>
      <c r="Z95" s="763"/>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M109"/>
  <sheetViews>
    <sheetView showGridLines="0" zoomScale="80" zoomScaleNormal="80" workbookViewId="0"/>
  </sheetViews>
  <sheetFormatPr defaultColWidth="8.90625" defaultRowHeight="15"/>
  <cols>
    <col min="1" max="1" width="54.453125" style="1701" customWidth="1"/>
    <col min="2" max="2" width="1.6328125" style="1701" customWidth="1"/>
    <col min="3" max="3" width="18.6328125" style="1701" customWidth="1"/>
    <col min="4" max="4" width="1.6328125" style="1701" customWidth="1"/>
    <col min="5" max="5" width="18.6328125" style="1702" customWidth="1"/>
    <col min="6" max="6" width="1.453125" style="1702" customWidth="1"/>
    <col min="7" max="7" width="18.6328125" style="1702" customWidth="1"/>
    <col min="8" max="8" width="1.81640625" style="2410" customWidth="1"/>
    <col min="9" max="9" width="15.1796875" style="2410" customWidth="1"/>
    <col min="10" max="10" width="2.08984375" style="1321" customWidth="1"/>
    <col min="11" max="11" width="16.81640625" style="1321" bestFit="1" customWidth="1"/>
    <col min="12" max="12" width="2.1796875" style="1701" customWidth="1"/>
    <col min="13" max="13" width="17" style="1701" customWidth="1"/>
    <col min="14" max="16384" width="8.90625" style="1701"/>
  </cols>
  <sheetData>
    <row r="1" spans="1:13">
      <c r="A1" s="1124" t="s">
        <v>1066</v>
      </c>
      <c r="H1" s="1702"/>
      <c r="I1" s="1702"/>
      <c r="J1" s="1702"/>
      <c r="K1" s="1702"/>
      <c r="L1" s="1702"/>
      <c r="M1" s="1702"/>
    </row>
    <row r="2" spans="1:13">
      <c r="A2" s="2844"/>
      <c r="H2" s="1702"/>
      <c r="I2" s="1702"/>
      <c r="J2" s="1702"/>
      <c r="K2" s="1702"/>
      <c r="L2" s="1702"/>
      <c r="M2" s="1702"/>
    </row>
    <row r="3" spans="1:13" s="1714" customFormat="1" ht="13.2">
      <c r="A3" s="2845" t="s">
        <v>510</v>
      </c>
      <c r="B3" s="2845"/>
      <c r="C3" s="3009"/>
      <c r="D3" s="2846"/>
      <c r="E3" s="2669"/>
      <c r="F3" s="2669"/>
      <c r="G3" s="2669"/>
      <c r="H3" s="2669"/>
      <c r="I3" s="2669"/>
      <c r="J3" s="2669"/>
      <c r="K3" s="2669"/>
      <c r="L3" s="2669"/>
      <c r="M3" s="2669" t="s">
        <v>511</v>
      </c>
    </row>
    <row r="4" spans="1:13" s="1714" customFormat="1" ht="13.2">
      <c r="A4" s="2845" t="s">
        <v>512</v>
      </c>
      <c r="B4" s="2845"/>
      <c r="C4" s="3009"/>
      <c r="D4" s="2846"/>
      <c r="E4" s="2669"/>
      <c r="F4" s="2669"/>
      <c r="G4" s="2669"/>
      <c r="H4" s="2669"/>
      <c r="I4" s="2669"/>
      <c r="J4" s="2669"/>
      <c r="K4" s="2669"/>
      <c r="L4" s="2669"/>
      <c r="M4" s="2669"/>
    </row>
    <row r="5" spans="1:13" s="1714" customFormat="1" ht="13.2">
      <c r="A5" s="2845" t="s">
        <v>513</v>
      </c>
      <c r="B5" s="2845"/>
      <c r="C5" s="3009"/>
      <c r="D5" s="2846"/>
      <c r="E5" s="2669"/>
      <c r="F5" s="2669"/>
      <c r="G5" s="2669"/>
      <c r="H5" s="2669"/>
      <c r="I5" s="2669"/>
      <c r="J5" s="2669"/>
      <c r="K5" s="2669"/>
      <c r="L5" s="2669"/>
      <c r="M5" s="2669"/>
    </row>
    <row r="6" spans="1:13" s="1714" customFormat="1" ht="13.2">
      <c r="A6" s="2847" t="s">
        <v>1472</v>
      </c>
      <c r="B6" s="2847"/>
      <c r="C6" s="3010"/>
      <c r="D6" s="2848"/>
      <c r="E6" s="2669"/>
      <c r="F6" s="2669"/>
      <c r="G6" s="2669"/>
      <c r="H6" s="2669"/>
      <c r="I6" s="2669"/>
      <c r="J6" s="2669"/>
      <c r="K6" s="2669"/>
      <c r="L6" s="2669"/>
      <c r="M6" s="2669"/>
    </row>
    <row r="7" spans="1:13" ht="13.2">
      <c r="C7" s="1704"/>
      <c r="H7" s="1702"/>
      <c r="I7" s="1702"/>
      <c r="J7" s="1702"/>
      <c r="K7" s="1702"/>
      <c r="L7" s="1702"/>
      <c r="M7" s="1702"/>
    </row>
    <row r="8" spans="1:13" ht="27" customHeight="1">
      <c r="A8" s="2849" t="s">
        <v>514</v>
      </c>
      <c r="B8" s="2850"/>
      <c r="C8" s="3011" t="s">
        <v>985</v>
      </c>
      <c r="D8" s="2671"/>
      <c r="E8" s="3011" t="s">
        <v>1505</v>
      </c>
      <c r="F8" s="2670"/>
      <c r="G8" s="2672" t="s">
        <v>1521</v>
      </c>
      <c r="H8" s="2670"/>
      <c r="I8" s="2672" t="s">
        <v>1583</v>
      </c>
      <c r="J8" s="2670"/>
      <c r="K8" s="2672" t="s">
        <v>1584</v>
      </c>
      <c r="L8" s="2670"/>
      <c r="M8" s="2672" t="s">
        <v>1585</v>
      </c>
    </row>
    <row r="9" spans="1:13" s="1714" customFormat="1" ht="13.2">
      <c r="A9" s="2851" t="s">
        <v>515</v>
      </c>
      <c r="B9" s="2850"/>
      <c r="C9" s="3329">
        <v>8053000</v>
      </c>
      <c r="D9" s="2673"/>
      <c r="E9" s="3496"/>
      <c r="F9" s="3012"/>
      <c r="G9" s="3012"/>
      <c r="H9" s="3012"/>
      <c r="I9" s="3012"/>
      <c r="J9" s="3012"/>
      <c r="K9" s="3012"/>
      <c r="L9" s="3012"/>
      <c r="M9" s="3012"/>
    </row>
    <row r="10" spans="1:13" s="1714" customFormat="1" ht="13.2">
      <c r="A10" s="1701" t="s">
        <v>516</v>
      </c>
      <c r="B10" s="2855"/>
      <c r="C10" s="3176"/>
      <c r="D10" s="2674"/>
      <c r="E10" s="3330">
        <v>0</v>
      </c>
      <c r="F10" s="3331"/>
      <c r="G10" s="3330">
        <v>0</v>
      </c>
      <c r="H10" s="3331"/>
      <c r="I10" s="3330">
        <v>0</v>
      </c>
      <c r="J10" s="3331"/>
      <c r="K10" s="3330">
        <v>0</v>
      </c>
      <c r="L10" s="3331"/>
      <c r="M10" s="3330">
        <f>ROUND(SUM(E10+G10+I10+K10),0)</f>
        <v>0</v>
      </c>
    </row>
    <row r="11" spans="1:13" s="1714" customFormat="1" ht="13.2">
      <c r="A11" s="1701" t="s">
        <v>517</v>
      </c>
      <c r="B11" s="2855"/>
      <c r="C11" s="3176"/>
      <c r="D11" s="2674"/>
      <c r="E11" s="3012">
        <v>0</v>
      </c>
      <c r="F11" s="3012"/>
      <c r="G11" s="2854">
        <v>0</v>
      </c>
      <c r="H11" s="3012"/>
      <c r="I11" s="2854">
        <v>0</v>
      </c>
      <c r="J11" s="3012"/>
      <c r="K11" s="2854">
        <v>0</v>
      </c>
      <c r="L11" s="3012"/>
      <c r="M11" s="2854">
        <f t="shared" ref="M11:M74" si="0">ROUND(SUM(E11+G11+I11+K11),0)</f>
        <v>0</v>
      </c>
    </row>
    <row r="12" spans="1:13" s="1714" customFormat="1" ht="13.2">
      <c r="A12" s="1701" t="s">
        <v>518</v>
      </c>
      <c r="B12" s="2855"/>
      <c r="C12" s="3176"/>
      <c r="D12" s="2674"/>
      <c r="E12" s="3012">
        <v>810378</v>
      </c>
      <c r="F12" s="3012"/>
      <c r="G12" s="2854">
        <v>725553</v>
      </c>
      <c r="H12" s="3012"/>
      <c r="I12" s="2854">
        <v>788292</v>
      </c>
      <c r="J12" s="3012"/>
      <c r="K12" s="2854">
        <v>146897</v>
      </c>
      <c r="L12" s="3012"/>
      <c r="M12" s="2854">
        <f t="shared" si="0"/>
        <v>2471120</v>
      </c>
    </row>
    <row r="13" spans="1:13" s="1714" customFormat="1" ht="13.2">
      <c r="A13" s="1701" t="s">
        <v>519</v>
      </c>
      <c r="B13" s="2855"/>
      <c r="C13" s="3176"/>
      <c r="D13" s="2674"/>
      <c r="E13" s="3012">
        <v>0</v>
      </c>
      <c r="F13" s="3012"/>
      <c r="G13" s="2854">
        <v>0</v>
      </c>
      <c r="H13" s="3012"/>
      <c r="I13" s="2854">
        <v>0</v>
      </c>
      <c r="J13" s="3012"/>
      <c r="K13" s="2854">
        <v>0</v>
      </c>
      <c r="L13" s="3012"/>
      <c r="M13" s="2854">
        <f t="shared" si="0"/>
        <v>0</v>
      </c>
    </row>
    <row r="14" spans="1:13" s="1714" customFormat="1" ht="13.2">
      <c r="A14" s="1701" t="s">
        <v>520</v>
      </c>
      <c r="B14" s="2855"/>
      <c r="C14" s="3176"/>
      <c r="D14" s="2674"/>
      <c r="E14" s="3012">
        <v>0</v>
      </c>
      <c r="F14" s="3012"/>
      <c r="G14" s="2854">
        <v>0</v>
      </c>
      <c r="H14" s="3012"/>
      <c r="I14" s="2854">
        <v>0</v>
      </c>
      <c r="J14" s="3012"/>
      <c r="K14" s="2854">
        <v>0</v>
      </c>
      <c r="L14" s="3012"/>
      <c r="M14" s="2854">
        <f t="shared" si="0"/>
        <v>0</v>
      </c>
    </row>
    <row r="15" spans="1:13" s="1714" customFormat="1" ht="13.2">
      <c r="A15" s="1701" t="s">
        <v>521</v>
      </c>
      <c r="B15" s="2855"/>
      <c r="C15" s="3176"/>
      <c r="D15" s="2674"/>
      <c r="E15" s="3012">
        <v>0</v>
      </c>
      <c r="F15" s="3012"/>
      <c r="G15" s="2854">
        <v>0</v>
      </c>
      <c r="H15" s="3012"/>
      <c r="I15" s="2854">
        <v>0</v>
      </c>
      <c r="J15" s="3012"/>
      <c r="K15" s="2854">
        <v>0</v>
      </c>
      <c r="L15" s="3012"/>
      <c r="M15" s="2854">
        <f t="shared" si="0"/>
        <v>0</v>
      </c>
    </row>
    <row r="16" spans="1:13" s="1714" customFormat="1" ht="13.2">
      <c r="A16" s="1701" t="s">
        <v>522</v>
      </c>
      <c r="B16" s="2855"/>
      <c r="C16" s="3176"/>
      <c r="D16" s="2674"/>
      <c r="E16" s="3012">
        <v>0</v>
      </c>
      <c r="F16" s="3012"/>
      <c r="G16" s="2854">
        <v>0</v>
      </c>
      <c r="H16" s="3012"/>
      <c r="I16" s="2854">
        <v>0</v>
      </c>
      <c r="J16" s="3012"/>
      <c r="K16" s="2854">
        <v>0</v>
      </c>
      <c r="L16" s="3012"/>
      <c r="M16" s="2854">
        <f t="shared" si="0"/>
        <v>0</v>
      </c>
    </row>
    <row r="17" spans="1:13" s="1714" customFormat="1" ht="13.2">
      <c r="A17" s="1701" t="s">
        <v>523</v>
      </c>
      <c r="B17" s="2855"/>
      <c r="C17" s="3176"/>
      <c r="D17" s="2674"/>
      <c r="E17" s="3012">
        <v>0</v>
      </c>
      <c r="F17" s="3012"/>
      <c r="G17" s="2854">
        <v>0</v>
      </c>
      <c r="H17" s="3012"/>
      <c r="I17" s="2854">
        <v>0</v>
      </c>
      <c r="J17" s="3012"/>
      <c r="K17" s="2854">
        <v>0</v>
      </c>
      <c r="L17" s="3012"/>
      <c r="M17" s="2854">
        <f t="shared" si="0"/>
        <v>0</v>
      </c>
    </row>
    <row r="18" spans="1:13" s="1714" customFormat="1" ht="13.2">
      <c r="A18" s="1701" t="s">
        <v>1072</v>
      </c>
      <c r="B18" s="2855"/>
      <c r="C18" s="3176"/>
      <c r="D18" s="2674"/>
      <c r="E18" s="3012">
        <v>0</v>
      </c>
      <c r="F18" s="3012"/>
      <c r="G18" s="2854">
        <v>0</v>
      </c>
      <c r="H18" s="3012"/>
      <c r="I18" s="2854">
        <v>0</v>
      </c>
      <c r="J18" s="3012"/>
      <c r="K18" s="2854">
        <v>0</v>
      </c>
      <c r="L18" s="3012"/>
      <c r="M18" s="2854">
        <f t="shared" si="0"/>
        <v>0</v>
      </c>
    </row>
    <row r="19" spans="1:13" s="1714" customFormat="1" ht="13.2">
      <c r="A19" s="1701" t="s">
        <v>524</v>
      </c>
      <c r="B19" s="2855"/>
      <c r="C19" s="3176"/>
      <c r="D19" s="2674"/>
      <c r="E19" s="3012">
        <v>0</v>
      </c>
      <c r="F19" s="3012"/>
      <c r="G19" s="2854">
        <v>0</v>
      </c>
      <c r="H19" s="3012"/>
      <c r="I19" s="2854">
        <v>0</v>
      </c>
      <c r="J19" s="3012"/>
      <c r="K19" s="2854">
        <v>0</v>
      </c>
      <c r="L19" s="3012"/>
      <c r="M19" s="2854">
        <f t="shared" si="0"/>
        <v>0</v>
      </c>
    </row>
    <row r="20" spans="1:13" s="1714" customFormat="1" ht="13.2">
      <c r="A20" s="1701" t="s">
        <v>525</v>
      </c>
      <c r="B20" s="2855"/>
      <c r="C20" s="3176"/>
      <c r="D20" s="2674"/>
      <c r="E20" s="3012">
        <v>0</v>
      </c>
      <c r="F20" s="3012"/>
      <c r="G20" s="2854">
        <v>0</v>
      </c>
      <c r="H20" s="3012"/>
      <c r="I20" s="2854">
        <v>0</v>
      </c>
      <c r="J20" s="3012"/>
      <c r="K20" s="2854">
        <v>0</v>
      </c>
      <c r="L20" s="3012"/>
      <c r="M20" s="2854">
        <f t="shared" si="0"/>
        <v>0</v>
      </c>
    </row>
    <row r="21" spans="1:13" s="1714" customFormat="1" ht="13.2">
      <c r="A21" s="1701" t="s">
        <v>526</v>
      </c>
      <c r="B21" s="2855"/>
      <c r="C21" s="3176"/>
      <c r="D21" s="2674"/>
      <c r="E21" s="3012">
        <v>0</v>
      </c>
      <c r="F21" s="3012"/>
      <c r="G21" s="2854">
        <v>0</v>
      </c>
      <c r="H21" s="3012"/>
      <c r="I21" s="2854">
        <v>0</v>
      </c>
      <c r="J21" s="3012"/>
      <c r="K21" s="2854">
        <v>0</v>
      </c>
      <c r="L21" s="3012"/>
      <c r="M21" s="2854">
        <f t="shared" si="0"/>
        <v>0</v>
      </c>
    </row>
    <row r="22" spans="1:13" s="1714" customFormat="1" ht="13.2">
      <c r="A22" s="1701" t="s">
        <v>527</v>
      </c>
      <c r="B22" s="2855"/>
      <c r="C22" s="3176"/>
      <c r="D22" s="2674"/>
      <c r="E22" s="3012">
        <v>0</v>
      </c>
      <c r="F22" s="3012"/>
      <c r="G22" s="2854">
        <v>0</v>
      </c>
      <c r="H22" s="3012"/>
      <c r="I22" s="2854">
        <v>0</v>
      </c>
      <c r="J22" s="3012"/>
      <c r="K22" s="2854">
        <v>0</v>
      </c>
      <c r="L22" s="3012"/>
      <c r="M22" s="2854">
        <f t="shared" si="0"/>
        <v>0</v>
      </c>
    </row>
    <row r="23" spans="1:13" s="1714" customFormat="1" ht="13.2">
      <c r="A23" s="1701" t="s">
        <v>528</v>
      </c>
      <c r="B23" s="2855"/>
      <c r="C23" s="3176"/>
      <c r="D23" s="2674"/>
      <c r="E23" s="3012">
        <v>0</v>
      </c>
      <c r="F23" s="3012"/>
      <c r="G23" s="2854">
        <v>0</v>
      </c>
      <c r="H23" s="3012"/>
      <c r="I23" s="2854">
        <v>0</v>
      </c>
      <c r="J23" s="3012"/>
      <c r="K23" s="2854">
        <v>0</v>
      </c>
      <c r="L23" s="3012"/>
      <c r="M23" s="2854">
        <f t="shared" si="0"/>
        <v>0</v>
      </c>
    </row>
    <row r="24" spans="1:13" s="1714" customFormat="1" ht="13.2">
      <c r="A24" s="1701" t="s">
        <v>529</v>
      </c>
      <c r="B24" s="2855"/>
      <c r="C24" s="3176"/>
      <c r="D24" s="2674"/>
      <c r="E24" s="3012">
        <v>0</v>
      </c>
      <c r="F24" s="3012"/>
      <c r="G24" s="2854">
        <v>0</v>
      </c>
      <c r="H24" s="3012"/>
      <c r="I24" s="2854">
        <v>0</v>
      </c>
      <c r="J24" s="3012"/>
      <c r="K24" s="2854">
        <v>0</v>
      </c>
      <c r="L24" s="3012"/>
      <c r="M24" s="2854">
        <f t="shared" si="0"/>
        <v>0</v>
      </c>
    </row>
    <row r="25" spans="1:13" s="1714" customFormat="1" ht="13.2">
      <c r="A25" s="1701" t="s">
        <v>530</v>
      </c>
      <c r="B25" s="2855"/>
      <c r="C25" s="3176"/>
      <c r="D25" s="2674"/>
      <c r="E25" s="3012">
        <v>0</v>
      </c>
      <c r="F25" s="3012"/>
      <c r="G25" s="2854">
        <v>0</v>
      </c>
      <c r="H25" s="3012"/>
      <c r="I25" s="2854">
        <v>0</v>
      </c>
      <c r="J25" s="3012"/>
      <c r="K25" s="2854">
        <v>0</v>
      </c>
      <c r="L25" s="3012"/>
      <c r="M25" s="2854">
        <f t="shared" si="0"/>
        <v>0</v>
      </c>
    </row>
    <row r="26" spans="1:13" s="1714" customFormat="1" ht="13.2">
      <c r="A26" s="1701" t="s">
        <v>531</v>
      </c>
      <c r="B26" s="2855"/>
      <c r="C26" s="3176"/>
      <c r="D26" s="2674"/>
      <c r="E26" s="3012">
        <v>0</v>
      </c>
      <c r="F26" s="3012"/>
      <c r="G26" s="2854">
        <v>0</v>
      </c>
      <c r="H26" s="3012"/>
      <c r="I26" s="2854">
        <v>0</v>
      </c>
      <c r="J26" s="3012"/>
      <c r="K26" s="2854">
        <v>0</v>
      </c>
      <c r="L26" s="3012"/>
      <c r="M26" s="2854">
        <f t="shared" si="0"/>
        <v>0</v>
      </c>
    </row>
    <row r="27" spans="1:13" s="1714" customFormat="1" ht="13.2">
      <c r="A27" s="2851" t="s">
        <v>532</v>
      </c>
      <c r="B27" s="3013"/>
      <c r="C27" s="3175">
        <v>983547000</v>
      </c>
      <c r="D27" s="3014"/>
      <c r="E27" s="2856"/>
      <c r="F27" s="2856"/>
      <c r="G27" s="2856"/>
      <c r="H27" s="2856"/>
      <c r="I27" s="2856"/>
      <c r="J27" s="2856"/>
      <c r="K27" s="2856"/>
      <c r="L27" s="2856"/>
      <c r="M27" s="2856"/>
    </row>
    <row r="28" spans="1:13" s="1714" customFormat="1" ht="13.2">
      <c r="A28" s="1701" t="s">
        <v>533</v>
      </c>
      <c r="B28" s="1701" t="s">
        <v>15</v>
      </c>
      <c r="C28" s="3015"/>
      <c r="D28" s="2857"/>
      <c r="E28" s="2856">
        <v>59307785</v>
      </c>
      <c r="F28" s="2856"/>
      <c r="G28" s="2854">
        <v>60600642</v>
      </c>
      <c r="H28" s="2856"/>
      <c r="I28" s="2854">
        <v>57385778</v>
      </c>
      <c r="J28" s="2856"/>
      <c r="K28" s="2854">
        <v>21169803</v>
      </c>
      <c r="L28" s="2856"/>
      <c r="M28" s="2854">
        <f t="shared" si="0"/>
        <v>198464008</v>
      </c>
    </row>
    <row r="29" spans="1:13" ht="13.2">
      <c r="A29" s="2851" t="s">
        <v>534</v>
      </c>
      <c r="B29" s="3016"/>
      <c r="C29" s="3175">
        <v>120000</v>
      </c>
      <c r="D29" s="3017"/>
      <c r="E29" s="2856"/>
      <c r="F29" s="2856"/>
      <c r="G29" s="2856"/>
      <c r="H29" s="2856"/>
      <c r="I29" s="2856"/>
      <c r="J29" s="2856"/>
      <c r="K29" s="2856"/>
      <c r="L29" s="2856"/>
      <c r="M29" s="2856"/>
    </row>
    <row r="30" spans="1:13" ht="13.2">
      <c r="A30" s="1701" t="s">
        <v>535</v>
      </c>
      <c r="B30" s="1701" t="s">
        <v>15</v>
      </c>
      <c r="C30" s="3015"/>
      <c r="D30" s="2857"/>
      <c r="E30" s="2856">
        <v>0</v>
      </c>
      <c r="F30" s="2856"/>
      <c r="G30" s="2854">
        <v>30000</v>
      </c>
      <c r="H30" s="2856"/>
      <c r="I30" s="2854">
        <v>0</v>
      </c>
      <c r="J30" s="2856"/>
      <c r="K30" s="2854">
        <v>0</v>
      </c>
      <c r="L30" s="2856"/>
      <c r="M30" s="2854">
        <f t="shared" si="0"/>
        <v>30000</v>
      </c>
    </row>
    <row r="31" spans="1:13" ht="13.2">
      <c r="A31" s="2851" t="s">
        <v>1325</v>
      </c>
      <c r="B31" s="3018"/>
      <c r="C31" s="3175">
        <v>290310000</v>
      </c>
      <c r="D31" s="3019"/>
      <c r="E31" s="2856"/>
      <c r="F31" s="2856"/>
      <c r="G31" s="2856"/>
      <c r="H31" s="2856"/>
      <c r="I31" s="2856"/>
      <c r="J31" s="2856"/>
      <c r="K31" s="2856"/>
      <c r="L31" s="2856"/>
      <c r="M31" s="2856"/>
    </row>
    <row r="32" spans="1:13" ht="13.2">
      <c r="A32" s="1701" t="s">
        <v>1326</v>
      </c>
      <c r="B32" s="1701" t="s">
        <v>15</v>
      </c>
      <c r="C32" s="3015"/>
      <c r="D32" s="2857"/>
      <c r="E32" s="2856">
        <v>26479923</v>
      </c>
      <c r="F32" s="2856"/>
      <c r="G32" s="2854">
        <v>39647117</v>
      </c>
      <c r="H32" s="2856"/>
      <c r="I32" s="2854">
        <v>39783999</v>
      </c>
      <c r="J32" s="2856"/>
      <c r="K32" s="2854">
        <v>14557938</v>
      </c>
      <c r="L32" s="2856"/>
      <c r="M32" s="2854">
        <f t="shared" si="0"/>
        <v>120468977</v>
      </c>
    </row>
    <row r="33" spans="1:13" ht="13.2">
      <c r="A33" s="2851" t="s">
        <v>536</v>
      </c>
      <c r="B33" s="2852"/>
      <c r="C33" s="3175">
        <v>1976482814</v>
      </c>
      <c r="D33" s="3020"/>
      <c r="E33" s="3021"/>
      <c r="F33" s="3021"/>
      <c r="G33" s="3021"/>
      <c r="H33" s="3021"/>
      <c r="I33" s="3021"/>
      <c r="J33" s="3021"/>
      <c r="K33" s="3021"/>
      <c r="L33" s="3021"/>
      <c r="M33" s="3021"/>
    </row>
    <row r="34" spans="1:13" ht="13.2">
      <c r="A34" s="1701" t="s">
        <v>537</v>
      </c>
      <c r="C34" s="3015"/>
      <c r="D34" s="2857"/>
      <c r="E34" s="2856">
        <v>0</v>
      </c>
      <c r="F34" s="2856"/>
      <c r="G34" s="2854">
        <v>20000000</v>
      </c>
      <c r="H34" s="2856"/>
      <c r="I34" s="2854">
        <v>0</v>
      </c>
      <c r="J34" s="2856"/>
      <c r="K34" s="2854">
        <v>0</v>
      </c>
      <c r="L34" s="2856"/>
      <c r="M34" s="2854">
        <f t="shared" si="0"/>
        <v>20000000</v>
      </c>
    </row>
    <row r="35" spans="1:13" ht="13.2">
      <c r="A35" s="1701" t="s">
        <v>538</v>
      </c>
      <c r="C35" s="3015"/>
      <c r="D35" s="2857"/>
      <c r="E35" s="2856">
        <v>2555</v>
      </c>
      <c r="F35" s="2856"/>
      <c r="G35" s="2854">
        <v>212100</v>
      </c>
      <c r="H35" s="2856"/>
      <c r="I35" s="2854">
        <v>0</v>
      </c>
      <c r="J35" s="2856"/>
      <c r="K35" s="2854">
        <v>0</v>
      </c>
      <c r="L35" s="2856"/>
      <c r="M35" s="2854">
        <f t="shared" si="0"/>
        <v>214655</v>
      </c>
    </row>
    <row r="36" spans="1:13" ht="13.2">
      <c r="A36" s="1701" t="s">
        <v>539</v>
      </c>
      <c r="C36" s="3015"/>
      <c r="D36" s="2857"/>
      <c r="E36" s="2856">
        <v>631028</v>
      </c>
      <c r="F36" s="2856"/>
      <c r="G36" s="2854">
        <v>989373</v>
      </c>
      <c r="H36" s="2856"/>
      <c r="I36" s="2854">
        <v>41598</v>
      </c>
      <c r="J36" s="2856"/>
      <c r="K36" s="2854">
        <v>0</v>
      </c>
      <c r="L36" s="2856"/>
      <c r="M36" s="2854">
        <f t="shared" si="0"/>
        <v>1661999</v>
      </c>
    </row>
    <row r="37" spans="1:13" ht="13.2">
      <c r="A37" s="1701" t="s">
        <v>540</v>
      </c>
      <c r="C37" s="3015"/>
      <c r="D37" s="2857"/>
      <c r="E37" s="2856">
        <v>0</v>
      </c>
      <c r="F37" s="2856"/>
      <c r="G37" s="2854">
        <v>0</v>
      </c>
      <c r="H37" s="2856"/>
      <c r="I37" s="2854">
        <v>0</v>
      </c>
      <c r="J37" s="2856"/>
      <c r="K37" s="2854">
        <v>0</v>
      </c>
      <c r="L37" s="2856"/>
      <c r="M37" s="2854">
        <f t="shared" si="0"/>
        <v>0</v>
      </c>
    </row>
    <row r="38" spans="1:13" ht="13.2">
      <c r="A38" s="1701" t="s">
        <v>1073</v>
      </c>
      <c r="C38" s="3015"/>
      <c r="D38" s="2857"/>
      <c r="E38" s="2856">
        <v>0</v>
      </c>
      <c r="F38" s="2856"/>
      <c r="G38" s="2854">
        <v>0</v>
      </c>
      <c r="H38" s="2856"/>
      <c r="I38" s="2854">
        <v>27200000</v>
      </c>
      <c r="J38" s="2856"/>
      <c r="K38" s="2854">
        <v>13600000</v>
      </c>
      <c r="L38" s="2856"/>
      <c r="M38" s="2854">
        <f t="shared" si="0"/>
        <v>40800000</v>
      </c>
    </row>
    <row r="39" spans="1:13" ht="13.2">
      <c r="A39" s="1701" t="s">
        <v>541</v>
      </c>
      <c r="C39" s="3015"/>
      <c r="D39" s="2857"/>
      <c r="E39" s="2856">
        <v>276449</v>
      </c>
      <c r="F39" s="2856"/>
      <c r="G39" s="2854">
        <v>218094</v>
      </c>
      <c r="H39" s="2856"/>
      <c r="I39" s="2854">
        <v>503135</v>
      </c>
      <c r="J39" s="2856"/>
      <c r="K39" s="2854">
        <v>0</v>
      </c>
      <c r="L39" s="2856"/>
      <c r="M39" s="2854">
        <f t="shared" si="0"/>
        <v>997678</v>
      </c>
    </row>
    <row r="40" spans="1:13" ht="13.2">
      <c r="A40" s="1701" t="s">
        <v>542</v>
      </c>
      <c r="C40" s="3015"/>
      <c r="D40" s="2857"/>
      <c r="E40" s="2856">
        <v>0</v>
      </c>
      <c r="F40" s="2856"/>
      <c r="G40" s="2854">
        <v>0</v>
      </c>
      <c r="H40" s="2856"/>
      <c r="I40" s="2854">
        <v>6090000</v>
      </c>
      <c r="J40" s="2856"/>
      <c r="K40" s="2854">
        <v>0</v>
      </c>
      <c r="L40" s="2856"/>
      <c r="M40" s="2854">
        <f t="shared" si="0"/>
        <v>6090000</v>
      </c>
    </row>
    <row r="41" spans="1:13" ht="13.2">
      <c r="A41" s="1701" t="s">
        <v>1074</v>
      </c>
      <c r="C41" s="3015"/>
      <c r="D41" s="2857"/>
      <c r="E41" s="2856">
        <v>205100</v>
      </c>
      <c r="F41" s="2856"/>
      <c r="G41" s="2854">
        <v>0</v>
      </c>
      <c r="H41" s="2856"/>
      <c r="I41" s="2854">
        <v>195122</v>
      </c>
      <c r="J41" s="2856"/>
      <c r="K41" s="2854">
        <v>0</v>
      </c>
      <c r="L41" s="2856"/>
      <c r="M41" s="2854">
        <f t="shared" si="0"/>
        <v>400222</v>
      </c>
    </row>
    <row r="42" spans="1:13" ht="13.2">
      <c r="A42" s="1701" t="s">
        <v>543</v>
      </c>
      <c r="C42" s="3015"/>
      <c r="D42" s="2857"/>
      <c r="E42" s="2856">
        <v>19600000</v>
      </c>
      <c r="F42" s="2856"/>
      <c r="G42" s="2854">
        <v>0</v>
      </c>
      <c r="H42" s="2856"/>
      <c r="I42" s="2854">
        <v>0</v>
      </c>
      <c r="J42" s="2856"/>
      <c r="K42" s="2854">
        <v>0</v>
      </c>
      <c r="L42" s="2856"/>
      <c r="M42" s="2854">
        <f t="shared" si="0"/>
        <v>19600000</v>
      </c>
    </row>
    <row r="43" spans="1:13" ht="13.2">
      <c r="A43" s="1701" t="s">
        <v>544</v>
      </c>
      <c r="C43" s="3015"/>
      <c r="D43" s="2857"/>
      <c r="E43" s="2856">
        <v>482070</v>
      </c>
      <c r="F43" s="2856"/>
      <c r="G43" s="2854">
        <v>702624</v>
      </c>
      <c r="H43" s="2856"/>
      <c r="I43" s="2854">
        <v>2299138</v>
      </c>
      <c r="J43" s="2856"/>
      <c r="K43" s="2854">
        <v>952305</v>
      </c>
      <c r="L43" s="2856"/>
      <c r="M43" s="2854">
        <f t="shared" si="0"/>
        <v>4436137</v>
      </c>
    </row>
    <row r="44" spans="1:13" ht="13.2">
      <c r="A44" s="1701" t="s">
        <v>545</v>
      </c>
      <c r="C44" s="3015"/>
      <c r="D44" s="2857"/>
      <c r="E44" s="2856">
        <v>397218</v>
      </c>
      <c r="F44" s="2856"/>
      <c r="G44" s="2854">
        <v>102854</v>
      </c>
      <c r="H44" s="2856"/>
      <c r="I44" s="2854">
        <v>801048</v>
      </c>
      <c r="J44" s="2856"/>
      <c r="K44" s="2854">
        <v>105021</v>
      </c>
      <c r="L44" s="2856"/>
      <c r="M44" s="2854">
        <f t="shared" si="0"/>
        <v>1406141</v>
      </c>
    </row>
    <row r="45" spans="1:13" ht="13.2">
      <c r="A45" s="1701" t="s">
        <v>546</v>
      </c>
      <c r="C45" s="3015"/>
      <c r="D45" s="2857"/>
      <c r="E45" s="2856">
        <v>52000000</v>
      </c>
      <c r="F45" s="2856"/>
      <c r="G45" s="2854">
        <v>0</v>
      </c>
      <c r="H45" s="2856"/>
      <c r="I45" s="2854">
        <v>0</v>
      </c>
      <c r="J45" s="2856"/>
      <c r="K45" s="2854">
        <v>0</v>
      </c>
      <c r="L45" s="2856"/>
      <c r="M45" s="2854">
        <f t="shared" si="0"/>
        <v>52000000</v>
      </c>
    </row>
    <row r="46" spans="1:13" ht="13.2">
      <c r="A46" s="1701" t="s">
        <v>1076</v>
      </c>
      <c r="C46" s="3015"/>
      <c r="D46" s="2857"/>
      <c r="E46" s="2856">
        <v>0</v>
      </c>
      <c r="F46" s="2856"/>
      <c r="G46" s="2854">
        <v>0</v>
      </c>
      <c r="H46" s="2856"/>
      <c r="I46" s="2854">
        <v>0</v>
      </c>
      <c r="J46" s="2856"/>
      <c r="K46" s="2854">
        <v>0</v>
      </c>
      <c r="L46" s="2856"/>
      <c r="M46" s="2854">
        <f t="shared" si="0"/>
        <v>0</v>
      </c>
    </row>
    <row r="47" spans="1:13" ht="13.2">
      <c r="A47" s="2940" t="s">
        <v>1275</v>
      </c>
      <c r="C47" s="3015"/>
      <c r="D47" s="2857"/>
      <c r="E47" s="2856">
        <v>251903</v>
      </c>
      <c r="F47" s="2856"/>
      <c r="G47" s="2854">
        <v>62976</v>
      </c>
      <c r="H47" s="2856"/>
      <c r="I47" s="2854">
        <v>440831</v>
      </c>
      <c r="J47" s="2856"/>
      <c r="K47" s="2854">
        <v>94464</v>
      </c>
      <c r="L47" s="2856"/>
      <c r="M47" s="2854">
        <f t="shared" si="0"/>
        <v>850174</v>
      </c>
    </row>
    <row r="48" spans="1:13" ht="13.2">
      <c r="A48" s="1701" t="s">
        <v>547</v>
      </c>
      <c r="C48" s="3015"/>
      <c r="D48" s="2857"/>
      <c r="E48" s="2856">
        <v>0</v>
      </c>
      <c r="F48" s="2856"/>
      <c r="G48" s="2854">
        <v>0</v>
      </c>
      <c r="H48" s="2856"/>
      <c r="I48" s="2854">
        <v>0</v>
      </c>
      <c r="J48" s="2856"/>
      <c r="K48" s="2854">
        <v>0</v>
      </c>
      <c r="L48" s="2856"/>
      <c r="M48" s="2854">
        <f t="shared" si="0"/>
        <v>0</v>
      </c>
    </row>
    <row r="49" spans="1:13" ht="13.2">
      <c r="A49" s="1701" t="s">
        <v>548</v>
      </c>
      <c r="C49" s="3015"/>
      <c r="D49" s="2857"/>
      <c r="E49" s="2856">
        <v>0</v>
      </c>
      <c r="F49" s="2856"/>
      <c r="G49" s="2854">
        <v>122400000</v>
      </c>
      <c r="H49" s="2856"/>
      <c r="I49" s="2854">
        <v>0</v>
      </c>
      <c r="J49" s="2856"/>
      <c r="K49" s="2854">
        <v>0</v>
      </c>
      <c r="L49" s="2856"/>
      <c r="M49" s="2854">
        <f t="shared" si="0"/>
        <v>122400000</v>
      </c>
    </row>
    <row r="50" spans="1:13" ht="13.2">
      <c r="A50" s="1701" t="s">
        <v>549</v>
      </c>
      <c r="C50" s="3015"/>
      <c r="D50" s="2857"/>
      <c r="E50" s="2856">
        <v>426586</v>
      </c>
      <c r="F50" s="2856"/>
      <c r="G50" s="2854">
        <v>1947697</v>
      </c>
      <c r="H50" s="2856"/>
      <c r="I50" s="2854">
        <v>648517</v>
      </c>
      <c r="J50" s="2856"/>
      <c r="K50" s="2854">
        <v>501717</v>
      </c>
      <c r="L50" s="2856"/>
      <c r="M50" s="2854">
        <f t="shared" si="0"/>
        <v>3524517</v>
      </c>
    </row>
    <row r="51" spans="1:13" ht="13.2">
      <c r="A51" s="1701" t="s">
        <v>1434</v>
      </c>
      <c r="C51" s="3015"/>
      <c r="D51" s="2857"/>
      <c r="E51" s="2856">
        <v>0</v>
      </c>
      <c r="F51" s="2856"/>
      <c r="G51" s="2854">
        <v>373961</v>
      </c>
      <c r="H51" s="2856"/>
      <c r="I51" s="2854">
        <v>46216</v>
      </c>
      <c r="J51" s="2856"/>
      <c r="K51" s="2854">
        <v>0</v>
      </c>
      <c r="L51" s="2856"/>
      <c r="M51" s="2854">
        <f t="shared" si="0"/>
        <v>420177</v>
      </c>
    </row>
    <row r="52" spans="1:13" ht="13.2">
      <c r="A52" s="1701" t="s">
        <v>550</v>
      </c>
      <c r="C52" s="3015"/>
      <c r="D52" s="2857"/>
      <c r="E52" s="2856">
        <v>527726</v>
      </c>
      <c r="F52" s="2856"/>
      <c r="G52" s="2854">
        <v>2700836</v>
      </c>
      <c r="H52" s="2856"/>
      <c r="I52" s="2854">
        <v>421361</v>
      </c>
      <c r="J52" s="2856"/>
      <c r="K52" s="2854">
        <v>110079</v>
      </c>
      <c r="L52" s="2856"/>
      <c r="M52" s="2854">
        <f t="shared" si="0"/>
        <v>3760002</v>
      </c>
    </row>
    <row r="53" spans="1:13" ht="13.2">
      <c r="A53" s="1701" t="s">
        <v>551</v>
      </c>
      <c r="C53" s="3015"/>
      <c r="D53" s="2857"/>
      <c r="E53" s="2856">
        <v>3119</v>
      </c>
      <c r="F53" s="2856"/>
      <c r="G53" s="2854">
        <v>371676</v>
      </c>
      <c r="H53" s="2856"/>
      <c r="I53" s="2854">
        <v>35594</v>
      </c>
      <c r="J53" s="2856"/>
      <c r="K53" s="2854">
        <v>76611</v>
      </c>
      <c r="L53" s="2856"/>
      <c r="M53" s="2854">
        <f t="shared" si="0"/>
        <v>487000</v>
      </c>
    </row>
    <row r="54" spans="1:13" ht="13.2">
      <c r="A54" s="1701" t="s">
        <v>552</v>
      </c>
      <c r="C54" s="3015"/>
      <c r="D54" s="2857"/>
      <c r="E54" s="2856">
        <v>-1088626</v>
      </c>
      <c r="F54" s="2856"/>
      <c r="G54" s="2854">
        <v>0</v>
      </c>
      <c r="H54" s="2856"/>
      <c r="I54" s="2854">
        <v>2400000</v>
      </c>
      <c r="J54" s="2856"/>
      <c r="K54" s="2854">
        <v>-870901</v>
      </c>
      <c r="L54" s="2856"/>
      <c r="M54" s="2854">
        <f t="shared" si="0"/>
        <v>440473</v>
      </c>
    </row>
    <row r="55" spans="1:13" ht="13.2">
      <c r="A55" s="1701" t="s">
        <v>553</v>
      </c>
      <c r="C55" s="3015"/>
      <c r="D55" s="2857"/>
      <c r="E55" s="2856">
        <v>0</v>
      </c>
      <c r="F55" s="2856"/>
      <c r="G55" s="2854">
        <v>0</v>
      </c>
      <c r="H55" s="2856"/>
      <c r="I55" s="2854">
        <v>1993477</v>
      </c>
      <c r="J55" s="2856"/>
      <c r="K55" s="2854">
        <v>217174</v>
      </c>
      <c r="L55" s="2856"/>
      <c r="M55" s="2854">
        <f t="shared" si="0"/>
        <v>2210651</v>
      </c>
    </row>
    <row r="56" spans="1:13" ht="13.2">
      <c r="A56" s="1701" t="s">
        <v>554</v>
      </c>
      <c r="C56" s="3015"/>
      <c r="D56" s="2857"/>
      <c r="E56" s="2856">
        <v>16646500</v>
      </c>
      <c r="F56" s="2856"/>
      <c r="G56" s="2854">
        <v>16646500</v>
      </c>
      <c r="H56" s="2856"/>
      <c r="I56" s="2854">
        <v>16646500</v>
      </c>
      <c r="J56" s="2856"/>
      <c r="K56" s="2854">
        <v>16646500</v>
      </c>
      <c r="L56" s="2856"/>
      <c r="M56" s="2854">
        <f t="shared" si="0"/>
        <v>66586000</v>
      </c>
    </row>
    <row r="57" spans="1:13" ht="13.2">
      <c r="A57" s="1701" t="s">
        <v>555</v>
      </c>
      <c r="C57" s="3015"/>
      <c r="D57" s="2857"/>
      <c r="E57" s="2856">
        <v>0</v>
      </c>
      <c r="F57" s="2856"/>
      <c r="G57" s="2854">
        <v>0</v>
      </c>
      <c r="H57" s="2856"/>
      <c r="I57" s="2854">
        <v>0</v>
      </c>
      <c r="J57" s="2856"/>
      <c r="K57" s="2854">
        <v>0</v>
      </c>
      <c r="L57" s="2856"/>
      <c r="M57" s="2854">
        <f t="shared" si="0"/>
        <v>0</v>
      </c>
    </row>
    <row r="58" spans="1:13" ht="13.2">
      <c r="A58" s="1701" t="s">
        <v>556</v>
      </c>
      <c r="C58" s="3015"/>
      <c r="D58" s="2857"/>
      <c r="E58" s="2856">
        <v>831837</v>
      </c>
      <c r="F58" s="2856"/>
      <c r="G58" s="2854">
        <v>2078062</v>
      </c>
      <c r="H58" s="2856"/>
      <c r="I58" s="2854">
        <v>1933383</v>
      </c>
      <c r="J58" s="2856"/>
      <c r="K58" s="2854">
        <v>1210415</v>
      </c>
      <c r="L58" s="2856"/>
      <c r="M58" s="2854">
        <f t="shared" si="0"/>
        <v>6053697</v>
      </c>
    </row>
    <row r="59" spans="1:13" ht="13.2">
      <c r="A59" s="1701" t="s">
        <v>557</v>
      </c>
      <c r="C59" s="3015"/>
      <c r="D59" s="2857"/>
      <c r="E59" s="2856">
        <v>1465076</v>
      </c>
      <c r="F59" s="2856"/>
      <c r="G59" s="2854">
        <v>1197017</v>
      </c>
      <c r="H59" s="2856"/>
      <c r="I59" s="2854">
        <v>1188128</v>
      </c>
      <c r="J59" s="2856"/>
      <c r="K59" s="2854">
        <v>328953</v>
      </c>
      <c r="L59" s="2856"/>
      <c r="M59" s="2854">
        <f t="shared" si="0"/>
        <v>4179174</v>
      </c>
    </row>
    <row r="60" spans="1:13" ht="13.2">
      <c r="A60" s="1701" t="s">
        <v>558</v>
      </c>
      <c r="C60" s="3015"/>
      <c r="D60" s="2857"/>
      <c r="E60" s="2856">
        <v>0</v>
      </c>
      <c r="F60" s="2856"/>
      <c r="G60" s="2854">
        <v>0</v>
      </c>
      <c r="H60" s="2856"/>
      <c r="I60" s="2854">
        <v>2115000</v>
      </c>
      <c r="J60" s="2856"/>
      <c r="K60" s="2854">
        <v>0</v>
      </c>
      <c r="L60" s="2856"/>
      <c r="M60" s="2854">
        <f t="shared" si="0"/>
        <v>2115000</v>
      </c>
    </row>
    <row r="61" spans="1:13" ht="13.2">
      <c r="A61" s="1701" t="s">
        <v>559</v>
      </c>
      <c r="C61" s="3015"/>
      <c r="D61" s="2857"/>
      <c r="E61" s="2856">
        <v>0</v>
      </c>
      <c r="F61" s="2856"/>
      <c r="G61" s="2854">
        <v>0</v>
      </c>
      <c r="H61" s="2856"/>
      <c r="I61" s="2854">
        <v>4230000</v>
      </c>
      <c r="J61" s="2856"/>
      <c r="K61" s="2854">
        <v>0</v>
      </c>
      <c r="L61" s="2856"/>
      <c r="M61" s="2854">
        <f t="shared" si="0"/>
        <v>4230000</v>
      </c>
    </row>
    <row r="62" spans="1:13" ht="13.2">
      <c r="A62" s="1701" t="s">
        <v>560</v>
      </c>
      <c r="C62" s="3015"/>
      <c r="D62" s="2857"/>
      <c r="E62" s="2856">
        <v>0</v>
      </c>
      <c r="F62" s="2856"/>
      <c r="G62" s="2854">
        <v>0</v>
      </c>
      <c r="H62" s="2856"/>
      <c r="I62" s="2854">
        <v>0</v>
      </c>
      <c r="J62" s="2856"/>
      <c r="K62" s="2854">
        <v>0</v>
      </c>
      <c r="L62" s="2854"/>
      <c r="M62" s="2854">
        <f t="shared" si="0"/>
        <v>0</v>
      </c>
    </row>
    <row r="63" spans="1:13" ht="13.2">
      <c r="A63" s="1701" t="s">
        <v>982</v>
      </c>
      <c r="C63" s="3015"/>
      <c r="D63" s="2857"/>
      <c r="E63" s="2856">
        <v>0</v>
      </c>
      <c r="F63" s="2856"/>
      <c r="G63" s="2854">
        <v>0</v>
      </c>
      <c r="H63" s="2856"/>
      <c r="I63" s="2854">
        <v>0</v>
      </c>
      <c r="J63" s="2856"/>
      <c r="K63" s="2854">
        <v>0</v>
      </c>
      <c r="L63" s="2854"/>
      <c r="M63" s="2854">
        <f t="shared" si="0"/>
        <v>0</v>
      </c>
    </row>
    <row r="64" spans="1:13" ht="13.2">
      <c r="A64" s="2851" t="s">
        <v>561</v>
      </c>
      <c r="B64" s="2837"/>
      <c r="C64" s="3175">
        <v>27802837000</v>
      </c>
      <c r="D64" s="2858"/>
      <c r="E64" s="2854"/>
      <c r="F64" s="2854"/>
      <c r="G64" s="2856"/>
      <c r="H64" s="2854"/>
      <c r="I64" s="2856"/>
      <c r="J64" s="2854"/>
      <c r="K64" s="2856"/>
      <c r="L64" s="2856"/>
      <c r="M64" s="2856"/>
    </row>
    <row r="65" spans="1:13" ht="13.2">
      <c r="A65" s="1701" t="s">
        <v>1075</v>
      </c>
      <c r="B65" s="2836"/>
      <c r="C65" s="3176"/>
      <c r="D65" s="2857"/>
      <c r="E65" s="2856">
        <v>0</v>
      </c>
      <c r="F65" s="2856"/>
      <c r="G65" s="2854">
        <v>0</v>
      </c>
      <c r="H65" s="2856"/>
      <c r="I65" s="2854">
        <v>0</v>
      </c>
      <c r="J65" s="2856"/>
      <c r="K65" s="2854">
        <v>0</v>
      </c>
      <c r="L65" s="2856"/>
      <c r="M65" s="2854">
        <f t="shared" si="0"/>
        <v>0</v>
      </c>
    </row>
    <row r="66" spans="1:13" ht="13.2">
      <c r="A66" s="1701" t="s">
        <v>562</v>
      </c>
      <c r="B66" s="2836"/>
      <c r="C66" s="3176"/>
      <c r="D66" s="2859"/>
      <c r="E66" s="2856">
        <v>0</v>
      </c>
      <c r="F66" s="2856"/>
      <c r="G66" s="2854">
        <v>0</v>
      </c>
      <c r="H66" s="2856"/>
      <c r="I66" s="2854">
        <v>0</v>
      </c>
      <c r="J66" s="2856"/>
      <c r="K66" s="2854">
        <v>0</v>
      </c>
      <c r="L66" s="2856"/>
      <c r="M66" s="2854">
        <f>ROUND(SUM(E66+G66+I66+K66),0)</f>
        <v>0</v>
      </c>
    </row>
    <row r="67" spans="1:13" ht="13.2">
      <c r="A67" s="1701" t="s">
        <v>563</v>
      </c>
      <c r="B67" s="2836"/>
      <c r="C67" s="3176"/>
      <c r="D67" s="2859"/>
      <c r="E67" s="2856">
        <v>0</v>
      </c>
      <c r="F67" s="2856"/>
      <c r="G67" s="2854">
        <v>0</v>
      </c>
      <c r="H67" s="2856"/>
      <c r="I67" s="2854">
        <v>0</v>
      </c>
      <c r="J67" s="2856"/>
      <c r="K67" s="2854">
        <v>0</v>
      </c>
      <c r="L67" s="2856"/>
      <c r="M67" s="2854">
        <f t="shared" si="0"/>
        <v>0</v>
      </c>
    </row>
    <row r="68" spans="1:13" ht="13.2">
      <c r="A68" s="1701" t="s">
        <v>564</v>
      </c>
      <c r="B68" s="2860"/>
      <c r="C68" s="3176"/>
      <c r="D68" s="2859"/>
      <c r="E68" s="2856">
        <v>0</v>
      </c>
      <c r="F68" s="2856"/>
      <c r="G68" s="2854">
        <v>0</v>
      </c>
      <c r="H68" s="2856"/>
      <c r="I68" s="2854">
        <v>0</v>
      </c>
      <c r="J68" s="2856"/>
      <c r="K68" s="2854">
        <v>0</v>
      </c>
      <c r="L68" s="2856"/>
      <c r="M68" s="2854">
        <f t="shared" si="0"/>
        <v>0</v>
      </c>
    </row>
    <row r="69" spans="1:13" ht="13.2">
      <c r="A69" s="2861" t="s">
        <v>565</v>
      </c>
      <c r="B69" s="2862"/>
      <c r="C69" s="3176"/>
      <c r="D69" s="2859"/>
      <c r="E69" s="2856">
        <v>0</v>
      </c>
      <c r="F69" s="2856"/>
      <c r="G69" s="2854">
        <v>0</v>
      </c>
      <c r="H69" s="2856"/>
      <c r="I69" s="2854">
        <v>0</v>
      </c>
      <c r="J69" s="2856"/>
      <c r="K69" s="2854">
        <v>0</v>
      </c>
      <c r="L69" s="2856"/>
      <c r="M69" s="2854">
        <f t="shared" si="0"/>
        <v>0</v>
      </c>
    </row>
    <row r="70" spans="1:13" ht="13.2">
      <c r="A70" s="1701" t="s">
        <v>566</v>
      </c>
      <c r="B70" s="2836"/>
      <c r="C70" s="3176"/>
      <c r="D70" s="2857"/>
      <c r="E70" s="2856">
        <v>0</v>
      </c>
      <c r="F70" s="2856"/>
      <c r="G70" s="2854">
        <v>0</v>
      </c>
      <c r="H70" s="2856"/>
      <c r="I70" s="2854">
        <v>0</v>
      </c>
      <c r="J70" s="2856"/>
      <c r="K70" s="2854">
        <v>0</v>
      </c>
      <c r="L70" s="2856"/>
      <c r="M70" s="2854">
        <f t="shared" si="0"/>
        <v>0</v>
      </c>
    </row>
    <row r="71" spans="1:13" ht="13.2">
      <c r="A71" s="1705" t="s">
        <v>567</v>
      </c>
      <c r="B71" s="2863"/>
      <c r="C71" s="3176"/>
      <c r="D71" s="2864"/>
      <c r="E71" s="3012">
        <v>184685496</v>
      </c>
      <c r="F71" s="3012"/>
      <c r="G71" s="2854">
        <v>296292019</v>
      </c>
      <c r="H71" s="3012"/>
      <c r="I71" s="2854">
        <v>193757191</v>
      </c>
      <c r="J71" s="3012"/>
      <c r="K71" s="2854">
        <v>63749087</v>
      </c>
      <c r="L71" s="3012"/>
      <c r="M71" s="2854">
        <f t="shared" si="0"/>
        <v>738483793</v>
      </c>
    </row>
    <row r="72" spans="1:13" ht="13.2">
      <c r="A72" s="1701" t="s">
        <v>568</v>
      </c>
      <c r="B72" s="2865"/>
      <c r="C72" s="3176"/>
      <c r="D72" s="2853"/>
      <c r="E72" s="3012">
        <v>875081000</v>
      </c>
      <c r="F72" s="3012"/>
      <c r="G72" s="2854">
        <v>993241000</v>
      </c>
      <c r="H72" s="3012"/>
      <c r="I72" s="2854">
        <v>1054634000</v>
      </c>
      <c r="J72" s="3012"/>
      <c r="K72" s="2854">
        <v>347925000</v>
      </c>
      <c r="L72" s="3012"/>
      <c r="M72" s="2854">
        <f t="shared" si="0"/>
        <v>3270881000</v>
      </c>
    </row>
    <row r="73" spans="1:13" ht="13.2">
      <c r="A73" s="1701" t="s">
        <v>569</v>
      </c>
      <c r="B73" s="2866"/>
      <c r="C73" s="3176"/>
      <c r="D73" s="2867"/>
      <c r="E73" s="2856">
        <v>0</v>
      </c>
      <c r="F73" s="2856"/>
      <c r="G73" s="2854">
        <v>0</v>
      </c>
      <c r="H73" s="2856"/>
      <c r="I73" s="2854">
        <v>0</v>
      </c>
      <c r="J73" s="2856"/>
      <c r="K73" s="2854">
        <v>0</v>
      </c>
      <c r="L73" s="2856"/>
      <c r="M73" s="2854">
        <f t="shared" si="0"/>
        <v>0</v>
      </c>
    </row>
    <row r="74" spans="1:13" ht="13.2">
      <c r="A74" s="1701" t="s">
        <v>570</v>
      </c>
      <c r="B74" s="2866"/>
      <c r="C74" s="3176"/>
      <c r="D74" s="2867"/>
      <c r="E74" s="2856">
        <v>0</v>
      </c>
      <c r="F74" s="2856"/>
      <c r="G74" s="2854">
        <v>0</v>
      </c>
      <c r="H74" s="2856"/>
      <c r="I74" s="2854">
        <v>0</v>
      </c>
      <c r="J74" s="2856"/>
      <c r="K74" s="2854">
        <v>0</v>
      </c>
      <c r="L74" s="2856"/>
      <c r="M74" s="2854">
        <f t="shared" si="0"/>
        <v>0</v>
      </c>
    </row>
    <row r="75" spans="1:13" ht="13.2">
      <c r="A75" s="1701" t="s">
        <v>571</v>
      </c>
      <c r="B75" s="2866"/>
      <c r="C75" s="3176"/>
      <c r="D75" s="2867"/>
      <c r="E75" s="2856">
        <v>0</v>
      </c>
      <c r="F75" s="2856"/>
      <c r="G75" s="2854">
        <v>0</v>
      </c>
      <c r="H75" s="2856"/>
      <c r="I75" s="2854">
        <v>0</v>
      </c>
      <c r="J75" s="2856"/>
      <c r="K75" s="2854">
        <v>0</v>
      </c>
      <c r="L75" s="2856"/>
      <c r="M75" s="2854">
        <f t="shared" ref="M75:M76" si="1">ROUND(SUM(E75+G75+I75+K75),0)</f>
        <v>0</v>
      </c>
    </row>
    <row r="76" spans="1:13" ht="13.2">
      <c r="A76" s="1701" t="s">
        <v>984</v>
      </c>
      <c r="B76" s="2866"/>
      <c r="C76" s="3176"/>
      <c r="D76" s="2867"/>
      <c r="E76" s="2856">
        <v>0</v>
      </c>
      <c r="F76" s="2856"/>
      <c r="G76" s="2854">
        <v>0</v>
      </c>
      <c r="H76" s="2856"/>
      <c r="I76" s="2854">
        <v>0</v>
      </c>
      <c r="J76" s="2856"/>
      <c r="K76" s="2854">
        <v>0</v>
      </c>
      <c r="L76" s="2856"/>
      <c r="M76" s="2854">
        <f t="shared" si="1"/>
        <v>0</v>
      </c>
    </row>
    <row r="77" spans="1:13" ht="13.2">
      <c r="A77" s="1701" t="s">
        <v>983</v>
      </c>
      <c r="B77" s="2866"/>
      <c r="C77" s="3176"/>
      <c r="D77" s="2867"/>
      <c r="E77" s="2856">
        <v>0</v>
      </c>
      <c r="F77" s="2856"/>
      <c r="G77" s="2854">
        <v>0</v>
      </c>
      <c r="H77" s="2856"/>
      <c r="I77" s="2854">
        <v>0</v>
      </c>
      <c r="J77" s="2856"/>
      <c r="K77" s="2854">
        <v>0</v>
      </c>
      <c r="L77" s="2856"/>
      <c r="M77" s="2854">
        <f>ROUND(SUM(E77+G77+I77+K77),0)</f>
        <v>0</v>
      </c>
    </row>
    <row r="78" spans="1:13" ht="13.2">
      <c r="A78" s="1701" t="s">
        <v>572</v>
      </c>
      <c r="B78" s="2866"/>
      <c r="C78" s="3176"/>
      <c r="D78" s="2867"/>
      <c r="E78" s="2856">
        <v>0</v>
      </c>
      <c r="F78" s="2856"/>
      <c r="G78" s="2854">
        <v>0</v>
      </c>
      <c r="H78" s="2856"/>
      <c r="I78" s="2854">
        <v>0</v>
      </c>
      <c r="J78" s="2856"/>
      <c r="K78" s="2854">
        <v>0</v>
      </c>
      <c r="L78" s="2856"/>
      <c r="M78" s="2854">
        <f t="shared" ref="M78:M89" si="2">ROUND(SUM(E78+G78+I78+K78),0)</f>
        <v>0</v>
      </c>
    </row>
    <row r="79" spans="1:13" ht="13.2">
      <c r="A79" s="2851" t="s">
        <v>573</v>
      </c>
      <c r="B79" s="2868"/>
      <c r="C79" s="3175">
        <v>3834000</v>
      </c>
      <c r="D79" s="2869"/>
      <c r="E79" s="2856"/>
      <c r="F79" s="2856"/>
      <c r="G79" s="2856"/>
      <c r="H79" s="2856"/>
      <c r="I79" s="2856"/>
      <c r="J79" s="2856"/>
      <c r="K79" s="2856"/>
      <c r="L79" s="2856"/>
      <c r="M79" s="2856"/>
    </row>
    <row r="80" spans="1:13" ht="13.2">
      <c r="A80" s="1701" t="s">
        <v>574</v>
      </c>
      <c r="B80" s="2870"/>
      <c r="C80" s="3176"/>
      <c r="D80" s="2869"/>
      <c r="E80" s="2856">
        <v>73103</v>
      </c>
      <c r="F80" s="2856"/>
      <c r="G80" s="2854">
        <v>0</v>
      </c>
      <c r="H80" s="2856"/>
      <c r="I80" s="2854">
        <v>0</v>
      </c>
      <c r="J80" s="2856"/>
      <c r="K80" s="2854">
        <v>0</v>
      </c>
      <c r="L80" s="2856"/>
      <c r="M80" s="2854">
        <f t="shared" si="2"/>
        <v>73103</v>
      </c>
    </row>
    <row r="81" spans="1:13" ht="13.2">
      <c r="A81" s="2851" t="s">
        <v>575</v>
      </c>
      <c r="B81" s="2871"/>
      <c r="C81" s="3175">
        <v>58343000</v>
      </c>
      <c r="D81" s="2857"/>
      <c r="E81" s="3022"/>
      <c r="F81" s="3022"/>
      <c r="G81" s="3022"/>
      <c r="H81" s="3022"/>
      <c r="I81" s="3022"/>
      <c r="J81" s="3022"/>
      <c r="K81" s="3022"/>
      <c r="L81" s="3022"/>
      <c r="M81" s="3022"/>
    </row>
    <row r="82" spans="1:13" ht="13.2">
      <c r="A82" s="1701" t="s">
        <v>576</v>
      </c>
      <c r="B82" s="2872"/>
      <c r="C82" s="3176"/>
      <c r="D82" s="2857"/>
      <c r="E82" s="3022">
        <v>4368816</v>
      </c>
      <c r="F82" s="3022"/>
      <c r="G82" s="2854">
        <v>4931892</v>
      </c>
      <c r="H82" s="3022"/>
      <c r="I82" s="2854">
        <v>3860528</v>
      </c>
      <c r="J82" s="3022"/>
      <c r="K82" s="2854">
        <v>1175384</v>
      </c>
      <c r="L82" s="3022"/>
      <c r="M82" s="2854">
        <f t="shared" si="2"/>
        <v>14336620</v>
      </c>
    </row>
    <row r="83" spans="1:13" ht="13.2">
      <c r="A83" s="2851" t="s">
        <v>577</v>
      </c>
      <c r="B83" s="2873"/>
      <c r="C83" s="3175">
        <v>2477800</v>
      </c>
      <c r="D83" s="2874"/>
      <c r="E83" s="3012"/>
      <c r="F83" s="3012"/>
      <c r="G83" s="3012"/>
      <c r="H83" s="3012"/>
      <c r="I83" s="3012"/>
      <c r="J83" s="3012"/>
      <c r="K83" s="3012"/>
      <c r="L83" s="3012"/>
      <c r="M83" s="3012"/>
    </row>
    <row r="84" spans="1:13" ht="13.2">
      <c r="A84" s="1701" t="s">
        <v>578</v>
      </c>
      <c r="B84" s="2875"/>
      <c r="C84" s="3023"/>
      <c r="D84" s="2874"/>
      <c r="E84" s="2856">
        <v>0</v>
      </c>
      <c r="F84" s="2856"/>
      <c r="G84" s="2854">
        <v>0</v>
      </c>
      <c r="H84" s="2856"/>
      <c r="I84" s="2854">
        <v>0</v>
      </c>
      <c r="J84" s="2856"/>
      <c r="K84" s="2854">
        <v>0</v>
      </c>
      <c r="L84" s="2856"/>
      <c r="M84" s="2854">
        <f t="shared" si="2"/>
        <v>0</v>
      </c>
    </row>
    <row r="85" spans="1:13" ht="13.2">
      <c r="A85" s="1701" t="s">
        <v>579</v>
      </c>
      <c r="B85" s="2875"/>
      <c r="C85" s="3023"/>
      <c r="D85" s="2874"/>
      <c r="E85" s="2856">
        <v>0</v>
      </c>
      <c r="F85" s="2856"/>
      <c r="G85" s="2854">
        <v>0</v>
      </c>
      <c r="H85" s="2856"/>
      <c r="I85" s="2854">
        <v>0</v>
      </c>
      <c r="J85" s="2856"/>
      <c r="K85" s="2854">
        <v>0</v>
      </c>
      <c r="L85" s="2856"/>
      <c r="M85" s="2854">
        <f t="shared" si="2"/>
        <v>0</v>
      </c>
    </row>
    <row r="86" spans="1:13" ht="13.2">
      <c r="A86" s="1701" t="s">
        <v>580</v>
      </c>
      <c r="B86" s="2875"/>
      <c r="C86" s="3024"/>
      <c r="D86" s="2874"/>
      <c r="E86" s="2856">
        <v>0</v>
      </c>
      <c r="F86" s="2856"/>
      <c r="G86" s="2854">
        <v>0</v>
      </c>
      <c r="H86" s="2856"/>
      <c r="I86" s="2854">
        <v>0</v>
      </c>
      <c r="J86" s="2856"/>
      <c r="K86" s="2854">
        <v>0</v>
      </c>
      <c r="L86" s="2856"/>
      <c r="M86" s="2854">
        <f t="shared" si="2"/>
        <v>0</v>
      </c>
    </row>
    <row r="87" spans="1:13" ht="13.2">
      <c r="A87" s="1701" t="s">
        <v>581</v>
      </c>
      <c r="B87" s="1705"/>
      <c r="C87" s="3024"/>
      <c r="D87" s="2859"/>
      <c r="E87" s="2856">
        <v>0</v>
      </c>
      <c r="F87" s="2856"/>
      <c r="G87" s="2854">
        <v>0</v>
      </c>
      <c r="H87" s="2856"/>
      <c r="I87" s="2854">
        <v>0</v>
      </c>
      <c r="J87" s="2856"/>
      <c r="K87" s="2854">
        <v>0</v>
      </c>
      <c r="L87" s="2856"/>
      <c r="M87" s="2854">
        <f t="shared" si="2"/>
        <v>0</v>
      </c>
    </row>
    <row r="88" spans="1:13" ht="13.2">
      <c r="A88" s="2939" t="s">
        <v>1370</v>
      </c>
      <c r="B88" s="2940"/>
      <c r="C88" s="3025">
        <v>8190000</v>
      </c>
      <c r="D88" s="2859"/>
      <c r="E88" s="2856"/>
      <c r="F88" s="2856"/>
      <c r="G88" s="2854"/>
      <c r="H88" s="2856"/>
      <c r="I88" s="2854"/>
      <c r="J88" s="2856"/>
      <c r="K88" s="2854"/>
      <c r="L88" s="2856"/>
      <c r="M88" s="2854"/>
    </row>
    <row r="89" spans="1:13" ht="13.2">
      <c r="A89" s="2940" t="s">
        <v>1371</v>
      </c>
      <c r="B89" s="2940"/>
      <c r="C89" s="3024"/>
      <c r="D89" s="3498"/>
      <c r="E89" s="2856">
        <v>370824</v>
      </c>
      <c r="F89" s="3498"/>
      <c r="G89" s="2854">
        <v>499444</v>
      </c>
      <c r="H89" s="3498"/>
      <c r="I89" s="2854">
        <v>596780</v>
      </c>
      <c r="J89" s="3498"/>
      <c r="K89" s="2854">
        <v>0</v>
      </c>
      <c r="L89" s="3498"/>
      <c r="M89" s="2854">
        <f t="shared" si="2"/>
        <v>1467048</v>
      </c>
    </row>
    <row r="90" spans="1:13" ht="13.2">
      <c r="A90" s="2876" t="s">
        <v>57</v>
      </c>
      <c r="B90" s="2877"/>
      <c r="C90" s="3026">
        <f>ROUND(SUM(C9:C89),0)</f>
        <v>31134194614</v>
      </c>
      <c r="D90" s="3499"/>
      <c r="E90" s="3026">
        <f>ROUND(SUM(E9:E89),0)</f>
        <v>1243835866</v>
      </c>
      <c r="F90" s="3499">
        <f t="shared" ref="F90:K90" si="3">ROUND(SUM(F9:F89),0)</f>
        <v>0</v>
      </c>
      <c r="G90" s="3026">
        <f t="shared" si="3"/>
        <v>1565971437</v>
      </c>
      <c r="H90" s="3499">
        <f t="shared" si="3"/>
        <v>0</v>
      </c>
      <c r="I90" s="3026">
        <f t="shared" si="3"/>
        <v>1420035616</v>
      </c>
      <c r="J90" s="3499">
        <f t="shared" si="3"/>
        <v>0</v>
      </c>
      <c r="K90" s="3026">
        <f t="shared" si="3"/>
        <v>481696447</v>
      </c>
      <c r="L90" s="3499"/>
      <c r="M90" s="3026">
        <f>ROUND(SUM(M9:M89),0)</f>
        <v>4711539366</v>
      </c>
    </row>
    <row r="91" spans="1:13" ht="13.2">
      <c r="A91" s="2878" t="s">
        <v>582</v>
      </c>
      <c r="B91" s="3098"/>
      <c r="C91" s="3101"/>
      <c r="D91" s="3100"/>
      <c r="E91" s="2854">
        <v>-1421691</v>
      </c>
      <c r="F91" s="3100"/>
      <c r="G91" s="2854">
        <v>-2257283</v>
      </c>
      <c r="H91" s="3100"/>
      <c r="I91" s="2854">
        <v>-1765806</v>
      </c>
      <c r="J91" s="3100"/>
      <c r="K91" s="2854">
        <v>-905250</v>
      </c>
      <c r="L91" s="3100"/>
      <c r="M91" s="2854">
        <f>ROUND(SUM(E91+G91+I91+K91),0)</f>
        <v>-6350030</v>
      </c>
    </row>
    <row r="92" spans="1:13" s="1714" customFormat="1" ht="13.2">
      <c r="A92" s="2878" t="s">
        <v>1546</v>
      </c>
      <c r="B92" s="3098"/>
      <c r="C92" s="3101"/>
      <c r="D92" s="3100"/>
      <c r="E92" s="2854">
        <v>0</v>
      </c>
      <c r="F92" s="3100"/>
      <c r="G92" s="2854">
        <v>0</v>
      </c>
      <c r="H92" s="3100"/>
      <c r="I92" s="2854">
        <v>-919000</v>
      </c>
      <c r="J92" s="3100"/>
      <c r="K92" s="2854">
        <v>0</v>
      </c>
      <c r="L92" s="3100"/>
      <c r="M92" s="2854">
        <f t="shared" ref="M92:M94" si="4">ROUND(SUM(E92+G92+I92+K92),0)</f>
        <v>-919000</v>
      </c>
    </row>
    <row r="93" spans="1:13" s="1714" customFormat="1" ht="15" customHeight="1">
      <c r="A93" s="2878" t="s">
        <v>1586</v>
      </c>
      <c r="B93" s="3098"/>
      <c r="C93" s="3101"/>
      <c r="D93" s="3100"/>
      <c r="E93" s="2854">
        <v>0</v>
      </c>
      <c r="F93" s="3100"/>
      <c r="G93" s="2854">
        <v>0</v>
      </c>
      <c r="H93" s="3100"/>
      <c r="I93" s="2854">
        <v>0</v>
      </c>
      <c r="J93" s="3100"/>
      <c r="K93" s="2854">
        <v>-349444</v>
      </c>
      <c r="L93" s="3100"/>
      <c r="M93" s="2854">
        <f t="shared" si="4"/>
        <v>-349444</v>
      </c>
    </row>
    <row r="94" spans="1:13" s="1714" customFormat="1" ht="13.2">
      <c r="A94" s="2878" t="s">
        <v>583</v>
      </c>
      <c r="B94" s="3102"/>
      <c r="C94" s="3099"/>
      <c r="D94" s="3103"/>
      <c r="E94" s="2854">
        <v>144</v>
      </c>
      <c r="F94" s="3103"/>
      <c r="G94" s="2854">
        <v>-231</v>
      </c>
      <c r="H94" s="3103"/>
      <c r="I94" s="2854">
        <v>-146</v>
      </c>
      <c r="J94" s="3103"/>
      <c r="K94" s="2854">
        <v>377</v>
      </c>
      <c r="L94" s="3103"/>
      <c r="M94" s="2854">
        <f t="shared" si="4"/>
        <v>144</v>
      </c>
    </row>
    <row r="95" spans="1:13" s="1714" customFormat="1" ht="13.8" thickBot="1">
      <c r="A95" s="2876" t="s">
        <v>1354</v>
      </c>
      <c r="B95" s="2837"/>
      <c r="C95" s="3332">
        <f>ROUND(SUM(C90:C94),0)</f>
        <v>31134194614</v>
      </c>
      <c r="D95" s="3104"/>
      <c r="E95" s="3105">
        <f t="shared" ref="E95:K95" si="5">ROUND(SUM(E90:E94),0)</f>
        <v>1242414319</v>
      </c>
      <c r="F95" s="3104">
        <f t="shared" si="5"/>
        <v>0</v>
      </c>
      <c r="G95" s="3105">
        <f t="shared" si="5"/>
        <v>1563713923</v>
      </c>
      <c r="H95" s="3104">
        <f t="shared" si="5"/>
        <v>0</v>
      </c>
      <c r="I95" s="3105">
        <f t="shared" si="5"/>
        <v>1417350664</v>
      </c>
      <c r="J95" s="3104">
        <f t="shared" si="5"/>
        <v>0</v>
      </c>
      <c r="K95" s="3105">
        <f t="shared" si="5"/>
        <v>480442130</v>
      </c>
      <c r="L95" s="3104"/>
      <c r="M95" s="3105">
        <f>ROUND(SUM(M90:M94),0)</f>
        <v>4703921036</v>
      </c>
    </row>
    <row r="96" spans="1:13" ht="13.8" thickTop="1">
      <c r="A96" s="2879"/>
      <c r="B96" s="2838"/>
      <c r="C96" s="2932"/>
      <c r="D96" s="1706"/>
      <c r="E96" s="2880"/>
      <c r="F96" s="1706"/>
      <c r="G96" s="2880"/>
      <c r="H96" s="1706"/>
      <c r="I96" s="2856"/>
      <c r="J96" s="1706"/>
      <c r="K96" s="2856"/>
      <c r="L96" s="1706"/>
      <c r="M96" s="2856"/>
    </row>
    <row r="97" spans="1:13" ht="13.2">
      <c r="A97" s="2881" t="s">
        <v>1460</v>
      </c>
      <c r="B97" s="2838"/>
      <c r="C97" s="2838"/>
      <c r="D97" s="1706"/>
      <c r="E97" s="2880"/>
      <c r="F97" s="2880"/>
      <c r="G97" s="2880"/>
      <c r="H97" s="2880"/>
      <c r="I97" s="2880"/>
      <c r="J97" s="2880"/>
      <c r="K97" s="2880"/>
      <c r="L97" s="2880"/>
      <c r="M97" s="2880"/>
    </row>
    <row r="98" spans="1:13" ht="13.2">
      <c r="A98" s="2881" t="s">
        <v>1065</v>
      </c>
      <c r="B98" s="2838"/>
      <c r="C98" s="2838"/>
      <c r="D98" s="1706"/>
      <c r="E98" s="2880"/>
      <c r="F98" s="2880"/>
      <c r="G98" s="2880"/>
      <c r="H98" s="2880"/>
      <c r="I98" s="2880"/>
      <c r="J98" s="2880"/>
      <c r="K98" s="2880"/>
      <c r="L98" s="2880"/>
      <c r="M98" s="2880"/>
    </row>
    <row r="99" spans="1:13" ht="13.2">
      <c r="A99" s="2882" t="s">
        <v>1032</v>
      </c>
      <c r="B99" s="2883"/>
      <c r="C99" s="2933"/>
      <c r="D99" s="1704"/>
      <c r="E99" s="2880"/>
      <c r="F99" s="2880"/>
      <c r="G99" s="2880"/>
      <c r="H99" s="2880"/>
      <c r="I99" s="2880"/>
      <c r="J99" s="2880"/>
      <c r="K99" s="2880"/>
      <c r="L99" s="2880"/>
      <c r="M99" s="2880"/>
    </row>
    <row r="100" spans="1:13" ht="13.2">
      <c r="A100" s="3027" t="s">
        <v>1033</v>
      </c>
      <c r="B100" s="1706"/>
      <c r="C100" s="1706"/>
      <c r="D100" s="2875"/>
      <c r="E100" s="2835"/>
      <c r="F100" s="2835"/>
      <c r="G100" s="2835"/>
      <c r="H100" s="2835"/>
      <c r="I100" s="2835"/>
      <c r="J100" s="2835"/>
      <c r="K100" s="2835"/>
      <c r="L100" s="2835"/>
      <c r="M100" s="2835"/>
    </row>
    <row r="101" spans="1:13" ht="13.2">
      <c r="A101" s="3027" t="s">
        <v>1034</v>
      </c>
      <c r="B101" s="1707"/>
      <c r="C101" s="3028"/>
      <c r="D101" s="1708"/>
      <c r="E101" s="2835"/>
      <c r="F101" s="2835"/>
      <c r="G101" s="2835"/>
      <c r="H101" s="2835"/>
      <c r="I101" s="2835"/>
      <c r="J101" s="2835"/>
      <c r="K101" s="2835"/>
      <c r="L101" s="2835"/>
      <c r="M101" s="2835"/>
    </row>
    <row r="102" spans="1:13">
      <c r="A102" s="1705"/>
      <c r="B102" s="1706"/>
      <c r="C102" s="1706"/>
    </row>
    <row r="103" spans="1:13">
      <c r="A103" s="1705"/>
      <c r="B103" s="1706"/>
      <c r="C103" s="1706"/>
    </row>
    <row r="105" spans="1:13">
      <c r="A105" s="1706"/>
      <c r="B105" s="1709"/>
      <c r="C105" s="1709"/>
      <c r="D105" s="1709"/>
      <c r="E105" s="1703"/>
      <c r="F105" s="1703"/>
      <c r="G105" s="1703"/>
    </row>
    <row r="106" spans="1:13" ht="12.75" customHeight="1">
      <c r="A106" s="1706"/>
      <c r="B106" s="1709"/>
      <c r="C106" s="1709"/>
      <c r="D106" s="1709"/>
      <c r="E106" s="1703"/>
      <c r="F106" s="1703"/>
      <c r="G106" s="1703"/>
    </row>
    <row r="107" spans="1:13" ht="12.75" customHeight="1">
      <c r="A107" s="1706"/>
      <c r="B107" s="1709"/>
      <c r="C107" s="1709"/>
      <c r="D107" s="1709"/>
      <c r="E107" s="1703"/>
      <c r="F107" s="1703"/>
      <c r="G107" s="1703"/>
    </row>
    <row r="108" spans="1:13" ht="12.75" customHeight="1">
      <c r="A108" s="1706"/>
      <c r="B108" s="1709"/>
      <c r="C108" s="1709"/>
      <c r="D108" s="1709"/>
      <c r="E108" s="1703"/>
      <c r="F108" s="1703"/>
      <c r="G108" s="1703"/>
    </row>
    <row r="109" spans="1:13">
      <c r="A109" s="1706"/>
      <c r="B109" s="1709"/>
      <c r="C109" s="1709"/>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55"/>
  <sheetViews>
    <sheetView showGridLines="0" zoomScale="80" zoomScaleNormal="80" workbookViewId="0"/>
  </sheetViews>
  <sheetFormatPr defaultColWidth="8.90625" defaultRowHeight="15" customHeight="1"/>
  <cols>
    <col min="1" max="1" width="55.08984375" style="2303" customWidth="1"/>
    <col min="2" max="2" width="4.6328125" style="2303" customWidth="1"/>
    <col min="3" max="3" width="3.08984375" style="2304" customWidth="1"/>
    <col min="4" max="4" width="19" style="2304" customWidth="1"/>
    <col min="5" max="5" width="2.81640625" style="2304" customWidth="1"/>
    <col min="6" max="6" width="19" style="2304" customWidth="1"/>
    <col min="7" max="7" width="3.453125" style="2304" customWidth="1"/>
    <col min="8" max="8" width="19" style="2304" customWidth="1"/>
    <col min="9" max="9" width="3.453125" style="2304" customWidth="1"/>
    <col min="10" max="10" width="19" style="2304" customWidth="1"/>
    <col min="11" max="11" width="2.08984375" style="2304" customWidth="1"/>
    <col min="12" max="12" width="1.6328125" style="2305" customWidth="1"/>
    <col min="13" max="13" width="19" style="2305" customWidth="1"/>
    <col min="14" max="17" width="8.90625" style="2304"/>
    <col min="18" max="16384" width="8.90625" style="2303"/>
  </cols>
  <sheetData>
    <row r="1" spans="1:17" ht="15" customHeight="1">
      <c r="A1" s="1124" t="s">
        <v>1066</v>
      </c>
    </row>
    <row r="2" spans="1:17" ht="15" customHeight="1">
      <c r="A2" s="2306"/>
    </row>
    <row r="3" spans="1:17" ht="15" customHeight="1">
      <c r="M3" s="2436" t="s">
        <v>584</v>
      </c>
    </row>
    <row r="4" spans="1:17" ht="18" customHeight="1">
      <c r="A4" s="2307" t="s">
        <v>510</v>
      </c>
      <c r="B4" s="2308"/>
      <c r="C4" s="2308"/>
      <c r="D4" s="2308"/>
      <c r="E4" s="2308"/>
      <c r="F4" s="2308"/>
      <c r="G4" s="2308"/>
      <c r="H4" s="2308"/>
      <c r="I4" s="2308"/>
      <c r="J4" s="2308"/>
      <c r="K4" s="2308"/>
      <c r="L4" s="2438"/>
      <c r="M4" s="2438"/>
    </row>
    <row r="5" spans="1:17" ht="18" customHeight="1">
      <c r="A5" s="2307" t="s">
        <v>968</v>
      </c>
      <c r="B5" s="2307"/>
      <c r="C5" s="3194"/>
      <c r="D5" s="3194"/>
      <c r="E5" s="3349"/>
      <c r="F5" s="3349"/>
      <c r="G5" s="3464"/>
      <c r="H5" s="3464"/>
      <c r="I5" s="3501"/>
      <c r="J5" s="3501"/>
      <c r="K5" s="3356"/>
      <c r="L5" s="2437"/>
      <c r="M5" s="2421"/>
    </row>
    <row r="6" spans="1:17" ht="18" customHeight="1">
      <c r="A6" s="3571" t="s">
        <v>1437</v>
      </c>
      <c r="B6" s="3572"/>
      <c r="C6" s="3195"/>
      <c r="D6" s="3195"/>
      <c r="E6" s="3350"/>
      <c r="F6" s="3350"/>
      <c r="G6" s="3465"/>
      <c r="H6" s="3465"/>
      <c r="I6" s="3502"/>
      <c r="J6" s="3502"/>
      <c r="K6" s="3357"/>
      <c r="L6" s="2437"/>
      <c r="M6" s="2421"/>
    </row>
    <row r="7" spans="1:17" ht="15" customHeight="1">
      <c r="A7" s="3573"/>
      <c r="B7" s="3573"/>
      <c r="C7" s="3196"/>
      <c r="D7" s="3196"/>
      <c r="E7" s="3351"/>
      <c r="F7" s="3351"/>
      <c r="G7" s="3466"/>
      <c r="H7" s="3466"/>
      <c r="I7" s="3503"/>
      <c r="J7" s="3503"/>
      <c r="K7" s="3358"/>
      <c r="L7" s="2439"/>
      <c r="M7" s="2439"/>
    </row>
    <row r="8" spans="1:17" ht="15" customHeight="1">
      <c r="A8" s="2310"/>
      <c r="B8" s="2311"/>
      <c r="C8" s="2312"/>
      <c r="D8" s="2312"/>
      <c r="E8" s="2312"/>
      <c r="F8" s="2312"/>
      <c r="G8" s="2312"/>
      <c r="H8" s="2312"/>
      <c r="I8" s="2312"/>
      <c r="J8" s="2312"/>
      <c r="K8" s="2312"/>
      <c r="L8" s="2440"/>
      <c r="M8" s="2313"/>
    </row>
    <row r="9" spans="1:17" s="2316" customFormat="1" ht="15" customHeight="1">
      <c r="A9" s="2314"/>
      <c r="B9" s="2314"/>
      <c r="C9" s="2997"/>
      <c r="D9" s="2997" t="s">
        <v>1490</v>
      </c>
      <c r="E9" s="2997"/>
      <c r="F9" s="3494" t="s">
        <v>1519</v>
      </c>
      <c r="G9" s="2997"/>
      <c r="H9" s="2997" t="s">
        <v>1577</v>
      </c>
      <c r="I9" s="2997"/>
      <c r="J9" s="2997">
        <v>2018</v>
      </c>
      <c r="K9" s="2997"/>
      <c r="L9" s="2315"/>
      <c r="M9" s="2315"/>
      <c r="N9" s="2302"/>
      <c r="O9" s="2302"/>
      <c r="P9" s="2302"/>
      <c r="Q9" s="2302"/>
    </row>
    <row r="10" spans="1:17" ht="15" customHeight="1">
      <c r="A10" s="2317"/>
      <c r="B10" s="2317"/>
      <c r="C10" s="2313"/>
      <c r="D10" s="3007" t="s">
        <v>1491</v>
      </c>
      <c r="E10" s="2313"/>
      <c r="F10" s="3007" t="s">
        <v>1520</v>
      </c>
      <c r="G10" s="2313"/>
      <c r="H10" s="3007" t="s">
        <v>1578</v>
      </c>
      <c r="I10" s="2313"/>
      <c r="J10" s="3007" t="s">
        <v>136</v>
      </c>
      <c r="K10" s="2313"/>
      <c r="L10" s="2309"/>
      <c r="M10" s="2318" t="s">
        <v>1459</v>
      </c>
    </row>
    <row r="11" spans="1:17" ht="15" customHeight="1">
      <c r="A11" s="2317"/>
      <c r="B11" s="2317"/>
      <c r="C11" s="2309"/>
      <c r="D11" s="2309"/>
      <c r="E11" s="2309"/>
      <c r="F11" s="2309"/>
      <c r="G11" s="2309"/>
      <c r="H11" s="2309"/>
      <c r="I11" s="2309"/>
      <c r="J11" s="2309"/>
      <c r="K11" s="2309"/>
      <c r="L11" s="2309"/>
      <c r="M11" s="2320"/>
    </row>
    <row r="12" spans="1:17" s="2316" customFormat="1" ht="15" customHeight="1">
      <c r="A12" s="2321" t="s">
        <v>485</v>
      </c>
      <c r="B12" s="2321"/>
      <c r="C12" s="2322"/>
      <c r="D12" s="2322">
        <v>321003359.63</v>
      </c>
      <c r="E12" s="2322"/>
      <c r="F12" s="2322">
        <f>D52</f>
        <v>367449263.27999997</v>
      </c>
      <c r="G12" s="2322"/>
      <c r="H12" s="2322">
        <f>F52</f>
        <v>190810610.75999999</v>
      </c>
      <c r="I12" s="2322"/>
      <c r="J12" s="2322">
        <f>H52</f>
        <v>189535276.69999999</v>
      </c>
      <c r="K12" s="2322"/>
      <c r="L12" s="2323"/>
      <c r="M12" s="2441">
        <f>+D12</f>
        <v>321003359.63</v>
      </c>
      <c r="N12" s="2302"/>
      <c r="O12" s="2302"/>
      <c r="P12" s="2302"/>
      <c r="Q12" s="2302"/>
    </row>
    <row r="13" spans="1:17" ht="15" customHeight="1">
      <c r="A13" s="2321"/>
      <c r="B13" s="2317"/>
      <c r="C13" s="2319"/>
      <c r="D13" s="2319"/>
      <c r="E13" s="2319"/>
      <c r="F13" s="2319"/>
      <c r="G13" s="2319"/>
      <c r="H13" s="2319"/>
      <c r="I13" s="2319"/>
      <c r="J13" s="2319"/>
      <c r="K13" s="2319"/>
      <c r="L13" s="2324"/>
      <c r="M13" s="2327"/>
    </row>
    <row r="14" spans="1:17" ht="15" customHeight="1">
      <c r="A14" s="2321" t="s">
        <v>14</v>
      </c>
      <c r="B14" s="2317"/>
      <c r="C14" s="2325"/>
      <c r="D14" s="2325"/>
      <c r="E14" s="2325"/>
      <c r="F14" s="2325"/>
      <c r="G14" s="2325"/>
      <c r="H14" s="2325"/>
      <c r="I14" s="2325"/>
      <c r="J14" s="2325"/>
      <c r="K14" s="2325"/>
      <c r="L14" s="2326"/>
      <c r="M14" s="2327"/>
    </row>
    <row r="15" spans="1:17" ht="15" customHeight="1">
      <c r="A15" s="2317" t="s">
        <v>586</v>
      </c>
      <c r="B15" s="2317"/>
      <c r="C15" s="2285"/>
      <c r="D15" s="2285">
        <v>795262236.79999995</v>
      </c>
      <c r="E15" s="2285"/>
      <c r="F15" s="2285">
        <v>727022409.07000005</v>
      </c>
      <c r="G15" s="2285"/>
      <c r="H15" s="2285">
        <v>851779648.25</v>
      </c>
      <c r="I15" s="2285"/>
      <c r="J15" s="2285">
        <v>392374283.33999997</v>
      </c>
      <c r="K15" s="2285"/>
      <c r="L15" s="2326"/>
      <c r="M15" s="2327">
        <f>SUM(C15:K15)</f>
        <v>2766438577.46</v>
      </c>
    </row>
    <row r="16" spans="1:17" ht="15" customHeight="1">
      <c r="A16" s="2317" t="s">
        <v>587</v>
      </c>
      <c r="B16" s="2317"/>
      <c r="C16" s="2285"/>
      <c r="D16" s="2285">
        <v>276359323.52999997</v>
      </c>
      <c r="E16" s="2285"/>
      <c r="F16" s="2285">
        <v>228410765.93000001</v>
      </c>
      <c r="G16" s="2285"/>
      <c r="H16" s="2285">
        <v>277049378.86000001</v>
      </c>
      <c r="I16" s="2285"/>
      <c r="J16" s="2285">
        <v>137898720.59</v>
      </c>
      <c r="K16" s="2285"/>
      <c r="L16" s="2326"/>
      <c r="M16" s="2327">
        <f t="shared" ref="M16:M21" si="0">SUM(C16:K16)</f>
        <v>919718188.90999997</v>
      </c>
    </row>
    <row r="17" spans="1:22" ht="15" customHeight="1">
      <c r="A17" s="2317" t="s">
        <v>588</v>
      </c>
      <c r="B17" s="2317"/>
      <c r="C17" s="2285"/>
      <c r="D17" s="2285">
        <v>30238811.640000001</v>
      </c>
      <c r="E17" s="2285"/>
      <c r="F17" s="2285">
        <v>23167304.510000002</v>
      </c>
      <c r="G17" s="2285"/>
      <c r="H17" s="2285">
        <v>28140363.629999999</v>
      </c>
      <c r="I17" s="2285"/>
      <c r="J17" s="2285">
        <v>9921646.7400000002</v>
      </c>
      <c r="K17" s="2285"/>
      <c r="L17" s="2326"/>
      <c r="M17" s="2327">
        <f t="shared" si="0"/>
        <v>91468126.519999996</v>
      </c>
    </row>
    <row r="18" spans="1:22" ht="15" customHeight="1">
      <c r="A18" s="2317" t="s">
        <v>589</v>
      </c>
      <c r="B18" s="2317"/>
      <c r="C18" s="2285"/>
      <c r="D18" s="2285">
        <v>96575074</v>
      </c>
      <c r="E18" s="2285"/>
      <c r="F18" s="2285">
        <v>99951629.150000006</v>
      </c>
      <c r="G18" s="2285"/>
      <c r="H18" s="2285">
        <v>98523557</v>
      </c>
      <c r="I18" s="2285"/>
      <c r="J18" s="2285">
        <v>34086475</v>
      </c>
      <c r="K18" s="2285"/>
      <c r="L18" s="2326"/>
      <c r="M18" s="2327">
        <f t="shared" si="0"/>
        <v>329136735.14999998</v>
      </c>
    </row>
    <row r="19" spans="1:22" s="2642" customFormat="1" ht="18" customHeight="1">
      <c r="A19" s="2643" t="s">
        <v>1431</v>
      </c>
      <c r="B19" s="2317"/>
      <c r="C19" s="1469"/>
      <c r="D19" s="1469">
        <v>0</v>
      </c>
      <c r="E19" s="1469"/>
      <c r="F19" s="1469">
        <v>0</v>
      </c>
      <c r="G19" s="1469"/>
      <c r="H19" s="1469">
        <v>0</v>
      </c>
      <c r="I19" s="1469"/>
      <c r="J19" s="1469">
        <v>0</v>
      </c>
      <c r="K19" s="1469"/>
      <c r="L19" s="2326"/>
      <c r="M19" s="2327">
        <f t="shared" si="0"/>
        <v>0</v>
      </c>
      <c r="N19" s="2319"/>
      <c r="O19" s="2319"/>
      <c r="P19" s="2319"/>
      <c r="Q19" s="2319"/>
    </row>
    <row r="20" spans="1:22" ht="15" customHeight="1">
      <c r="A20" s="2317" t="s">
        <v>590</v>
      </c>
      <c r="B20" s="2317"/>
      <c r="C20" s="2285"/>
      <c r="D20" s="2285">
        <v>85204.82</v>
      </c>
      <c r="E20" s="2285"/>
      <c r="F20" s="2285">
        <v>106043.51</v>
      </c>
      <c r="G20" s="2285"/>
      <c r="H20" s="2285">
        <v>108001.64</v>
      </c>
      <c r="I20" s="2285"/>
      <c r="J20" s="2285">
        <v>46691.43</v>
      </c>
      <c r="K20" s="2285"/>
      <c r="L20" s="2326"/>
      <c r="M20" s="2327">
        <f t="shared" si="0"/>
        <v>345941.4</v>
      </c>
    </row>
    <row r="21" spans="1:22" ht="15" customHeight="1">
      <c r="A21" s="2317" t="s">
        <v>591</v>
      </c>
      <c r="B21" s="2317"/>
      <c r="C21" s="2290"/>
      <c r="D21" s="2328">
        <v>3954</v>
      </c>
      <c r="E21" s="2290"/>
      <c r="F21" s="2328">
        <v>30113997.239999998</v>
      </c>
      <c r="G21" s="2290"/>
      <c r="H21" s="2328">
        <v>-111730.09</v>
      </c>
      <c r="I21" s="2290"/>
      <c r="J21" s="2328">
        <v>462729.22</v>
      </c>
      <c r="K21" s="2290"/>
      <c r="L21" s="2329"/>
      <c r="M21" s="2327">
        <f t="shared" si="0"/>
        <v>30468950.369999997</v>
      </c>
      <c r="N21" s="2305"/>
    </row>
    <row r="22" spans="1:22" s="2316" customFormat="1" ht="15.6">
      <c r="A22" s="2321" t="s">
        <v>154</v>
      </c>
      <c r="B22" s="2321"/>
      <c r="C22" s="2334"/>
      <c r="D22" s="2330">
        <f>ROUND(SUM(D15:D21),2)</f>
        <v>1198524604.79</v>
      </c>
      <c r="E22" s="2334"/>
      <c r="F22" s="2330">
        <f>ROUND(SUM(F15:F21),2)</f>
        <v>1108772149.4100001</v>
      </c>
      <c r="G22" s="2334"/>
      <c r="H22" s="2330">
        <f>ROUND(SUM(H15:H21),2)</f>
        <v>1255489219.29</v>
      </c>
      <c r="I22" s="2334"/>
      <c r="J22" s="2330">
        <f>ROUND(SUM(J15:J21),2)</f>
        <v>574790546.32000005</v>
      </c>
      <c r="K22" s="2334"/>
      <c r="L22" s="2332"/>
      <c r="M22" s="2333">
        <f>ROUND(SUM(M15:M21),2)</f>
        <v>4137576519.8099999</v>
      </c>
      <c r="N22" s="2335"/>
      <c r="O22" s="2302"/>
      <c r="P22" s="2302"/>
      <c r="Q22" s="2302"/>
    </row>
    <row r="23" spans="1:22" ht="15" customHeight="1">
      <c r="A23" s="2317"/>
      <c r="B23" s="2317"/>
      <c r="C23" s="2325"/>
      <c r="D23" s="2325"/>
      <c r="E23" s="2325"/>
      <c r="F23" s="2325"/>
      <c r="G23" s="2325"/>
      <c r="H23" s="2325"/>
      <c r="I23" s="2325"/>
      <c r="J23" s="2325"/>
      <c r="K23" s="2325"/>
      <c r="L23" s="2326"/>
      <c r="M23" s="2327"/>
    </row>
    <row r="24" spans="1:22" ht="15" customHeight="1">
      <c r="A24" s="2321" t="s">
        <v>1027</v>
      </c>
      <c r="B24" s="2317"/>
      <c r="C24" s="2336"/>
      <c r="D24" s="2336"/>
      <c r="E24" s="2336"/>
      <c r="F24" s="2336"/>
      <c r="G24" s="2336"/>
      <c r="H24" s="2336"/>
      <c r="I24" s="2336"/>
      <c r="J24" s="2336"/>
      <c r="K24" s="2336"/>
      <c r="L24" s="2326"/>
      <c r="M24" s="2327"/>
    </row>
    <row r="25" spans="1:22" ht="15" customHeight="1">
      <c r="A25" s="2337" t="s">
        <v>592</v>
      </c>
      <c r="B25" s="2317"/>
      <c r="C25" s="2325"/>
      <c r="D25" s="2325">
        <v>0</v>
      </c>
      <c r="E25" s="2325"/>
      <c r="F25" s="2325">
        <v>0</v>
      </c>
      <c r="G25" s="2325"/>
      <c r="H25" s="2325">
        <v>-2400000</v>
      </c>
      <c r="I25" s="2325"/>
      <c r="J25" s="2325">
        <v>0</v>
      </c>
      <c r="K25" s="2325"/>
      <c r="L25" s="2326"/>
      <c r="M25" s="2327">
        <f>SUM(C25:K25)</f>
        <v>-2400000</v>
      </c>
    </row>
    <row r="26" spans="1:22" ht="15" customHeight="1">
      <c r="A26" s="2337" t="s">
        <v>593</v>
      </c>
      <c r="B26" s="2317"/>
      <c r="C26" s="2325"/>
      <c r="D26" s="2325">
        <v>0</v>
      </c>
      <c r="E26" s="2325"/>
      <c r="F26" s="2325">
        <v>0</v>
      </c>
      <c r="G26" s="2325"/>
      <c r="H26" s="2325">
        <v>-4230000</v>
      </c>
      <c r="I26" s="2325"/>
      <c r="J26" s="2325">
        <v>0</v>
      </c>
      <c r="K26" s="2325"/>
      <c r="L26" s="2326"/>
      <c r="M26" s="2327">
        <f>SUM(C26:K26)</f>
        <v>-4230000</v>
      </c>
    </row>
    <row r="27" spans="1:22" ht="15" customHeight="1">
      <c r="A27" s="2337" t="s">
        <v>594</v>
      </c>
      <c r="B27" s="2317"/>
      <c r="C27" s="2325"/>
      <c r="D27" s="2325">
        <v>0</v>
      </c>
      <c r="E27" s="2325"/>
      <c r="F27" s="2325">
        <v>0</v>
      </c>
      <c r="G27" s="2325"/>
      <c r="H27" s="2325">
        <v>-6090000</v>
      </c>
      <c r="I27" s="2325"/>
      <c r="J27" s="2325">
        <v>0</v>
      </c>
      <c r="K27" s="2325"/>
      <c r="L27" s="2329"/>
      <c r="M27" s="2327">
        <f>SUM(C27:K27)</f>
        <v>-6090000</v>
      </c>
    </row>
    <row r="28" spans="1:22" ht="15.6">
      <c r="A28" s="2308" t="s">
        <v>1077</v>
      </c>
      <c r="B28" s="2321"/>
      <c r="C28" s="2334"/>
      <c r="D28" s="3177">
        <f>ROUND(SUM(D25:D27),2)</f>
        <v>0</v>
      </c>
      <c r="E28" s="2334"/>
      <c r="F28" s="3177">
        <f>ROUND(SUM(F25:F27),2)</f>
        <v>0</v>
      </c>
      <c r="G28" s="2334"/>
      <c r="H28" s="3177">
        <f>ROUND(SUM(H25:H27),2)</f>
        <v>-12720000</v>
      </c>
      <c r="I28" s="2334"/>
      <c r="J28" s="3177">
        <f>ROUND(SUM(J25:J27),2)</f>
        <v>0</v>
      </c>
      <c r="K28" s="2334"/>
      <c r="L28" s="2332"/>
      <c r="M28" s="2333">
        <f>ROUND(SUM(M25:M27),2)</f>
        <v>-12720000</v>
      </c>
    </row>
    <row r="29" spans="1:22" ht="15" customHeight="1">
      <c r="A29" s="2317"/>
      <c r="B29" s="2317"/>
      <c r="C29" s="2325"/>
      <c r="D29" s="2325"/>
      <c r="E29" s="2325"/>
      <c r="F29" s="2325"/>
      <c r="G29" s="2325"/>
      <c r="H29" s="2325"/>
      <c r="I29" s="2325"/>
      <c r="J29" s="2325"/>
      <c r="K29" s="2325"/>
      <c r="L29" s="2326"/>
      <c r="M29" s="2327"/>
    </row>
    <row r="30" spans="1:22" ht="15" customHeight="1">
      <c r="A30" s="2321" t="s">
        <v>595</v>
      </c>
      <c r="B30" s="2321"/>
      <c r="C30" s="2331"/>
      <c r="D30" s="2331">
        <f>ROUND(+D22+D28,2)</f>
        <v>1198524604.79</v>
      </c>
      <c r="E30" s="2331"/>
      <c r="F30" s="2331">
        <f>ROUND(+F22+F28,2)</f>
        <v>1108772149.4100001</v>
      </c>
      <c r="G30" s="2331"/>
      <c r="H30" s="2331">
        <f>ROUND(+H22+H28,2)</f>
        <v>1242769219.29</v>
      </c>
      <c r="I30" s="2331"/>
      <c r="J30" s="2331">
        <f>ROUND(+J22+J28,2)</f>
        <v>574790546.32000005</v>
      </c>
      <c r="K30" s="2331"/>
      <c r="L30" s="2338"/>
      <c r="M30" s="2334">
        <f>ROUND(+M22+M28,2)</f>
        <v>4124856519.8099999</v>
      </c>
    </row>
    <row r="31" spans="1:22" ht="15" customHeight="1">
      <c r="A31" s="2317"/>
      <c r="B31" s="2317"/>
      <c r="C31" s="2327"/>
      <c r="D31" s="3070"/>
      <c r="E31" s="2327"/>
      <c r="F31" s="3070"/>
      <c r="G31" s="2327"/>
      <c r="H31" s="3070"/>
      <c r="I31" s="2327"/>
      <c r="J31" s="3070"/>
      <c r="K31" s="2327"/>
      <c r="L31" s="2326"/>
      <c r="M31" s="2339"/>
      <c r="N31" s="2305"/>
      <c r="O31" s="2305"/>
      <c r="P31" s="2305"/>
      <c r="Q31" s="2305"/>
      <c r="R31" s="2340"/>
      <c r="S31" s="2340"/>
      <c r="T31" s="2340"/>
      <c r="U31" s="2340"/>
      <c r="V31" s="2340"/>
    </row>
    <row r="32" spans="1:22" ht="15" customHeight="1">
      <c r="A32" s="2321" t="s">
        <v>46</v>
      </c>
      <c r="B32" s="2317"/>
      <c r="C32" s="2327"/>
      <c r="D32" s="2327"/>
      <c r="E32" s="2327"/>
      <c r="F32" s="2327"/>
      <c r="G32" s="2327"/>
      <c r="H32" s="2327"/>
      <c r="I32" s="2327"/>
      <c r="J32" s="2327"/>
      <c r="K32" s="2327"/>
      <c r="L32" s="2326"/>
      <c r="M32" s="2327"/>
      <c r="N32" s="2305"/>
      <c r="O32" s="2305"/>
      <c r="P32" s="2305"/>
      <c r="Q32" s="2305"/>
      <c r="R32" s="2340"/>
      <c r="S32" s="2340"/>
      <c r="T32" s="2340"/>
      <c r="U32" s="2340"/>
      <c r="V32" s="2340"/>
    </row>
    <row r="33" spans="1:22" ht="15" customHeight="1">
      <c r="A33" s="2321" t="s">
        <v>969</v>
      </c>
      <c r="B33" s="2317"/>
      <c r="C33" s="2327"/>
      <c r="D33" s="2327"/>
      <c r="E33" s="2327"/>
      <c r="F33" s="2327"/>
      <c r="G33" s="2327"/>
      <c r="H33" s="2327"/>
      <c r="I33" s="2327"/>
      <c r="J33" s="2327"/>
      <c r="K33" s="2327"/>
      <c r="L33" s="2326"/>
      <c r="M33" s="2327"/>
      <c r="N33" s="2305"/>
      <c r="O33" s="2305"/>
      <c r="P33" s="2305"/>
      <c r="Q33" s="2305"/>
      <c r="R33" s="2340"/>
      <c r="S33" s="2340"/>
      <c r="T33" s="2340"/>
      <c r="U33" s="2340"/>
      <c r="V33" s="2340"/>
    </row>
    <row r="34" spans="1:22" ht="15" customHeight="1">
      <c r="A34" s="2317" t="s">
        <v>596</v>
      </c>
      <c r="B34" s="2317"/>
      <c r="C34" s="2285"/>
      <c r="D34" s="2285">
        <v>0</v>
      </c>
      <c r="E34" s="2285"/>
      <c r="F34" s="2285">
        <v>0</v>
      </c>
      <c r="G34" s="2285"/>
      <c r="H34" s="2285">
        <v>0</v>
      </c>
      <c r="I34" s="2285"/>
      <c r="J34" s="2285">
        <v>0</v>
      </c>
      <c r="K34" s="2285"/>
      <c r="L34" s="2326"/>
      <c r="M34" s="2327">
        <f>SUM(C34:K34)</f>
        <v>0</v>
      </c>
      <c r="N34" s="2305"/>
      <c r="O34" s="2305"/>
      <c r="P34" s="2305"/>
      <c r="Q34" s="2305"/>
      <c r="R34" s="2340"/>
      <c r="S34" s="2340"/>
      <c r="T34" s="2340"/>
      <c r="U34" s="2340"/>
      <c r="V34" s="2340"/>
    </row>
    <row r="35" spans="1:22" ht="15" customHeight="1">
      <c r="A35" s="2337" t="s">
        <v>597</v>
      </c>
      <c r="B35" s="2317"/>
      <c r="C35" s="2285"/>
      <c r="D35" s="2285">
        <v>11370463</v>
      </c>
      <c r="E35" s="2285"/>
      <c r="F35" s="2285">
        <v>11445834.74</v>
      </c>
      <c r="G35" s="2285"/>
      <c r="H35" s="2285">
        <v>11872564</v>
      </c>
      <c r="I35" s="2285"/>
      <c r="J35" s="2285">
        <v>4010195</v>
      </c>
      <c r="K35" s="2285"/>
      <c r="L35" s="2326"/>
      <c r="M35" s="2327">
        <f>SUM(C35:K35)</f>
        <v>38699056.740000002</v>
      </c>
      <c r="N35" s="2305"/>
      <c r="O35" s="2305"/>
      <c r="P35" s="2305"/>
      <c r="Q35" s="2305"/>
      <c r="R35" s="2340"/>
      <c r="S35" s="2340"/>
      <c r="T35" s="2340"/>
      <c r="U35" s="2340"/>
      <c r="V35" s="2340"/>
    </row>
    <row r="36" spans="1:22" ht="15" customHeight="1">
      <c r="A36" s="2321" t="s">
        <v>598</v>
      </c>
      <c r="B36" s="2317"/>
      <c r="C36" s="2327"/>
      <c r="D36" s="2327"/>
      <c r="E36" s="2327"/>
      <c r="F36" s="2327"/>
      <c r="G36" s="2327"/>
      <c r="H36" s="2327"/>
      <c r="I36" s="2327"/>
      <c r="J36" s="2327"/>
      <c r="K36" s="2327"/>
      <c r="L36" s="2326"/>
      <c r="M36" s="2327"/>
      <c r="N36" s="2305"/>
      <c r="O36" s="2305"/>
      <c r="P36" s="2305"/>
      <c r="Q36" s="2305"/>
      <c r="R36" s="2340"/>
      <c r="S36" s="2340"/>
      <c r="T36" s="2340"/>
      <c r="U36" s="2340"/>
      <c r="V36" s="2340"/>
    </row>
    <row r="37" spans="1:22" ht="15" customHeight="1">
      <c r="A37" s="2274" t="s">
        <v>599</v>
      </c>
      <c r="B37" s="2317"/>
      <c r="C37" s="2341"/>
      <c r="D37" s="2341">
        <v>0</v>
      </c>
      <c r="E37" s="2341"/>
      <c r="F37" s="2341">
        <v>0</v>
      </c>
      <c r="G37" s="2341"/>
      <c r="H37" s="2341">
        <v>12720000</v>
      </c>
      <c r="I37" s="2341"/>
      <c r="J37" s="2341">
        <v>0</v>
      </c>
      <c r="K37" s="2341"/>
      <c r="L37" s="2326"/>
      <c r="M37" s="2327">
        <f>SUM(C37:K37)</f>
        <v>12720000</v>
      </c>
      <c r="N37" s="2305"/>
      <c r="O37" s="2305"/>
      <c r="P37" s="2305"/>
      <c r="Q37" s="2305"/>
      <c r="R37" s="2340"/>
      <c r="S37" s="2340"/>
      <c r="T37" s="2340"/>
      <c r="U37" s="2340"/>
      <c r="V37" s="2340"/>
    </row>
    <row r="38" spans="1:22" s="2316" customFormat="1" ht="15.6">
      <c r="A38" s="2321" t="s">
        <v>600</v>
      </c>
      <c r="B38" s="2321"/>
      <c r="C38" s="2334"/>
      <c r="D38" s="3177">
        <f>ROUND(SUM(D34:D37),2)</f>
        <v>11370463</v>
      </c>
      <c r="E38" s="2334"/>
      <c r="F38" s="3177">
        <f>ROUND(SUM(F34:F37),2)</f>
        <v>11445834.74</v>
      </c>
      <c r="G38" s="2334"/>
      <c r="H38" s="3177">
        <f>ROUND(SUM(H34:H37),2)</f>
        <v>24592564</v>
      </c>
      <c r="I38" s="2334"/>
      <c r="J38" s="3177">
        <f>ROUND(SUM(J34:J37),2)</f>
        <v>4010195</v>
      </c>
      <c r="K38" s="2334"/>
      <c r="L38" s="2332"/>
      <c r="M38" s="2333">
        <f>ROUND(SUM(M34:M37),2)</f>
        <v>51419056.740000002</v>
      </c>
      <c r="N38" s="2335"/>
      <c r="O38" s="2335"/>
      <c r="P38" s="2335"/>
      <c r="Q38" s="2335"/>
      <c r="R38" s="2342"/>
      <c r="S38" s="2342"/>
      <c r="T38" s="2342"/>
      <c r="U38" s="2342"/>
      <c r="V38" s="2342"/>
    </row>
    <row r="39" spans="1:22" ht="15" customHeight="1">
      <c r="A39" s="2317"/>
      <c r="B39" s="2317"/>
      <c r="C39" s="2325"/>
      <c r="D39" s="2325"/>
      <c r="E39" s="2325"/>
      <c r="F39" s="2325"/>
      <c r="G39" s="2325"/>
      <c r="H39" s="2325"/>
      <c r="I39" s="2325"/>
      <c r="J39" s="2325"/>
      <c r="K39" s="2325"/>
      <c r="L39" s="2326"/>
      <c r="M39" s="2327"/>
      <c r="N39" s="2305"/>
      <c r="O39" s="2305"/>
      <c r="P39" s="2305"/>
      <c r="Q39" s="2305"/>
      <c r="R39" s="2340"/>
      <c r="S39" s="2340"/>
      <c r="T39" s="2340"/>
      <c r="U39" s="2340"/>
      <c r="V39" s="2340"/>
    </row>
    <row r="40" spans="1:22" ht="15" customHeight="1">
      <c r="A40" s="2321" t="s">
        <v>1028</v>
      </c>
      <c r="B40" s="2317"/>
      <c r="C40" s="2325"/>
      <c r="D40" s="2325"/>
      <c r="E40" s="2325"/>
      <c r="F40" s="2325"/>
      <c r="G40" s="2325"/>
      <c r="H40" s="2325"/>
      <c r="I40" s="2325"/>
      <c r="J40" s="2325"/>
      <c r="K40" s="2325"/>
      <c r="L40" s="2326"/>
      <c r="M40" s="2327"/>
      <c r="N40" s="2305"/>
      <c r="O40" s="2305"/>
      <c r="P40" s="2305"/>
      <c r="Q40" s="2305"/>
      <c r="R40" s="2340"/>
      <c r="S40" s="2340"/>
      <c r="T40" s="2340"/>
      <c r="U40" s="2340"/>
      <c r="V40" s="2340"/>
    </row>
    <row r="41" spans="1:22" ht="15" customHeight="1">
      <c r="A41" s="2317" t="s">
        <v>596</v>
      </c>
      <c r="B41" s="2317"/>
      <c r="C41" s="2275"/>
      <c r="D41" s="2275">
        <v>0</v>
      </c>
      <c r="E41" s="2275"/>
      <c r="F41" s="2275">
        <v>0</v>
      </c>
      <c r="G41" s="2275"/>
      <c r="H41" s="2275">
        <v>0</v>
      </c>
      <c r="I41" s="2275"/>
      <c r="J41" s="2275">
        <v>0</v>
      </c>
      <c r="K41" s="2275"/>
      <c r="L41" s="2326"/>
      <c r="M41" s="2327">
        <f>SUM(C41:K41)</f>
        <v>0</v>
      </c>
      <c r="N41" s="2305"/>
      <c r="O41" s="2305"/>
      <c r="P41" s="2305"/>
      <c r="Q41" s="2305"/>
      <c r="R41" s="2340"/>
      <c r="S41" s="2340"/>
      <c r="T41" s="2340"/>
      <c r="U41" s="2340"/>
      <c r="V41" s="2340"/>
    </row>
    <row r="42" spans="1:22" ht="15" customHeight="1">
      <c r="A42" s="2317" t="s">
        <v>601</v>
      </c>
      <c r="B42" s="2317"/>
      <c r="C42" s="2325"/>
      <c r="D42" s="2325">
        <v>0</v>
      </c>
      <c r="E42" s="2325"/>
      <c r="F42" s="2325">
        <v>0</v>
      </c>
      <c r="G42" s="2325"/>
      <c r="H42" s="2325">
        <v>0</v>
      </c>
      <c r="I42" s="2325"/>
      <c r="J42" s="2325">
        <v>0</v>
      </c>
      <c r="K42" s="2325"/>
      <c r="L42" s="2326"/>
      <c r="M42" s="2327">
        <f>SUM(C42:K42)</f>
        <v>0</v>
      </c>
      <c r="N42" s="2305"/>
      <c r="O42" s="2305"/>
      <c r="P42" s="2305"/>
      <c r="Q42" s="2305"/>
      <c r="R42" s="2340"/>
      <c r="S42" s="2340"/>
      <c r="T42" s="2340"/>
      <c r="U42" s="2340"/>
      <c r="V42" s="2340"/>
    </row>
    <row r="43" spans="1:22" ht="15" customHeight="1">
      <c r="A43" s="2321" t="s">
        <v>1029</v>
      </c>
      <c r="B43" s="2317"/>
      <c r="C43" s="2325"/>
      <c r="D43" s="2325"/>
      <c r="E43" s="2325"/>
      <c r="F43" s="2325"/>
      <c r="G43" s="2325"/>
      <c r="H43" s="2325"/>
      <c r="I43" s="2325"/>
      <c r="J43" s="2325"/>
      <c r="K43" s="2325"/>
      <c r="L43" s="2326"/>
      <c r="M43" s="2327"/>
      <c r="N43" s="2305"/>
      <c r="O43" s="2305"/>
      <c r="P43" s="2305"/>
      <c r="Q43" s="2305"/>
      <c r="R43" s="2340"/>
      <c r="S43" s="2340"/>
      <c r="T43" s="2340"/>
      <c r="U43" s="2340"/>
      <c r="V43" s="2340"/>
    </row>
    <row r="44" spans="1:22" ht="15" customHeight="1">
      <c r="A44" s="2337" t="s">
        <v>599</v>
      </c>
      <c r="B44" s="2317"/>
      <c r="C44" s="2285"/>
      <c r="D44" s="2285">
        <v>-946150807.97000003</v>
      </c>
      <c r="E44" s="2285"/>
      <c r="F44" s="2285">
        <v>-1033272598.66</v>
      </c>
      <c r="G44" s="2285"/>
      <c r="H44" s="2285">
        <v>-1071955957.77</v>
      </c>
      <c r="I44" s="2285"/>
      <c r="J44" s="2285">
        <v>-353462660.13999999</v>
      </c>
      <c r="K44" s="2285"/>
      <c r="L44" s="2326"/>
      <c r="M44" s="2327">
        <f>SUM(C44:K44)</f>
        <v>-3404842024.54</v>
      </c>
      <c r="N44" s="2305"/>
      <c r="O44" s="2305"/>
      <c r="P44" s="2305"/>
      <c r="Q44" s="2305"/>
      <c r="R44" s="2340"/>
      <c r="S44" s="2340"/>
      <c r="T44" s="2340"/>
      <c r="U44" s="2340"/>
      <c r="V44" s="2340"/>
    </row>
    <row r="45" spans="1:22" ht="15" customHeight="1">
      <c r="A45" s="2317" t="s">
        <v>1503</v>
      </c>
      <c r="B45" s="2317"/>
      <c r="C45" s="2285"/>
      <c r="D45" s="2285">
        <v>-214702909.84</v>
      </c>
      <c r="E45" s="2285"/>
      <c r="F45" s="2285">
        <v>-268206462.00999999</v>
      </c>
      <c r="G45" s="2285"/>
      <c r="H45" s="2285">
        <v>-202002851.90000001</v>
      </c>
      <c r="I45" s="2285"/>
      <c r="J45" s="2285">
        <v>-67252639.099999994</v>
      </c>
      <c r="K45" s="2285"/>
      <c r="L45" s="2326"/>
      <c r="M45" s="2327">
        <f>SUM(C45:K45)</f>
        <v>-752164862.85000002</v>
      </c>
      <c r="N45" s="2305"/>
      <c r="O45" s="2305"/>
      <c r="P45" s="2305"/>
      <c r="Q45" s="2305"/>
      <c r="R45" s="2340"/>
      <c r="S45" s="2340"/>
      <c r="T45" s="2340"/>
      <c r="U45" s="2340"/>
      <c r="V45" s="2340"/>
    </row>
    <row r="46" spans="1:22" ht="15" customHeight="1">
      <c r="A46" s="2317" t="s">
        <v>1504</v>
      </c>
      <c r="B46" s="2317"/>
      <c r="C46" s="2327"/>
      <c r="D46" s="2343">
        <v>-2595446.33</v>
      </c>
      <c r="E46" s="2327"/>
      <c r="F46" s="2343">
        <v>4622424</v>
      </c>
      <c r="G46" s="2327"/>
      <c r="H46" s="2343">
        <v>5321692.32</v>
      </c>
      <c r="I46" s="2327"/>
      <c r="J46" s="2343">
        <v>1877232.41</v>
      </c>
      <c r="K46" s="2327"/>
      <c r="L46" s="2326"/>
      <c r="M46" s="2327">
        <f>SUM(C46:K46)</f>
        <v>9225902.4000000004</v>
      </c>
      <c r="N46" s="2305"/>
      <c r="O46" s="2305"/>
      <c r="P46" s="2305"/>
      <c r="Q46" s="2305"/>
      <c r="R46" s="2340"/>
      <c r="S46" s="2340"/>
      <c r="T46" s="2340"/>
      <c r="U46" s="2340"/>
      <c r="V46" s="2340"/>
    </row>
    <row r="47" spans="1:22" ht="15.6">
      <c r="A47" s="2321" t="s">
        <v>602</v>
      </c>
      <c r="B47" s="2321"/>
      <c r="C47" s="2334"/>
      <c r="D47" s="3177">
        <f>ROUND(SUM(D41:D46),2)</f>
        <v>-1163449164.1400001</v>
      </c>
      <c r="E47" s="2334"/>
      <c r="F47" s="3177">
        <f>ROUND(SUM(F41:F46),2)</f>
        <v>-1296856636.6700001</v>
      </c>
      <c r="G47" s="2334"/>
      <c r="H47" s="3177">
        <f>ROUND(SUM(H41:H46),2)</f>
        <v>-1268637117.3499999</v>
      </c>
      <c r="I47" s="2334"/>
      <c r="J47" s="3177">
        <f>ROUND(SUM(J41:J46),2)</f>
        <v>-418838066.82999998</v>
      </c>
      <c r="K47" s="2334"/>
      <c r="L47" s="2332"/>
      <c r="M47" s="2333">
        <f>ROUND(SUM(M41:M46),2)</f>
        <v>-4147780984.9899998</v>
      </c>
      <c r="N47" s="2305"/>
      <c r="O47" s="2305"/>
      <c r="P47" s="2305"/>
      <c r="Q47" s="2305"/>
      <c r="R47" s="2340"/>
      <c r="S47" s="2340"/>
      <c r="T47" s="2340"/>
      <c r="U47" s="2340"/>
      <c r="V47" s="2340"/>
    </row>
    <row r="48" spans="1:22" ht="15" customHeight="1">
      <c r="A48" s="2317"/>
      <c r="B48" s="2317"/>
      <c r="C48" s="2325"/>
      <c r="D48" s="2325"/>
      <c r="E48" s="2325"/>
      <c r="F48" s="2325"/>
      <c r="G48" s="2325"/>
      <c r="H48" s="2325"/>
      <c r="I48" s="2325"/>
      <c r="J48" s="2325"/>
      <c r="K48" s="2325"/>
      <c r="L48" s="2326"/>
      <c r="M48" s="2327"/>
      <c r="N48" s="2305"/>
      <c r="O48" s="2305"/>
      <c r="P48" s="2305"/>
      <c r="Q48" s="2305"/>
      <c r="R48" s="2340"/>
      <c r="S48" s="2340"/>
      <c r="T48" s="2340"/>
      <c r="U48" s="2340"/>
      <c r="V48" s="2340"/>
    </row>
    <row r="49" spans="1:22" ht="15" customHeight="1">
      <c r="A49" s="2321" t="s">
        <v>603</v>
      </c>
      <c r="B49" s="2317"/>
      <c r="C49" s="2325"/>
      <c r="D49" s="2325"/>
      <c r="E49" s="2325"/>
      <c r="F49" s="2325"/>
      <c r="G49" s="2325"/>
      <c r="H49" s="2325"/>
      <c r="I49" s="2325"/>
      <c r="J49" s="2325"/>
      <c r="K49" s="2325"/>
      <c r="L49" s="2326"/>
      <c r="M49" s="2327"/>
      <c r="N49" s="2305"/>
      <c r="O49" s="2305"/>
      <c r="P49" s="2305"/>
      <c r="Q49" s="2305"/>
      <c r="R49" s="2340"/>
      <c r="S49" s="2340"/>
      <c r="T49" s="2340"/>
      <c r="U49" s="2340"/>
      <c r="V49" s="2340"/>
    </row>
    <row r="50" spans="1:22" ht="15" customHeight="1">
      <c r="A50" s="2321" t="s">
        <v>604</v>
      </c>
      <c r="B50" s="2317"/>
      <c r="C50" s="2334"/>
      <c r="D50" s="2330">
        <f>ROUND(+D30+D38+D47,2)</f>
        <v>46445903.649999999</v>
      </c>
      <c r="E50" s="2334"/>
      <c r="F50" s="2330">
        <f>ROUND(+F30+F38+F47,2)</f>
        <v>-176638652.52000001</v>
      </c>
      <c r="G50" s="2334"/>
      <c r="H50" s="2330">
        <f>ROUND(+H30+H38+H47,2)</f>
        <v>-1275334.06</v>
      </c>
      <c r="I50" s="2334"/>
      <c r="J50" s="2330">
        <f>ROUND(+J30+J38+J47,2)</f>
        <v>159962674.49000001</v>
      </c>
      <c r="K50" s="2334"/>
      <c r="L50" s="2338"/>
      <c r="M50" s="2330">
        <f>ROUND(+M30+M38+M47,2)</f>
        <v>28494591.559999999</v>
      </c>
      <c r="N50" s="2305"/>
      <c r="O50" s="2305"/>
      <c r="P50" s="2305"/>
      <c r="Q50" s="2305"/>
      <c r="R50" s="2340"/>
      <c r="S50" s="2340"/>
      <c r="T50" s="2340"/>
      <c r="U50" s="2340"/>
      <c r="V50" s="2340"/>
    </row>
    <row r="51" spans="1:22" ht="15" customHeight="1">
      <c r="A51" s="2317"/>
      <c r="B51" s="2317"/>
      <c r="C51" s="2319"/>
      <c r="D51" s="2319"/>
      <c r="E51" s="2319"/>
      <c r="F51" s="2319"/>
      <c r="G51" s="2319"/>
      <c r="H51" s="2319"/>
      <c r="I51" s="2319"/>
      <c r="J51" s="2319"/>
      <c r="K51" s="2319"/>
      <c r="L51" s="2344"/>
      <c r="M51" s="2327"/>
      <c r="N51" s="2305"/>
      <c r="O51" s="2305"/>
      <c r="P51" s="2305"/>
      <c r="Q51" s="2305"/>
      <c r="R51" s="2340"/>
      <c r="S51" s="2340"/>
      <c r="T51" s="2340"/>
      <c r="U51" s="2340"/>
      <c r="V51" s="2340"/>
    </row>
    <row r="52" spans="1:22" s="2316" customFormat="1" ht="21" customHeight="1" thickBot="1">
      <c r="A52" s="2321" t="s">
        <v>605</v>
      </c>
      <c r="B52" s="2321"/>
      <c r="C52" s="2441"/>
      <c r="D52" s="3071">
        <f>ROUND(D12+D50,2)</f>
        <v>367449263.27999997</v>
      </c>
      <c r="E52" s="2441"/>
      <c r="F52" s="3071">
        <f>ROUND(F12+F50,2)</f>
        <v>190810610.75999999</v>
      </c>
      <c r="G52" s="2441"/>
      <c r="H52" s="3071">
        <f>ROUND(H12+H50,2)</f>
        <v>189535276.69999999</v>
      </c>
      <c r="I52" s="2441"/>
      <c r="J52" s="3071">
        <f>ROUND(J12+J50,2)</f>
        <v>349497951.19</v>
      </c>
      <c r="K52" s="2441"/>
      <c r="L52" s="2345"/>
      <c r="M52" s="2441">
        <f>ROUND(M12+M50,2)</f>
        <v>349497951.19</v>
      </c>
      <c r="N52" s="2302"/>
      <c r="O52" s="2302"/>
      <c r="P52" s="2302"/>
      <c r="Q52" s="2302"/>
    </row>
    <row r="53" spans="1:22" ht="15" customHeight="1" thickTop="1">
      <c r="A53" s="2317" t="s">
        <v>15</v>
      </c>
      <c r="B53" s="2317"/>
      <c r="C53" s="2309"/>
      <c r="D53" s="2309"/>
      <c r="E53" s="2309"/>
      <c r="F53" s="2309"/>
      <c r="G53" s="2309"/>
      <c r="H53" s="2309"/>
      <c r="I53" s="2309"/>
      <c r="J53" s="2309"/>
      <c r="K53" s="2309"/>
      <c r="L53" s="2309"/>
      <c r="M53" s="2346"/>
    </row>
    <row r="54" spans="1:22" ht="15" customHeight="1">
      <c r="A54" s="2299" t="s">
        <v>606</v>
      </c>
    </row>
    <row r="55" spans="1:22" ht="15" customHeight="1">
      <c r="A55" s="234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29"/>
  <sheetViews>
    <sheetView showGridLines="0" zoomScale="90" zoomScaleNormal="90" zoomScaleSheetLayoutView="89" workbookViewId="0"/>
  </sheetViews>
  <sheetFormatPr defaultColWidth="8.90625" defaultRowHeight="15.6"/>
  <cols>
    <col min="1" max="1" width="3.54296875" style="1110" customWidth="1"/>
    <col min="2" max="2" width="8.453125" style="1195" customWidth="1"/>
    <col min="3" max="3" width="12.1796875" style="1195" customWidth="1"/>
    <col min="4" max="4" width="15" style="1024" customWidth="1"/>
    <col min="5" max="5" width="15.1796875" style="1022" customWidth="1"/>
    <col min="6" max="6" width="10.453125" style="1110" customWidth="1"/>
    <col min="7" max="7" width="11.1796875" style="1110" customWidth="1"/>
    <col min="8" max="8" width="9.08984375" style="1014" customWidth="1"/>
    <col min="9" max="9" width="5.54296875" style="1021" customWidth="1"/>
    <col min="10" max="10" width="9.36328125" style="1021" customWidth="1"/>
    <col min="11" max="11" width="8.36328125" style="1022" customWidth="1"/>
    <col min="12" max="12" width="16" style="1022" customWidth="1"/>
    <col min="13" max="13" width="12.1796875" style="1022" customWidth="1"/>
    <col min="14" max="14" width="5.453125" style="1022" customWidth="1"/>
    <col min="15" max="15" width="12.453125" style="1194" customWidth="1"/>
    <col min="16" max="16" width="4.36328125" style="1194" customWidth="1"/>
    <col min="17" max="17" width="8" style="1194" customWidth="1"/>
    <col min="18" max="18" width="3.6328125" style="1194" customWidth="1"/>
    <col min="19" max="19" width="13.1796875" style="1194" customWidth="1"/>
    <col min="20" max="20" width="12.08984375" style="1194" customWidth="1"/>
    <col min="21" max="21" width="12.1796875" style="1194" customWidth="1"/>
    <col min="22" max="16384" width="8.90625" style="1194"/>
  </cols>
  <sheetData>
    <row r="1" spans="1:20">
      <c r="A1" s="1124" t="s">
        <v>1066</v>
      </c>
    </row>
    <row r="2" spans="1:20">
      <c r="A2" s="1010" t="s">
        <v>864</v>
      </c>
      <c r="B2" s="1011"/>
      <c r="C2" s="1012"/>
      <c r="D2" s="1013"/>
      <c r="E2" s="1014"/>
      <c r="F2" s="1014"/>
      <c r="G2" s="1014"/>
      <c r="I2" s="1015"/>
      <c r="J2" s="1015"/>
      <c r="K2" s="1014"/>
      <c r="L2" s="1014"/>
      <c r="M2" s="1014"/>
      <c r="N2" s="1016"/>
      <c r="O2" s="1017"/>
      <c r="P2" s="3202" t="s">
        <v>1061</v>
      </c>
      <c r="Q2" s="1018"/>
      <c r="R2" s="1018"/>
      <c r="S2" s="1019"/>
      <c r="T2" s="1020"/>
    </row>
    <row r="3" spans="1:20" ht="12.75" customHeight="1">
      <c r="A3" s="1011"/>
      <c r="B3" s="1011"/>
      <c r="C3" s="1012"/>
      <c r="D3" s="1013"/>
      <c r="E3" s="1014"/>
      <c r="F3" s="1014"/>
      <c r="G3" s="1014"/>
      <c r="I3" s="1195"/>
      <c r="J3" s="1195"/>
      <c r="K3" s="1024"/>
      <c r="M3" s="1110"/>
      <c r="N3" s="1110"/>
      <c r="O3" s="3203"/>
      <c r="P3" s="3324" t="s">
        <v>1566</v>
      </c>
      <c r="T3" s="1020"/>
    </row>
    <row r="4" spans="1:20" ht="9" customHeight="1">
      <c r="B4" s="2984"/>
      <c r="C4" s="2984"/>
      <c r="D4" s="2979"/>
      <c r="E4" s="2980"/>
      <c r="F4" s="2981"/>
      <c r="G4" s="2981"/>
      <c r="H4" s="1031"/>
      <c r="I4" s="2979"/>
      <c r="J4" s="2979"/>
      <c r="K4" s="2980"/>
      <c r="L4" s="2980"/>
      <c r="M4" s="2980"/>
      <c r="N4" s="2980"/>
      <c r="O4" s="2986"/>
      <c r="P4" s="3204"/>
      <c r="T4" s="1020"/>
    </row>
    <row r="5" spans="1:20" ht="13.5" customHeight="1">
      <c r="H5" s="1031"/>
      <c r="I5" s="2979"/>
      <c r="J5" s="2979"/>
      <c r="K5" s="2980"/>
      <c r="L5" s="2980"/>
      <c r="M5" s="2980"/>
      <c r="N5" s="2980"/>
      <c r="O5" s="2986"/>
      <c r="P5" s="3204"/>
      <c r="Q5" s="2893"/>
      <c r="T5" s="1020"/>
    </row>
    <row r="6" spans="1:20" ht="13.5" customHeight="1">
      <c r="A6" s="1023" t="s">
        <v>865</v>
      </c>
      <c r="B6" s="2892" t="s">
        <v>866</v>
      </c>
      <c r="C6" s="2892"/>
      <c r="D6" s="2892"/>
      <c r="E6" s="1031"/>
      <c r="F6" s="1031"/>
      <c r="G6" s="1031"/>
      <c r="I6" s="1013" t="s">
        <v>1081</v>
      </c>
      <c r="Q6" s="2893"/>
    </row>
    <row r="7" spans="1:20" ht="13.5" customHeight="1">
      <c r="A7" s="1023"/>
      <c r="B7" s="2892" t="s">
        <v>867</v>
      </c>
      <c r="C7" s="2892"/>
      <c r="D7" s="2892"/>
      <c r="E7" s="1031"/>
      <c r="F7" s="1031"/>
      <c r="G7" s="1031"/>
      <c r="I7" s="1013" t="s">
        <v>1082</v>
      </c>
      <c r="Q7" s="2893"/>
    </row>
    <row r="8" spans="1:20" ht="12.9" customHeight="1">
      <c r="A8" s="1023"/>
      <c r="B8" s="2892" t="s">
        <v>868</v>
      </c>
      <c r="C8" s="2892"/>
      <c r="D8" s="2892"/>
      <c r="E8" s="1031"/>
      <c r="F8" s="1031"/>
      <c r="G8" s="1031"/>
      <c r="I8" s="2891" t="s">
        <v>1588</v>
      </c>
      <c r="Q8" s="2893"/>
    </row>
    <row r="9" spans="1:20" ht="12.75" customHeight="1">
      <c r="A9" s="3211"/>
      <c r="B9" s="2892" t="s">
        <v>869</v>
      </c>
      <c r="C9" s="2892"/>
      <c r="D9" s="2892"/>
      <c r="E9" s="1031"/>
      <c r="F9" s="3212"/>
      <c r="G9" s="1031"/>
      <c r="I9" s="1013" t="s">
        <v>1589</v>
      </c>
      <c r="Q9" s="2893"/>
    </row>
    <row r="10" spans="1:20" ht="12.75" customHeight="1">
      <c r="A10" s="2891"/>
      <c r="B10" s="2892"/>
      <c r="C10" s="2892"/>
      <c r="D10" s="3213"/>
      <c r="E10" s="2980"/>
      <c r="F10" s="3214"/>
      <c r="G10" s="1031"/>
      <c r="I10" s="1013" t="s">
        <v>15</v>
      </c>
      <c r="Q10" s="2663"/>
    </row>
    <row r="11" spans="1:20" ht="12.75" customHeight="1">
      <c r="A11" s="1014"/>
      <c r="B11" s="2892"/>
      <c r="C11" s="2987" t="s">
        <v>923</v>
      </c>
      <c r="D11" s="2982"/>
      <c r="E11" s="1031"/>
      <c r="F11" s="2982">
        <v>192.1</v>
      </c>
      <c r="G11" s="1031" t="s">
        <v>870</v>
      </c>
      <c r="Q11" s="2663"/>
    </row>
    <row r="12" spans="1:20" ht="12.75" customHeight="1">
      <c r="A12" s="1014"/>
      <c r="B12" s="2987"/>
      <c r="C12" s="2987" t="s">
        <v>1101</v>
      </c>
      <c r="D12" s="2988"/>
      <c r="E12" s="1031"/>
      <c r="F12" s="3216">
        <v>11.5</v>
      </c>
      <c r="G12" s="1031"/>
      <c r="H12" s="1031"/>
      <c r="I12" s="3032" t="s">
        <v>1455</v>
      </c>
      <c r="J12" s="2979"/>
      <c r="K12" s="2980"/>
      <c r="L12" s="2980"/>
      <c r="M12" s="2980"/>
      <c r="N12" s="2980"/>
      <c r="O12" s="2986"/>
      <c r="P12" s="3204"/>
    </row>
    <row r="13" spans="1:20" ht="12.75" customHeight="1">
      <c r="A13" s="1014"/>
      <c r="B13" s="2987"/>
      <c r="C13" s="2987" t="s">
        <v>871</v>
      </c>
      <c r="D13" s="2988"/>
      <c r="E13" s="1031"/>
      <c r="F13" s="3035">
        <v>155.4</v>
      </c>
      <c r="G13" s="1031"/>
      <c r="H13" s="1031"/>
      <c r="I13" s="2892" t="s">
        <v>1572</v>
      </c>
      <c r="J13" s="2979"/>
      <c r="K13" s="2980"/>
      <c r="L13" s="2980"/>
      <c r="M13" s="2980"/>
      <c r="N13" s="2980"/>
      <c r="O13" s="2986"/>
      <c r="P13" s="3204"/>
      <c r="T13" s="1014"/>
    </row>
    <row r="14" spans="1:20" ht="12.75" customHeight="1">
      <c r="A14" s="1014"/>
      <c r="B14" s="2987"/>
      <c r="C14" s="2987" t="s">
        <v>872</v>
      </c>
      <c r="D14" s="2988"/>
      <c r="E14" s="1031"/>
      <c r="F14" s="3035">
        <v>13.1</v>
      </c>
      <c r="G14" s="1031"/>
      <c r="H14" s="1031"/>
      <c r="I14" s="2892" t="s">
        <v>1486</v>
      </c>
      <c r="J14" s="2979"/>
      <c r="K14" s="2980"/>
      <c r="L14" s="2980"/>
      <c r="M14" s="2980"/>
      <c r="N14" s="2980"/>
      <c r="O14" s="2986"/>
      <c r="P14" s="3204"/>
      <c r="T14" s="1025"/>
    </row>
    <row r="15" spans="1:20" ht="12.75" customHeight="1">
      <c r="A15" s="1014"/>
      <c r="B15" s="2987"/>
      <c r="C15" s="2987" t="s">
        <v>1102</v>
      </c>
      <c r="D15" s="2988"/>
      <c r="E15" s="1031"/>
      <c r="F15" s="2983">
        <v>579.1</v>
      </c>
      <c r="G15" s="1031"/>
      <c r="H15" s="1031"/>
      <c r="I15" s="2892" t="s">
        <v>1587</v>
      </c>
      <c r="J15" s="2979"/>
      <c r="K15" s="2980"/>
      <c r="L15" s="2980"/>
      <c r="M15" s="2980"/>
      <c r="N15" s="2980"/>
      <c r="O15" s="2986"/>
      <c r="P15" s="3204"/>
      <c r="T15" s="1025"/>
    </row>
    <row r="16" spans="1:20" ht="12.75" customHeight="1">
      <c r="A16" s="1014"/>
      <c r="B16" s="2987"/>
      <c r="C16" s="2987" t="s">
        <v>924</v>
      </c>
      <c r="D16" s="2988"/>
      <c r="E16" s="1031"/>
      <c r="F16" s="3034">
        <v>551.5</v>
      </c>
      <c r="G16" s="1031"/>
      <c r="H16" s="1031"/>
      <c r="I16" s="1015" t="s">
        <v>1510</v>
      </c>
      <c r="J16" s="2979"/>
      <c r="K16" s="2980"/>
      <c r="L16" s="2980"/>
      <c r="M16" s="2980"/>
      <c r="N16" s="2980"/>
      <c r="O16" s="2986"/>
      <c r="P16" s="3204"/>
      <c r="Q16" s="2663"/>
      <c r="R16" s="1014"/>
    </row>
    <row r="17" spans="1:19" ht="12.75" customHeight="1">
      <c r="A17" s="1014"/>
      <c r="B17" s="2987"/>
      <c r="C17" s="2987" t="s">
        <v>873</v>
      </c>
      <c r="D17" s="2989"/>
      <c r="E17" s="1031"/>
      <c r="F17" s="3216">
        <v>413.9</v>
      </c>
      <c r="G17" s="1031"/>
      <c r="H17" s="1031"/>
      <c r="I17" s="2979"/>
      <c r="J17" s="2979"/>
      <c r="K17" s="2980"/>
      <c r="L17" s="2980"/>
      <c r="M17" s="2980"/>
      <c r="N17" s="2980"/>
      <c r="O17" s="2986"/>
      <c r="P17" s="3204"/>
      <c r="Q17" s="2663"/>
    </row>
    <row r="18" spans="1:19" ht="12.75" customHeight="1">
      <c r="A18" s="1031"/>
      <c r="B18" s="2987"/>
      <c r="C18" s="2987" t="s">
        <v>1372</v>
      </c>
      <c r="D18" s="2892"/>
      <c r="E18" s="1031"/>
      <c r="F18" s="2985">
        <v>160.69999999999999</v>
      </c>
      <c r="G18" s="1031"/>
      <c r="I18" s="2892" t="s">
        <v>1079</v>
      </c>
      <c r="J18" s="1202"/>
      <c r="K18" s="3213"/>
      <c r="L18" s="2980"/>
      <c r="M18" s="3217"/>
      <c r="N18" s="2981"/>
      <c r="Q18" s="2663"/>
    </row>
    <row r="19" spans="1:19" ht="12.75" customHeight="1">
      <c r="A19" s="2981"/>
      <c r="B19" s="2984"/>
      <c r="C19" s="2984"/>
      <c r="D19" s="2979"/>
      <c r="E19" s="2980"/>
      <c r="F19" s="2981"/>
      <c r="G19" s="2981"/>
      <c r="I19" s="2664"/>
      <c r="J19" s="1202"/>
      <c r="K19" s="1024"/>
      <c r="M19" s="3217"/>
      <c r="N19" s="2981"/>
    </row>
    <row r="20" spans="1:19" ht="12.9" customHeight="1">
      <c r="A20" s="2989"/>
      <c r="B20" s="2892"/>
      <c r="C20" s="2892"/>
      <c r="D20" s="2979"/>
      <c r="E20" s="2980"/>
      <c r="F20" s="1031"/>
      <c r="G20" s="1031"/>
      <c r="I20" s="2664"/>
      <c r="J20" s="1015" t="s">
        <v>1532</v>
      </c>
      <c r="K20" s="2665"/>
      <c r="L20" s="2665"/>
      <c r="M20" s="2665"/>
      <c r="N20" s="2665"/>
      <c r="O20" s="3474">
        <v>3.8</v>
      </c>
      <c r="P20" s="3475" t="s">
        <v>870</v>
      </c>
      <c r="R20" s="2893"/>
    </row>
    <row r="21" spans="1:19" ht="12.75" customHeight="1">
      <c r="A21" s="2989"/>
      <c r="B21" s="2892"/>
      <c r="C21" s="2892"/>
      <c r="D21" s="2979"/>
      <c r="E21" s="2980"/>
      <c r="F21" s="1031"/>
      <c r="G21" s="1031"/>
      <c r="I21" s="2664"/>
      <c r="J21" s="1015" t="s">
        <v>1533</v>
      </c>
      <c r="K21" s="2665"/>
      <c r="L21" s="2665"/>
      <c r="M21" s="2665"/>
      <c r="N21" s="2665"/>
      <c r="O21" s="3500">
        <v>2.9</v>
      </c>
      <c r="P21" s="2891" t="s">
        <v>15</v>
      </c>
    </row>
    <row r="22" spans="1:19" ht="13.65" customHeight="1">
      <c r="A22" s="2992" t="s">
        <v>874</v>
      </c>
      <c r="B22" s="2892" t="s">
        <v>1080</v>
      </c>
      <c r="C22" s="2892"/>
      <c r="D22" s="2892"/>
      <c r="E22" s="1031"/>
      <c r="F22" s="1031"/>
      <c r="G22" s="1031"/>
      <c r="I22" s="2664"/>
      <c r="J22" s="1015" t="s">
        <v>1534</v>
      </c>
      <c r="K22" s="2665"/>
      <c r="L22" s="2665"/>
      <c r="M22" s="2665"/>
      <c r="N22" s="2665"/>
      <c r="O22" s="3500">
        <v>6.9</v>
      </c>
      <c r="P22" s="2891" t="s">
        <v>15</v>
      </c>
    </row>
    <row r="23" spans="1:19" ht="12.75" customHeight="1">
      <c r="A23" s="3220"/>
      <c r="B23" s="2892" t="s">
        <v>875</v>
      </c>
      <c r="C23" s="2892"/>
      <c r="D23" s="2892"/>
      <c r="E23" s="1031"/>
      <c r="F23" s="1031"/>
      <c r="G23" s="1031"/>
      <c r="J23" s="1015" t="s">
        <v>1535</v>
      </c>
      <c r="K23" s="2665"/>
      <c r="L23" s="2665"/>
      <c r="M23" s="2665"/>
      <c r="N23" s="2665"/>
      <c r="O23" s="3500">
        <v>1.6</v>
      </c>
    </row>
    <row r="24" spans="1:19" s="2893" customFormat="1" ht="12.75" customHeight="1">
      <c r="A24" s="3220"/>
      <c r="B24" s="2892"/>
      <c r="C24" s="2892"/>
      <c r="D24" s="2892"/>
      <c r="E24" s="1031"/>
      <c r="F24" s="1031"/>
      <c r="G24" s="1031"/>
      <c r="H24" s="1014"/>
      <c r="I24" s="1021"/>
      <c r="J24" s="3473" t="s">
        <v>1512</v>
      </c>
      <c r="K24" s="1022"/>
      <c r="L24" s="1022"/>
      <c r="M24" s="1022"/>
      <c r="N24" s="1022"/>
      <c r="O24" s="3500">
        <v>9</v>
      </c>
      <c r="P24" s="2891" t="s">
        <v>15</v>
      </c>
      <c r="Q24" s="1194"/>
      <c r="R24" s="1194"/>
      <c r="S24" s="1194"/>
    </row>
    <row r="25" spans="1:19" ht="13.35" customHeight="1">
      <c r="A25" s="1031"/>
      <c r="B25" s="2991" t="s">
        <v>1441</v>
      </c>
      <c r="C25" s="2991"/>
      <c r="D25" s="2892"/>
      <c r="E25" s="1031"/>
      <c r="F25" s="3217"/>
      <c r="G25" s="1031"/>
      <c r="J25" s="1015" t="s">
        <v>1526</v>
      </c>
      <c r="O25" s="3500">
        <v>1.1000000000000001</v>
      </c>
      <c r="S25" s="2893"/>
    </row>
    <row r="26" spans="1:19" ht="12.75" customHeight="1">
      <c r="A26" s="2981"/>
      <c r="B26" s="2984"/>
      <c r="C26" s="2892"/>
      <c r="D26" s="3213"/>
      <c r="E26" s="2980"/>
      <c r="F26" s="3217"/>
      <c r="G26" s="1031"/>
      <c r="J26" s="1015" t="s">
        <v>1573</v>
      </c>
      <c r="K26" s="2665"/>
      <c r="L26" s="2665"/>
      <c r="M26" s="2665"/>
      <c r="N26" s="2665"/>
      <c r="O26" s="3500">
        <v>2.8</v>
      </c>
    </row>
    <row r="27" spans="1:19" ht="12.75" customHeight="1">
      <c r="C27" s="2987" t="s">
        <v>1545</v>
      </c>
      <c r="D27" s="3223"/>
      <c r="E27" s="2891"/>
      <c r="F27" s="3033">
        <v>-120.4</v>
      </c>
      <c r="G27" s="1031" t="s">
        <v>870</v>
      </c>
      <c r="J27" s="1015" t="s">
        <v>1513</v>
      </c>
      <c r="O27" s="3500">
        <v>47.6</v>
      </c>
      <c r="R27" s="2893"/>
    </row>
    <row r="28" spans="1:19" ht="12.75" customHeight="1">
      <c r="C28" s="2987" t="s">
        <v>876</v>
      </c>
      <c r="D28" s="3223"/>
      <c r="E28" s="2891"/>
      <c r="F28" s="2983">
        <v>1015.1</v>
      </c>
      <c r="G28" s="2893"/>
      <c r="J28" s="1015" t="s">
        <v>1536</v>
      </c>
      <c r="K28" s="2665"/>
      <c r="L28" s="2665"/>
      <c r="M28" s="2665"/>
      <c r="N28" s="2665"/>
      <c r="O28" s="3500">
        <v>6.4</v>
      </c>
    </row>
    <row r="29" spans="1:19" ht="12.9" customHeight="1">
      <c r="A29" s="1031"/>
      <c r="C29" s="2987" t="s">
        <v>1319</v>
      </c>
      <c r="D29" s="3223"/>
      <c r="E29" s="2891"/>
      <c r="F29" s="2983">
        <v>31.8</v>
      </c>
      <c r="G29" s="1031"/>
      <c r="J29" s="1015" t="s">
        <v>1537</v>
      </c>
      <c r="K29" s="2665"/>
      <c r="L29" s="2665"/>
      <c r="M29" s="2665"/>
      <c r="N29" s="2665"/>
      <c r="O29" s="3500">
        <v>3</v>
      </c>
    </row>
    <row r="30" spans="1:19" ht="12.75" customHeight="1">
      <c r="C30" s="2987" t="s">
        <v>1528</v>
      </c>
      <c r="D30" s="3223"/>
      <c r="E30" s="2891"/>
      <c r="F30" s="2983">
        <v>9</v>
      </c>
      <c r="J30" s="1015" t="s">
        <v>1458</v>
      </c>
      <c r="O30" s="3500">
        <v>1.4</v>
      </c>
    </row>
    <row r="31" spans="1:19" ht="12.75" customHeight="1">
      <c r="C31" s="2987" t="s">
        <v>1522</v>
      </c>
      <c r="D31" s="3223"/>
      <c r="E31" s="2891"/>
      <c r="F31" s="2983">
        <v>4.8</v>
      </c>
      <c r="J31" s="1015" t="s">
        <v>1529</v>
      </c>
      <c r="K31" s="2665"/>
      <c r="L31" s="2665"/>
      <c r="M31" s="2665"/>
      <c r="N31" s="2665"/>
      <c r="O31" s="3500">
        <v>32.5</v>
      </c>
    </row>
    <row r="32" spans="1:19" ht="12.75" customHeight="1">
      <c r="A32" s="1031"/>
      <c r="B32" s="1015"/>
      <c r="C32" s="2987" t="s">
        <v>881</v>
      </c>
      <c r="D32" s="3223"/>
      <c r="E32" s="2891"/>
      <c r="F32" s="2983">
        <v>85.7</v>
      </c>
      <c r="G32" s="2981"/>
      <c r="J32" s="1015" t="s">
        <v>1538</v>
      </c>
      <c r="K32" s="2665"/>
      <c r="L32" s="2665"/>
      <c r="M32" s="2665"/>
      <c r="N32" s="2665"/>
      <c r="O32" s="3500">
        <v>2.8</v>
      </c>
    </row>
    <row r="33" spans="1:20" s="2893" customFormat="1" ht="12.75" customHeight="1">
      <c r="A33" s="1110"/>
      <c r="B33" s="1195"/>
      <c r="C33" s="1015" t="s">
        <v>1485</v>
      </c>
      <c r="D33" s="2667"/>
      <c r="E33" s="2665"/>
      <c r="F33" s="3328">
        <v>49.5</v>
      </c>
      <c r="G33" s="1110"/>
      <c r="H33" s="1014"/>
      <c r="I33" s="1021"/>
      <c r="J33" s="3473" t="s">
        <v>1511</v>
      </c>
      <c r="K33" s="1022"/>
      <c r="L33" s="1022"/>
      <c r="M33" s="1022"/>
      <c r="N33" s="1022"/>
      <c r="O33" s="3476">
        <v>25</v>
      </c>
      <c r="P33" s="3475" t="s">
        <v>15</v>
      </c>
      <c r="Q33" s="1194"/>
      <c r="R33" s="1194"/>
      <c r="S33" s="1194"/>
    </row>
    <row r="34" spans="1:20" ht="12.9" customHeight="1">
      <c r="A34" s="1031"/>
      <c r="C34" s="3327" t="s">
        <v>1452</v>
      </c>
      <c r="F34" s="3328">
        <v>971.9</v>
      </c>
      <c r="G34" s="2981"/>
      <c r="I34" s="2893"/>
      <c r="J34" s="1015" t="s">
        <v>1539</v>
      </c>
      <c r="K34" s="2665"/>
      <c r="L34" s="2665"/>
      <c r="M34" s="2665"/>
      <c r="N34" s="2665"/>
      <c r="O34" s="3476">
        <v>2</v>
      </c>
      <c r="P34" s="2893"/>
      <c r="S34" s="2893"/>
    </row>
    <row r="35" spans="1:20" ht="12.75" customHeight="1">
      <c r="A35" s="2893"/>
      <c r="B35" s="2893"/>
      <c r="C35" s="2987" t="s">
        <v>1482</v>
      </c>
      <c r="D35" s="2893"/>
      <c r="E35" s="2893"/>
      <c r="F35" s="3328">
        <v>6.6</v>
      </c>
      <c r="G35" s="2893"/>
      <c r="J35" s="1015" t="s">
        <v>1540</v>
      </c>
      <c r="K35" s="2665"/>
      <c r="L35" s="2665"/>
      <c r="M35" s="2665"/>
      <c r="N35" s="2665"/>
      <c r="O35" s="3476">
        <v>2.5</v>
      </c>
    </row>
    <row r="36" spans="1:20" ht="12.75" customHeight="1">
      <c r="C36" s="2987" t="s">
        <v>1483</v>
      </c>
      <c r="F36" s="3328">
        <v>36.700000000000003</v>
      </c>
      <c r="J36" s="1015" t="s">
        <v>1574</v>
      </c>
      <c r="K36" s="2665"/>
      <c r="L36" s="2665"/>
      <c r="M36" s="2665"/>
      <c r="N36" s="2665"/>
      <c r="O36" s="3476">
        <v>38.799999999999997</v>
      </c>
      <c r="R36" s="1014"/>
    </row>
    <row r="37" spans="1:20" ht="12.75" customHeight="1">
      <c r="C37" s="2987" t="s">
        <v>1484</v>
      </c>
      <c r="F37" s="3328">
        <v>3.8</v>
      </c>
      <c r="J37" s="2987" t="s">
        <v>1120</v>
      </c>
      <c r="K37" s="1024"/>
      <c r="O37" s="3477">
        <v>92</v>
      </c>
      <c r="P37" s="3475" t="s">
        <v>15</v>
      </c>
      <c r="R37" s="1025"/>
    </row>
    <row r="38" spans="1:20" ht="12.75" customHeight="1">
      <c r="A38" s="1031"/>
      <c r="B38" s="1015"/>
      <c r="C38" s="3327" t="s">
        <v>1453</v>
      </c>
      <c r="F38" s="3328">
        <v>2</v>
      </c>
      <c r="G38" s="2981"/>
      <c r="J38" s="2987" t="s">
        <v>1541</v>
      </c>
      <c r="K38" s="2667"/>
      <c r="L38" s="2665"/>
      <c r="M38" s="2665"/>
      <c r="N38" s="2665"/>
      <c r="O38" s="3477">
        <v>2.5</v>
      </c>
      <c r="R38" s="1025"/>
      <c r="T38" s="1196"/>
    </row>
    <row r="39" spans="1:20" ht="12.75" customHeight="1">
      <c r="C39" s="1015" t="s">
        <v>1531</v>
      </c>
      <c r="F39" s="3328">
        <v>8.1</v>
      </c>
      <c r="H39" s="2891"/>
      <c r="I39" s="2664"/>
      <c r="J39" s="1015" t="s">
        <v>1527</v>
      </c>
      <c r="O39" s="3500">
        <v>1.2</v>
      </c>
      <c r="P39" s="1031" t="s">
        <v>15</v>
      </c>
      <c r="Q39" s="2893"/>
      <c r="T39" s="1196"/>
    </row>
    <row r="40" spans="1:20" ht="12.9" customHeight="1">
      <c r="C40" s="1015" t="s">
        <v>1507</v>
      </c>
      <c r="D40" s="2667"/>
      <c r="E40" s="2665"/>
      <c r="F40" s="3328">
        <v>1.8</v>
      </c>
      <c r="H40" s="2891"/>
      <c r="J40" s="1015" t="s">
        <v>1542</v>
      </c>
      <c r="K40" s="2665"/>
      <c r="L40" s="2665"/>
      <c r="M40" s="2665"/>
      <c r="N40" s="2665"/>
      <c r="O40" s="3500">
        <v>1.8</v>
      </c>
      <c r="T40" s="1196"/>
    </row>
    <row r="41" spans="1:20" ht="12.75" customHeight="1">
      <c r="C41" s="1015" t="s">
        <v>1530</v>
      </c>
      <c r="F41" s="3328">
        <v>25.3</v>
      </c>
      <c r="G41" s="2981"/>
      <c r="H41" s="2891"/>
      <c r="J41" s="3473" t="s">
        <v>1514</v>
      </c>
      <c r="O41" s="3476">
        <v>19</v>
      </c>
      <c r="T41" s="1196"/>
    </row>
    <row r="42" spans="1:20" s="2893" customFormat="1" ht="12.75" customHeight="1">
      <c r="A42" s="1110"/>
      <c r="B42" s="1195"/>
      <c r="C42" s="1015" t="s">
        <v>1509</v>
      </c>
      <c r="D42" s="2667"/>
      <c r="E42" s="2665"/>
      <c r="F42" s="3181">
        <v>4.5</v>
      </c>
      <c r="G42" s="1110"/>
      <c r="H42" s="1014"/>
      <c r="I42" s="1021"/>
      <c r="J42" s="1015" t="s">
        <v>1523</v>
      </c>
      <c r="K42" s="2665"/>
      <c r="L42" s="2665"/>
      <c r="M42" s="2665"/>
      <c r="N42" s="2665"/>
      <c r="O42" s="3476">
        <v>3.3</v>
      </c>
      <c r="P42" s="1194"/>
      <c r="Q42" s="1194"/>
      <c r="T42" s="1196"/>
    </row>
    <row r="43" spans="1:20" ht="12.75" customHeight="1">
      <c r="A43" s="1031"/>
      <c r="B43" s="3180"/>
      <c r="C43" s="1015" t="s">
        <v>1454</v>
      </c>
      <c r="D43" s="2893"/>
      <c r="E43" s="2893"/>
      <c r="F43" s="3328">
        <v>1463.1</v>
      </c>
      <c r="J43" s="1015" t="s">
        <v>1543</v>
      </c>
      <c r="K43" s="2665"/>
      <c r="L43" s="2665"/>
      <c r="M43" s="2665"/>
      <c r="N43" s="2665"/>
      <c r="O43" s="3476">
        <v>2.2999999999999998</v>
      </c>
      <c r="T43" s="1196"/>
    </row>
    <row r="44" spans="1:20" s="2893" customFormat="1" ht="12.75" customHeight="1">
      <c r="A44" s="1110"/>
      <c r="B44" s="1195"/>
      <c r="C44" s="3346" t="s">
        <v>1473</v>
      </c>
      <c r="D44" s="1024"/>
      <c r="E44" s="1022"/>
      <c r="F44" s="3347">
        <v>1200</v>
      </c>
      <c r="G44" s="2981"/>
      <c r="H44" s="1014"/>
      <c r="J44" s="1015" t="s">
        <v>1544</v>
      </c>
      <c r="K44" s="2665"/>
      <c r="L44" s="2665"/>
      <c r="M44" s="2665"/>
      <c r="N44" s="2665"/>
      <c r="O44" s="3476">
        <v>6.3</v>
      </c>
      <c r="Q44" s="1194"/>
      <c r="R44" s="1194"/>
      <c r="S44" s="1194"/>
      <c r="T44" s="1196"/>
    </row>
    <row r="45" spans="1:20" ht="12.75" customHeight="1">
      <c r="C45" s="1015" t="s">
        <v>1457</v>
      </c>
      <c r="F45" s="3328">
        <v>264.3</v>
      </c>
      <c r="G45" s="2891"/>
      <c r="H45" s="2891"/>
      <c r="S45" s="2893"/>
      <c r="T45" s="1196"/>
    </row>
    <row r="46" spans="1:20" ht="12.75" customHeight="1">
      <c r="A46" s="1031"/>
      <c r="C46" s="1015" t="s">
        <v>1458</v>
      </c>
      <c r="F46" s="3181">
        <v>30.7</v>
      </c>
      <c r="I46" s="3206" t="s">
        <v>1279</v>
      </c>
      <c r="J46" s="1011"/>
      <c r="K46" s="2891"/>
      <c r="L46" s="2891"/>
      <c r="M46" s="2891"/>
      <c r="N46" s="2891"/>
      <c r="P46" s="3181"/>
      <c r="T46" s="3239"/>
    </row>
    <row r="47" spans="1:20" ht="12.75" customHeight="1">
      <c r="A47" s="1031"/>
      <c r="B47" s="2987"/>
      <c r="C47" s="2987" t="s">
        <v>882</v>
      </c>
      <c r="D47" s="2982"/>
      <c r="E47" s="1031"/>
      <c r="F47" s="2983">
        <v>3.7</v>
      </c>
      <c r="I47" s="3207"/>
    </row>
    <row r="48" spans="1:20" ht="13.5" customHeight="1">
      <c r="C48" s="2987" t="s">
        <v>1492</v>
      </c>
      <c r="D48" s="3036"/>
      <c r="E48" s="1031"/>
      <c r="F48" s="2983">
        <v>61.1</v>
      </c>
      <c r="I48" s="3208"/>
      <c r="J48" s="1015" t="s">
        <v>877</v>
      </c>
      <c r="K48" s="3209"/>
      <c r="L48" s="2891"/>
      <c r="M48" s="2893"/>
      <c r="O48" s="3210">
        <v>8854.1</v>
      </c>
      <c r="P48" s="2891" t="s">
        <v>870</v>
      </c>
      <c r="Q48" s="2893"/>
      <c r="R48" s="2893"/>
    </row>
    <row r="49" spans="1:21" ht="13.5" customHeight="1">
      <c r="B49" s="2987"/>
      <c r="C49" s="2987" t="s">
        <v>1031</v>
      </c>
      <c r="D49" s="3036"/>
      <c r="E49" s="1031"/>
      <c r="F49" s="2983">
        <v>1015</v>
      </c>
      <c r="I49" s="1015"/>
      <c r="J49" s="1015" t="s">
        <v>878</v>
      </c>
      <c r="K49" s="3209"/>
      <c r="L49" s="2891"/>
      <c r="M49" s="2893"/>
      <c r="O49" s="3181">
        <v>2787</v>
      </c>
      <c r="Q49" s="2893"/>
      <c r="R49" s="2893"/>
    </row>
    <row r="50" spans="1:21" ht="12.75" customHeight="1">
      <c r="A50" s="2891"/>
      <c r="C50" s="2987" t="s">
        <v>1508</v>
      </c>
      <c r="D50" s="3036"/>
      <c r="E50" s="1031"/>
      <c r="F50" s="2983">
        <v>1.5</v>
      </c>
      <c r="I50" s="2987"/>
      <c r="J50" s="1015" t="s">
        <v>879</v>
      </c>
      <c r="K50" s="3036"/>
      <c r="L50" s="2892"/>
      <c r="M50" s="2986"/>
      <c r="O50" s="3181">
        <v>2275.3000000000002</v>
      </c>
      <c r="Q50" s="2893"/>
    </row>
    <row r="51" spans="1:21" ht="12.75" customHeight="1">
      <c r="I51" s="1202"/>
      <c r="J51" s="1015" t="s">
        <v>880</v>
      </c>
      <c r="K51" s="3215"/>
      <c r="L51" s="1031"/>
      <c r="M51" s="2986"/>
      <c r="O51" s="3181">
        <v>813</v>
      </c>
    </row>
    <row r="52" spans="1:21" ht="12.9" customHeight="1">
      <c r="B52" s="3208" t="s">
        <v>884</v>
      </c>
      <c r="C52" s="2987"/>
      <c r="D52" s="3036"/>
      <c r="E52" s="1031"/>
      <c r="F52" s="2983"/>
      <c r="I52" s="1202"/>
      <c r="J52" s="1015"/>
      <c r="K52" s="2979"/>
      <c r="L52" s="3213"/>
      <c r="M52" s="2980"/>
      <c r="P52" s="3181"/>
    </row>
    <row r="53" spans="1:21" ht="12.75" customHeight="1">
      <c r="A53" s="2891"/>
      <c r="B53" s="2892" t="s">
        <v>1568</v>
      </c>
      <c r="C53" s="2987"/>
      <c r="D53" s="2982"/>
      <c r="E53" s="1031"/>
      <c r="F53" s="2983"/>
      <c r="G53" s="1031"/>
      <c r="I53" s="3136" t="s">
        <v>1097</v>
      </c>
      <c r="J53" s="1015"/>
      <c r="K53" s="2892"/>
      <c r="L53" s="3217"/>
      <c r="M53" s="1031"/>
      <c r="N53" s="2891"/>
      <c r="O53" s="3181"/>
      <c r="R53" s="2893"/>
      <c r="S53" s="3241"/>
      <c r="T53" s="1196"/>
      <c r="U53" s="1196"/>
    </row>
    <row r="54" spans="1:21" ht="12.75" customHeight="1">
      <c r="A54" s="2891"/>
      <c r="B54" s="2892" t="s">
        <v>1569</v>
      </c>
      <c r="C54" s="1013"/>
      <c r="D54" s="2667"/>
      <c r="E54" s="2665"/>
      <c r="F54" s="3234"/>
      <c r="G54" s="1031"/>
      <c r="I54" s="3179" t="s">
        <v>1098</v>
      </c>
      <c r="J54" s="1015"/>
      <c r="K54" s="2891"/>
      <c r="L54" s="2891"/>
      <c r="M54" s="2891"/>
      <c r="N54" s="2891"/>
      <c r="O54" s="3181"/>
      <c r="S54" s="1032"/>
      <c r="T54" s="1196"/>
      <c r="U54" s="1196"/>
    </row>
    <row r="55" spans="1:21" ht="12.75" customHeight="1">
      <c r="A55" s="1031"/>
      <c r="B55" s="1015" t="s">
        <v>1525</v>
      </c>
      <c r="C55" s="2892"/>
      <c r="F55" s="3218"/>
      <c r="G55" s="1031"/>
      <c r="I55" s="1013" t="s">
        <v>1582</v>
      </c>
      <c r="J55" s="1015"/>
      <c r="K55" s="2891"/>
      <c r="L55" s="2891"/>
      <c r="M55" s="2891"/>
      <c r="N55" s="2891"/>
      <c r="O55" s="3181"/>
      <c r="S55" s="1028"/>
      <c r="T55" s="1196"/>
      <c r="U55" s="1196"/>
    </row>
    <row r="56" spans="1:21" s="2893" customFormat="1" ht="12.75" customHeight="1">
      <c r="A56" s="1031"/>
      <c r="C56" s="3184"/>
      <c r="D56" s="3209"/>
      <c r="E56" s="2891"/>
      <c r="F56" s="3181"/>
      <c r="G56" s="1031"/>
      <c r="H56" s="1014"/>
      <c r="I56" s="1202"/>
      <c r="J56" s="1202"/>
      <c r="K56" s="2979"/>
      <c r="L56" s="2980"/>
      <c r="M56" s="2980"/>
      <c r="N56" s="2665"/>
      <c r="O56" s="1194"/>
      <c r="P56" s="1194"/>
      <c r="Q56" s="1194"/>
      <c r="S56" s="3242"/>
      <c r="T56" s="1196"/>
      <c r="U56" s="1196"/>
    </row>
    <row r="57" spans="1:21" ht="12.75" customHeight="1">
      <c r="A57" s="2891"/>
      <c r="C57" s="2664"/>
      <c r="D57" s="3223"/>
      <c r="E57" s="2891"/>
      <c r="F57" s="2985"/>
      <c r="G57" s="1031"/>
      <c r="I57" s="3032" t="s">
        <v>1570</v>
      </c>
      <c r="J57" s="2987"/>
      <c r="K57" s="3217"/>
      <c r="L57" s="1031"/>
      <c r="M57" s="3217"/>
      <c r="N57" s="2891"/>
      <c r="O57" s="1026"/>
      <c r="S57" s="3242"/>
      <c r="T57" s="3239"/>
      <c r="U57" s="3239"/>
    </row>
    <row r="58" spans="1:21" s="2663" customFormat="1" ht="12.75" customHeight="1">
      <c r="A58" s="1110"/>
      <c r="C58" s="2664"/>
      <c r="D58" s="1024"/>
      <c r="E58" s="1022"/>
      <c r="F58" s="3218"/>
      <c r="G58" s="1110"/>
      <c r="H58" s="2893"/>
      <c r="I58" s="3179" t="s">
        <v>1571</v>
      </c>
      <c r="J58" s="1015"/>
      <c r="K58" s="2891"/>
      <c r="L58" s="2891"/>
      <c r="M58" s="2891"/>
      <c r="N58" s="2891"/>
      <c r="O58" s="1026"/>
      <c r="P58" s="3218"/>
      <c r="Q58" s="1194"/>
      <c r="R58" s="3221"/>
      <c r="S58" s="1194"/>
    </row>
    <row r="59" spans="1:21" s="1026" customFormat="1" ht="12.75" customHeight="1">
      <c r="A59" s="2891"/>
      <c r="C59" s="1202"/>
      <c r="D59" s="3213"/>
      <c r="E59" s="2980"/>
      <c r="F59" s="3217"/>
      <c r="G59" s="1110"/>
      <c r="H59" s="1014"/>
      <c r="I59" s="3193" t="s">
        <v>1506</v>
      </c>
      <c r="J59" s="1013"/>
      <c r="K59" s="1022"/>
      <c r="L59" s="1022"/>
      <c r="M59" s="1022"/>
      <c r="N59" s="1022"/>
      <c r="O59" s="1194"/>
      <c r="P59" s="2990"/>
      <c r="Q59" s="2893"/>
      <c r="R59" s="3246"/>
    </row>
    <row r="60" spans="1:21" ht="12.75" customHeight="1">
      <c r="A60" s="2891"/>
      <c r="R60" s="3203"/>
      <c r="S60" s="1026"/>
    </row>
    <row r="61" spans="1:21" s="2893" customFormat="1" ht="12.75" customHeight="1">
      <c r="A61" s="2666"/>
      <c r="B61" s="2891"/>
      <c r="C61" s="2892"/>
      <c r="D61" s="3248"/>
      <c r="E61" s="2980"/>
      <c r="F61" s="3218"/>
      <c r="G61" s="2665"/>
      <c r="H61" s="1014"/>
      <c r="I61" s="1021"/>
      <c r="J61" s="1021"/>
      <c r="K61" s="1022"/>
      <c r="L61" s="1022"/>
      <c r="M61" s="1022"/>
      <c r="N61" s="1022"/>
      <c r="O61" s="1194"/>
      <c r="P61" s="1194"/>
      <c r="Q61" s="1194"/>
      <c r="R61" s="3249"/>
    </row>
    <row r="62" spans="1:21" s="2893" customFormat="1" ht="12.75" customHeight="1">
      <c r="A62" s="2666"/>
      <c r="B62" s="2891"/>
      <c r="C62" s="2892"/>
      <c r="D62" s="3248"/>
      <c r="E62" s="2980"/>
      <c r="F62" s="3218"/>
      <c r="G62" s="2665"/>
      <c r="H62" s="2891"/>
      <c r="I62" s="2664"/>
      <c r="J62" s="2664"/>
      <c r="K62" s="2665"/>
      <c r="L62" s="2665"/>
      <c r="M62" s="2665"/>
      <c r="N62" s="2665"/>
      <c r="R62" s="3249"/>
    </row>
    <row r="63" spans="1:21" s="2893" customFormat="1" ht="12.75" customHeight="1">
      <c r="A63" s="3183" t="s">
        <v>883</v>
      </c>
      <c r="B63" s="2892" t="s">
        <v>925</v>
      </c>
      <c r="C63" s="1202"/>
      <c r="D63" s="2979"/>
      <c r="E63" s="2980"/>
      <c r="F63" s="2980"/>
      <c r="G63" s="2981"/>
      <c r="H63" s="2666"/>
      <c r="I63" s="3181"/>
      <c r="J63" s="2664"/>
      <c r="K63" s="2665"/>
      <c r="L63" s="2665"/>
      <c r="M63" s="2665"/>
      <c r="N63" s="2665"/>
      <c r="R63" s="3249"/>
    </row>
    <row r="64" spans="1:21" s="2893" customFormat="1" ht="12.75" customHeight="1">
      <c r="A64" s="1014"/>
      <c r="B64" s="2892" t="s">
        <v>1103</v>
      </c>
      <c r="C64" s="1202"/>
      <c r="D64" s="2979"/>
      <c r="E64" s="2980"/>
      <c r="F64" s="2980"/>
      <c r="G64" s="2981"/>
      <c r="H64" s="2666"/>
      <c r="I64" s="2891"/>
      <c r="J64" s="2664"/>
      <c r="K64" s="2665"/>
      <c r="L64" s="2665"/>
      <c r="M64" s="2665"/>
      <c r="N64" s="2665"/>
      <c r="R64" s="3249"/>
    </row>
    <row r="65" spans="1:18" s="2893" customFormat="1" ht="12.75" customHeight="1">
      <c r="A65" s="1014"/>
      <c r="B65" s="1013" t="s">
        <v>1107</v>
      </c>
      <c r="C65" s="3221"/>
      <c r="D65" s="2665"/>
      <c r="E65" s="1022"/>
      <c r="F65" s="3222"/>
      <c r="G65" s="1031"/>
      <c r="H65" s="2666"/>
      <c r="I65" s="2891"/>
      <c r="J65" s="2664"/>
      <c r="K65" s="2665"/>
      <c r="L65" s="2665"/>
      <c r="M65" s="2665"/>
      <c r="N65" s="2665"/>
      <c r="R65" s="3249"/>
    </row>
    <row r="66" spans="1:18" s="2893" customFormat="1" ht="12.75" customHeight="1">
      <c r="A66" s="2891"/>
      <c r="B66" s="1013" t="s">
        <v>1099</v>
      </c>
      <c r="C66" s="3219"/>
      <c r="D66" s="2665"/>
      <c r="E66" s="1022"/>
      <c r="F66" s="3222"/>
      <c r="G66" s="2665"/>
      <c r="H66" s="2666"/>
      <c r="I66" s="2891"/>
      <c r="J66" s="2664"/>
      <c r="K66" s="2665"/>
      <c r="L66" s="2665"/>
      <c r="M66" s="2665"/>
      <c r="N66" s="2665"/>
      <c r="R66" s="3249"/>
    </row>
    <row r="67" spans="1:18" s="2893" customFormat="1" ht="12.75" customHeight="1">
      <c r="A67" s="1014"/>
      <c r="B67" s="1021"/>
      <c r="C67" s="1021"/>
      <c r="D67" s="1022"/>
      <c r="E67" s="1022"/>
      <c r="F67" s="1022"/>
      <c r="G67" s="1022"/>
      <c r="H67" s="1194"/>
      <c r="I67" s="1031"/>
      <c r="J67" s="2664"/>
      <c r="K67" s="2665"/>
      <c r="L67" s="2665"/>
      <c r="M67" s="2665"/>
      <c r="N67" s="2665"/>
      <c r="R67" s="3249"/>
    </row>
    <row r="68" spans="1:18" s="2893" customFormat="1" ht="12.75" customHeight="1">
      <c r="A68" s="1014"/>
      <c r="B68" s="1013" t="s">
        <v>1442</v>
      </c>
      <c r="C68" s="2664"/>
      <c r="D68" s="2665"/>
      <c r="E68" s="1022"/>
      <c r="F68" s="3222"/>
      <c r="G68" s="2665"/>
      <c r="H68" s="2666"/>
      <c r="I68" s="2891"/>
      <c r="J68" s="2664"/>
      <c r="K68" s="2665"/>
      <c r="L68" s="2665"/>
      <c r="M68" s="2665"/>
      <c r="N68" s="2665"/>
      <c r="R68" s="3249"/>
    </row>
    <row r="69" spans="1:18" s="2893" customFormat="1" ht="12.75" customHeight="1">
      <c r="A69" s="2891"/>
      <c r="B69" s="1013" t="s">
        <v>1443</v>
      </c>
      <c r="C69" s="2664"/>
      <c r="D69" s="2665"/>
      <c r="E69" s="1022"/>
      <c r="F69" s="3222"/>
      <c r="G69" s="2665"/>
      <c r="H69" s="2666"/>
      <c r="I69" s="1031"/>
      <c r="J69" s="2664"/>
      <c r="K69" s="2665"/>
      <c r="L69" s="2665"/>
      <c r="M69" s="2665"/>
      <c r="N69" s="2665"/>
      <c r="R69" s="3249"/>
    </row>
    <row r="70" spans="1:18" s="2893" customFormat="1" ht="12.75" customHeight="1">
      <c r="A70" s="2891"/>
      <c r="B70" s="2891" t="s">
        <v>1444</v>
      </c>
      <c r="C70" s="2664"/>
      <c r="D70" s="2665"/>
      <c r="E70" s="1022"/>
      <c r="F70" s="3222"/>
      <c r="G70" s="2666"/>
      <c r="H70" s="2666"/>
      <c r="I70" s="1031"/>
      <c r="J70" s="2664"/>
      <c r="K70" s="2665"/>
      <c r="L70" s="2665"/>
      <c r="M70" s="2665"/>
      <c r="N70" s="2665"/>
      <c r="R70" s="3249"/>
    </row>
    <row r="71" spans="1:18" s="2893" customFormat="1" ht="12.75" customHeight="1">
      <c r="A71" s="1014"/>
      <c r="B71" s="2667"/>
      <c r="C71" s="1013"/>
      <c r="D71" s="2665"/>
      <c r="E71" s="1022"/>
      <c r="F71" s="3222"/>
      <c r="G71" s="2665"/>
      <c r="H71" s="2666"/>
      <c r="I71" s="1031"/>
      <c r="J71" s="2664"/>
      <c r="K71" s="2665"/>
      <c r="L71" s="2665"/>
      <c r="M71" s="2665"/>
      <c r="N71" s="2665"/>
      <c r="R71" s="3249"/>
    </row>
    <row r="72" spans="1:18" s="2893" customFormat="1" ht="12.75" customHeight="1">
      <c r="A72" s="1014"/>
      <c r="B72" s="2667"/>
      <c r="C72" s="2664"/>
      <c r="D72" s="3184"/>
      <c r="E72" s="3224"/>
      <c r="F72" s="3225" t="s">
        <v>1317</v>
      </c>
      <c r="G72" s="3225"/>
      <c r="I72" s="1031"/>
      <c r="J72" s="2664"/>
      <c r="K72" s="2665"/>
      <c r="L72" s="2665"/>
      <c r="M72" s="2665"/>
      <c r="N72" s="2665"/>
      <c r="R72" s="3249"/>
    </row>
    <row r="73" spans="1:18" s="2893" customFormat="1" ht="12.75" customHeight="1">
      <c r="B73" s="2979"/>
      <c r="C73" s="3221"/>
      <c r="D73" s="3184"/>
      <c r="E73" s="3226" t="s">
        <v>863</v>
      </c>
      <c r="F73" s="2665"/>
      <c r="G73" s="3227" t="s">
        <v>1318</v>
      </c>
      <c r="I73" s="1031"/>
      <c r="J73" s="2664"/>
      <c r="K73" s="2665"/>
      <c r="L73" s="2665"/>
      <c r="M73" s="2665"/>
      <c r="N73" s="2665"/>
      <c r="R73" s="3249"/>
    </row>
    <row r="74" spans="1:18" s="2893" customFormat="1" ht="12.75" customHeight="1">
      <c r="A74" s="1014"/>
      <c r="B74" s="1031"/>
      <c r="C74" s="3228"/>
      <c r="D74" s="1202"/>
      <c r="E74" s="3226"/>
      <c r="F74" s="2981"/>
      <c r="G74" s="3225"/>
      <c r="I74" s="1031"/>
      <c r="J74" s="2664"/>
      <c r="K74" s="2665"/>
      <c r="L74" s="2665"/>
      <c r="M74" s="2665"/>
      <c r="N74" s="2665"/>
      <c r="R74" s="3249"/>
    </row>
    <row r="75" spans="1:18" s="2893" customFormat="1" ht="12.75" customHeight="1">
      <c r="A75" s="2891"/>
      <c r="B75" s="1013" t="s">
        <v>885</v>
      </c>
      <c r="C75" s="1202"/>
      <c r="D75" s="3184"/>
      <c r="E75" s="3229">
        <v>0</v>
      </c>
      <c r="F75" s="2665"/>
      <c r="G75" s="3229">
        <v>28614340</v>
      </c>
      <c r="I75" s="3217"/>
      <c r="J75" s="2664"/>
      <c r="K75" s="2665"/>
      <c r="L75" s="2665"/>
      <c r="M75" s="2665"/>
      <c r="N75" s="2665"/>
      <c r="R75" s="3249"/>
    </row>
    <row r="76" spans="1:18" s="2893" customFormat="1" ht="12.75" customHeight="1">
      <c r="A76" s="1014"/>
      <c r="B76" s="1013" t="s">
        <v>1466</v>
      </c>
      <c r="C76" s="1202"/>
      <c r="D76" s="3184"/>
      <c r="E76" s="3230">
        <v>0</v>
      </c>
      <c r="F76" s="2665"/>
      <c r="G76" s="3231">
        <v>21539892</v>
      </c>
      <c r="I76" s="3217"/>
      <c r="J76" s="2664"/>
      <c r="K76" s="2665"/>
      <c r="L76" s="2665"/>
      <c r="M76" s="2665"/>
      <c r="N76" s="2665"/>
      <c r="R76" s="3249"/>
    </row>
    <row r="77" spans="1:18" s="2893" customFormat="1" ht="12.75" customHeight="1">
      <c r="A77" s="1014"/>
      <c r="B77" s="1013" t="s">
        <v>886</v>
      </c>
      <c r="C77" s="2664"/>
      <c r="D77" s="2891"/>
      <c r="E77" s="3232">
        <v>0</v>
      </c>
      <c r="F77" s="3233"/>
      <c r="G77" s="3232">
        <v>53462055</v>
      </c>
      <c r="I77" s="1031"/>
      <c r="J77" s="2664"/>
      <c r="K77" s="2665"/>
      <c r="L77" s="2665"/>
      <c r="M77" s="2665"/>
      <c r="N77" s="2665"/>
      <c r="R77" s="3249"/>
    </row>
    <row r="78" spans="1:18" s="2893" customFormat="1" ht="12.75" customHeight="1">
      <c r="A78" s="2891"/>
      <c r="B78" s="1013" t="s">
        <v>887</v>
      </c>
      <c r="C78" s="2664"/>
      <c r="D78" s="2891"/>
      <c r="E78" s="3232">
        <v>0</v>
      </c>
      <c r="F78" s="2666"/>
      <c r="G78" s="3230">
        <v>2356936</v>
      </c>
      <c r="I78" s="1031"/>
      <c r="J78" s="2664"/>
      <c r="K78" s="2665"/>
      <c r="L78" s="2665"/>
      <c r="M78" s="2665"/>
      <c r="N78" s="2665"/>
      <c r="R78" s="3249"/>
    </row>
    <row r="79" spans="1:18" s="2893" customFormat="1" ht="12.75" customHeight="1">
      <c r="A79" s="2891"/>
      <c r="B79" s="2891" t="s">
        <v>888</v>
      </c>
      <c r="C79" s="2664"/>
      <c r="D79" s="2891"/>
      <c r="E79" s="3230">
        <v>0</v>
      </c>
      <c r="F79" s="2665"/>
      <c r="G79" s="3230">
        <v>7931245.5800000001</v>
      </c>
      <c r="I79" s="1031"/>
      <c r="J79" s="2664"/>
      <c r="K79" s="2665"/>
      <c r="L79" s="2665"/>
      <c r="M79" s="2665"/>
      <c r="N79" s="2665"/>
      <c r="R79" s="3249"/>
    </row>
    <row r="80" spans="1:18" s="2893" customFormat="1" ht="12.75" customHeight="1">
      <c r="A80" s="2891"/>
      <c r="B80" s="1013" t="s">
        <v>1050</v>
      </c>
      <c r="C80" s="2664"/>
      <c r="D80" s="2891"/>
      <c r="E80" s="3230">
        <v>0</v>
      </c>
      <c r="F80" s="2665"/>
      <c r="G80" s="3230">
        <v>0</v>
      </c>
      <c r="I80" s="1031"/>
      <c r="J80" s="2664"/>
      <c r="K80" s="2665"/>
      <c r="L80" s="2665"/>
      <c r="M80" s="2665"/>
      <c r="N80" s="2665"/>
      <c r="R80" s="3249"/>
    </row>
    <row r="81" spans="1:18" s="2893" customFormat="1" ht="12.75" customHeight="1" thickBot="1">
      <c r="A81" s="2891"/>
      <c r="B81" s="1013" t="s">
        <v>889</v>
      </c>
      <c r="C81" s="2664"/>
      <c r="D81" s="2891"/>
      <c r="E81" s="3235">
        <f>SUM(E75:E80)</f>
        <v>0</v>
      </c>
      <c r="F81" s="3236"/>
      <c r="G81" s="3237">
        <f>SUM(G75:G80)</f>
        <v>113904468.58</v>
      </c>
      <c r="I81" s="1031"/>
      <c r="J81" s="2664"/>
      <c r="K81" s="2665"/>
      <c r="L81" s="2665"/>
      <c r="M81" s="2665"/>
      <c r="N81" s="2665"/>
      <c r="R81" s="3249"/>
    </row>
    <row r="82" spans="1:18" s="2893" customFormat="1" ht="12.75" customHeight="1" thickTop="1">
      <c r="A82" s="2666"/>
      <c r="B82" s="2891"/>
      <c r="C82" s="2892"/>
      <c r="D82" s="3248"/>
      <c r="E82" s="2980"/>
      <c r="F82" s="3218"/>
      <c r="G82" s="2665"/>
      <c r="H82" s="2891"/>
      <c r="I82" s="2664"/>
      <c r="J82" s="2664"/>
      <c r="K82" s="2665"/>
      <c r="L82" s="2665"/>
      <c r="M82" s="2665"/>
      <c r="N82" s="2665"/>
      <c r="R82" s="3249"/>
    </row>
    <row r="83" spans="1:18" s="2893" customFormat="1" ht="12.75" customHeight="1">
      <c r="A83" s="2666"/>
      <c r="B83" s="2891"/>
      <c r="C83" s="2892"/>
      <c r="D83" s="3248"/>
      <c r="E83" s="2980"/>
      <c r="F83" s="3218"/>
      <c r="G83" s="2665"/>
      <c r="H83" s="2891"/>
      <c r="I83" s="2664"/>
      <c r="J83" s="2664"/>
      <c r="K83" s="2665"/>
      <c r="L83" s="2665"/>
      <c r="M83" s="2665"/>
      <c r="N83" s="2665"/>
      <c r="R83" s="3249"/>
    </row>
    <row r="84" spans="1:18" s="2893" customFormat="1" ht="12.75" customHeight="1">
      <c r="A84" s="3183" t="s">
        <v>1479</v>
      </c>
      <c r="B84" s="1013" t="s">
        <v>1480</v>
      </c>
      <c r="C84" s="3228"/>
      <c r="D84" s="3238"/>
      <c r="E84" s="2986"/>
      <c r="F84" s="3238"/>
      <c r="Q84" s="1194"/>
      <c r="R84" s="3250"/>
    </row>
    <row r="85" spans="1:18" s="2893" customFormat="1" ht="12.75" customHeight="1">
      <c r="A85" s="2891"/>
      <c r="B85" s="2891" t="s">
        <v>1481</v>
      </c>
      <c r="C85" s="2892"/>
      <c r="D85" s="3248"/>
      <c r="E85" s="2980"/>
      <c r="F85" s="3218"/>
      <c r="G85" s="2665"/>
      <c r="H85" s="1014"/>
      <c r="I85" s="1021"/>
      <c r="J85" s="1021"/>
      <c r="K85" s="1022"/>
      <c r="L85" s="1022"/>
      <c r="M85" s="1022"/>
      <c r="N85" s="1022"/>
      <c r="O85" s="1194"/>
      <c r="P85" s="1194"/>
      <c r="Q85" s="2663"/>
      <c r="R85" s="3250"/>
    </row>
    <row r="86" spans="1:18" s="2893" customFormat="1" ht="12.75" customHeight="1">
      <c r="A86" s="1010"/>
      <c r="B86" s="1036" t="s">
        <v>1575</v>
      </c>
      <c r="C86" s="2892"/>
      <c r="D86" s="2980"/>
      <c r="E86" s="2980"/>
      <c r="F86" s="1031"/>
      <c r="G86" s="1031"/>
      <c r="H86" s="1031"/>
      <c r="I86" s="3207"/>
      <c r="J86" s="1202"/>
      <c r="K86" s="1022"/>
      <c r="L86" s="1022"/>
      <c r="M86" s="3222"/>
      <c r="N86" s="1022"/>
      <c r="P86" s="1194"/>
      <c r="Q86" s="1026"/>
      <c r="R86" s="2668"/>
    </row>
    <row r="87" spans="1:18" s="2893" customFormat="1" ht="12.75" customHeight="1">
      <c r="A87" s="2666"/>
      <c r="B87" s="1036" t="s">
        <v>1576</v>
      </c>
      <c r="C87" s="3228"/>
      <c r="D87" s="2986"/>
      <c r="E87" s="2986"/>
      <c r="F87" s="2986"/>
      <c r="G87" s="2986"/>
      <c r="H87" s="2891"/>
      <c r="I87" s="3207"/>
      <c r="J87" s="1202"/>
      <c r="K87" s="1022"/>
      <c r="L87" s="1022"/>
      <c r="M87" s="3222"/>
      <c r="N87" s="1022"/>
      <c r="O87" s="1194"/>
      <c r="P87" s="1194"/>
      <c r="Q87" s="1194"/>
      <c r="R87" s="2668"/>
    </row>
    <row r="88" spans="1:18" s="2893" customFormat="1" ht="12.75" customHeight="1">
      <c r="C88" s="3228"/>
      <c r="D88" s="3247"/>
      <c r="E88" s="2986"/>
      <c r="F88" s="3247"/>
      <c r="G88" s="2986"/>
      <c r="H88" s="2891"/>
      <c r="I88" s="3184"/>
      <c r="J88" s="1202"/>
      <c r="K88" s="1022"/>
      <c r="L88" s="1022"/>
      <c r="M88" s="3222"/>
      <c r="N88" s="2665"/>
      <c r="O88" s="2663"/>
      <c r="Q88" s="1194"/>
      <c r="R88" s="2668"/>
    </row>
    <row r="89" spans="1:18" s="2893" customFormat="1" ht="12.75" customHeight="1">
      <c r="B89" s="3228"/>
      <c r="C89" s="3228"/>
      <c r="D89" s="3247"/>
      <c r="E89" s="2986"/>
      <c r="F89" s="3247"/>
      <c r="G89" s="2986"/>
      <c r="H89" s="2891"/>
      <c r="I89" s="1021"/>
      <c r="J89" s="2664"/>
      <c r="K89" s="2665"/>
      <c r="L89" s="2665"/>
      <c r="M89" s="3222"/>
      <c r="N89" s="1022"/>
      <c r="O89" s="1194"/>
      <c r="P89" s="1194"/>
      <c r="R89" s="2668"/>
    </row>
    <row r="90" spans="1:18" s="2893" customFormat="1" ht="12.75" customHeight="1">
      <c r="B90" s="3228"/>
      <c r="C90" s="3228"/>
      <c r="D90" s="3247"/>
      <c r="E90" s="2986"/>
      <c r="F90" s="3247"/>
      <c r="G90" s="2986"/>
      <c r="H90" s="2891"/>
      <c r="I90" s="1021"/>
      <c r="J90" s="3193"/>
      <c r="K90" s="2891"/>
      <c r="L90" s="1022"/>
      <c r="M90" s="3222"/>
      <c r="N90" s="1022"/>
      <c r="O90" s="1194"/>
      <c r="P90" s="3243"/>
      <c r="R90" s="2668"/>
    </row>
    <row r="91" spans="1:18" s="2893" customFormat="1" ht="12.75" customHeight="1">
      <c r="B91" s="3228"/>
      <c r="C91" s="3228"/>
      <c r="D91" s="3247"/>
      <c r="E91" s="2986"/>
      <c r="F91" s="3247"/>
      <c r="G91" s="2986"/>
      <c r="H91" s="1194"/>
      <c r="J91" s="2987"/>
      <c r="K91" s="3217"/>
      <c r="L91" s="2980"/>
      <c r="M91" s="3222"/>
      <c r="N91" s="2665"/>
      <c r="P91" s="3243"/>
      <c r="R91" s="2668"/>
    </row>
    <row r="92" spans="1:18" s="2893" customFormat="1" ht="12.75" customHeight="1">
      <c r="A92" s="2986"/>
      <c r="B92" s="3228"/>
      <c r="C92" s="3228"/>
      <c r="D92" s="2986"/>
      <c r="E92" s="2986"/>
      <c r="F92" s="2986"/>
      <c r="G92" s="2986"/>
      <c r="H92" s="2663"/>
      <c r="I92" s="2663"/>
      <c r="J92" s="2663"/>
      <c r="K92" s="2663"/>
      <c r="L92" s="2663"/>
      <c r="M92" s="2663"/>
      <c r="N92" s="2663"/>
      <c r="O92" s="2663"/>
      <c r="P92" s="2663"/>
      <c r="R92" s="2668"/>
    </row>
    <row r="93" spans="1:18" s="2893" customFormat="1" ht="12.75" customHeight="1">
      <c r="A93" s="2986"/>
      <c r="B93" s="2986"/>
      <c r="C93" s="3228"/>
      <c r="D93" s="2986"/>
      <c r="E93" s="2986"/>
      <c r="F93" s="2986"/>
      <c r="G93" s="2986"/>
      <c r="H93" s="1014"/>
      <c r="I93" s="3207"/>
      <c r="J93" s="2664"/>
      <c r="K93" s="2667"/>
      <c r="L93" s="2665"/>
      <c r="M93" s="3222"/>
      <c r="N93" s="2980"/>
      <c r="O93" s="3247"/>
      <c r="R93" s="2668"/>
    </row>
    <row r="94" spans="1:18" ht="12.75" customHeight="1">
      <c r="A94" s="2986"/>
      <c r="B94" s="2986"/>
      <c r="C94" s="3228"/>
      <c r="D94" s="2986"/>
      <c r="E94" s="2986"/>
      <c r="F94" s="2986"/>
      <c r="G94" s="2986"/>
      <c r="H94" s="2891"/>
      <c r="I94" s="3207"/>
      <c r="J94" s="2664"/>
      <c r="K94" s="2665"/>
      <c r="L94" s="2665"/>
      <c r="M94" s="3222"/>
      <c r="N94" s="2980"/>
      <c r="O94" s="3247"/>
      <c r="P94" s="2893"/>
      <c r="Q94" s="2893"/>
      <c r="R94" s="2668"/>
    </row>
    <row r="95" spans="1:18" ht="12.75" customHeight="1">
      <c r="A95" s="2986"/>
      <c r="B95" s="2986"/>
      <c r="C95" s="3228"/>
      <c r="D95" s="2986"/>
      <c r="E95" s="2986"/>
      <c r="F95" s="2986"/>
      <c r="G95" s="2986"/>
      <c r="H95" s="2891"/>
      <c r="I95" s="2893"/>
      <c r="J95" s="2893"/>
      <c r="K95" s="2893"/>
      <c r="L95" s="2893"/>
      <c r="M95" s="2893"/>
      <c r="N95" s="2893"/>
      <c r="O95" s="2893"/>
      <c r="P95" s="2893"/>
      <c r="Q95" s="2893"/>
      <c r="R95" s="1030"/>
    </row>
    <row r="96" spans="1:18" ht="12.75" customHeight="1">
      <c r="A96" s="2986"/>
      <c r="B96" s="3221"/>
      <c r="C96" s="3221"/>
      <c r="D96" s="3221"/>
      <c r="E96" s="2893"/>
      <c r="F96" s="2893"/>
      <c r="G96" s="2893"/>
      <c r="H96" s="2891"/>
      <c r="I96" s="3184"/>
      <c r="J96" s="3184"/>
      <c r="K96" s="2665"/>
      <c r="L96" s="2665"/>
      <c r="M96" s="2665"/>
      <c r="N96" s="2665"/>
      <c r="O96" s="2893"/>
      <c r="P96" s="2893"/>
      <c r="Q96" s="2893"/>
      <c r="R96" s="2668"/>
    </row>
    <row r="97" spans="1:18" ht="12.75" customHeight="1">
      <c r="A97" s="1031"/>
      <c r="H97" s="1031"/>
      <c r="I97" s="3184"/>
      <c r="J97" s="3184"/>
      <c r="K97" s="2665"/>
      <c r="L97" s="2665"/>
      <c r="M97" s="2665"/>
      <c r="N97" s="2665"/>
      <c r="O97" s="2893"/>
      <c r="P97" s="2893"/>
      <c r="Q97" s="2893"/>
      <c r="R97" s="1030"/>
    </row>
    <row r="98" spans="1:18" ht="12.75" customHeight="1">
      <c r="A98" s="1031"/>
      <c r="B98" s="2892"/>
      <c r="C98" s="2892"/>
      <c r="D98" s="2980"/>
      <c r="E98" s="2980"/>
      <c r="F98" s="1031"/>
      <c r="G98" s="1031"/>
      <c r="H98" s="2986"/>
      <c r="I98" s="3184"/>
      <c r="J98" s="3184"/>
      <c r="K98" s="2665"/>
      <c r="L98" s="2665"/>
      <c r="M98" s="2665"/>
      <c r="N98" s="2665"/>
      <c r="O98" s="2893"/>
      <c r="P98" s="2893"/>
      <c r="Q98" s="2893"/>
      <c r="R98" s="1030"/>
    </row>
    <row r="99" spans="1:18" s="2893" customFormat="1" ht="12.75" customHeight="1">
      <c r="A99" s="2986"/>
      <c r="B99" s="3228"/>
      <c r="C99" s="3228"/>
      <c r="D99" s="2986"/>
      <c r="E99" s="2986"/>
      <c r="F99" s="2986"/>
      <c r="G99" s="2986"/>
      <c r="H99" s="1194"/>
      <c r="I99" s="3184"/>
      <c r="J99" s="3184"/>
      <c r="K99" s="2665"/>
      <c r="L99" s="2665"/>
      <c r="M99" s="2665"/>
      <c r="N99" s="2665"/>
      <c r="Q99" s="1194"/>
      <c r="R99" s="3252"/>
    </row>
    <row r="100" spans="1:18" s="2893" customFormat="1" ht="12.75" customHeight="1">
      <c r="A100" s="2986"/>
      <c r="B100" s="3253"/>
      <c r="C100" s="3221"/>
      <c r="H100" s="1194"/>
      <c r="I100" s="3184"/>
      <c r="J100" s="3184"/>
      <c r="K100" s="2665"/>
      <c r="L100" s="2665"/>
      <c r="M100" s="2665"/>
      <c r="N100" s="2665"/>
      <c r="Q100" s="1194"/>
      <c r="R100" s="3252"/>
    </row>
    <row r="101" spans="1:18" ht="12.75" customHeight="1">
      <c r="A101" s="1031"/>
      <c r="B101" s="2666"/>
      <c r="C101" s="2666"/>
      <c r="D101" s="2665"/>
      <c r="E101" s="2665"/>
      <c r="F101" s="2666"/>
      <c r="G101" s="2666"/>
      <c r="H101" s="1194"/>
      <c r="I101" s="3207"/>
      <c r="J101" s="3184"/>
      <c r="K101" s="2665"/>
      <c r="L101" s="2665"/>
      <c r="M101" s="2665"/>
      <c r="N101" s="2665"/>
      <c r="O101" s="2893"/>
      <c r="P101" s="2893"/>
      <c r="R101" s="2668"/>
    </row>
    <row r="102" spans="1:18" s="1026" customFormat="1" ht="12.75" customHeight="1">
      <c r="A102" s="2990"/>
      <c r="H102" s="1194"/>
      <c r="I102" s="3207"/>
      <c r="J102" s="3184"/>
      <c r="K102" s="2665"/>
      <c r="L102" s="2665"/>
      <c r="M102" s="2665"/>
      <c r="N102" s="2665"/>
      <c r="O102" s="2893"/>
      <c r="P102" s="2893"/>
      <c r="Q102" s="1194"/>
      <c r="R102" s="3255"/>
    </row>
    <row r="103" spans="1:18" s="1026" customFormat="1" ht="12.75" customHeight="1">
      <c r="A103" s="2990"/>
      <c r="H103" s="2986"/>
      <c r="I103" s="3207"/>
      <c r="J103" s="3184"/>
      <c r="K103" s="2665"/>
      <c r="L103" s="2665"/>
      <c r="M103" s="2665"/>
      <c r="N103" s="2665"/>
      <c r="O103" s="2893"/>
      <c r="P103" s="1194"/>
      <c r="Q103" s="1194"/>
      <c r="R103" s="3255"/>
    </row>
    <row r="104" spans="1:18" ht="12.75" customHeight="1">
      <c r="A104" s="3217"/>
      <c r="B104" s="1031"/>
      <c r="C104" s="2979"/>
      <c r="D104" s="2979"/>
      <c r="E104" s="2979"/>
      <c r="F104" s="2980"/>
      <c r="G104" s="2981"/>
      <c r="H104" s="3247"/>
      <c r="I104" s="3207"/>
      <c r="J104" s="3184"/>
      <c r="K104" s="2665"/>
      <c r="L104" s="2665"/>
      <c r="M104" s="2665"/>
      <c r="N104" s="2665"/>
      <c r="O104" s="2893"/>
      <c r="P104" s="2663"/>
      <c r="Q104" s="2893"/>
      <c r="R104" s="3256"/>
    </row>
    <row r="105" spans="1:18" ht="12.75" customHeight="1">
      <c r="A105" s="2981"/>
      <c r="B105" s="1031"/>
      <c r="C105" s="2979"/>
      <c r="D105" s="2979"/>
      <c r="E105" s="2979"/>
      <c r="F105" s="2980"/>
      <c r="G105" s="2981"/>
      <c r="H105" s="3247"/>
      <c r="I105" s="3207"/>
      <c r="Q105" s="2893"/>
      <c r="R105" s="3256"/>
    </row>
    <row r="106" spans="1:18" ht="12.75" customHeight="1">
      <c r="A106" s="2981"/>
      <c r="B106" s="1031"/>
      <c r="C106" s="2981"/>
      <c r="D106" s="2979"/>
      <c r="E106" s="2979"/>
      <c r="F106" s="2980"/>
      <c r="G106" s="2981"/>
      <c r="H106" s="3247"/>
      <c r="I106" s="3207"/>
      <c r="P106" s="2986"/>
      <c r="R106" s="3256"/>
    </row>
    <row r="107" spans="1:18" ht="12.6" customHeight="1">
      <c r="A107" s="2981"/>
      <c r="B107" s="1031"/>
      <c r="C107" s="2979"/>
      <c r="D107" s="2979"/>
      <c r="E107" s="2979"/>
      <c r="F107" s="2980"/>
      <c r="G107" s="2981"/>
      <c r="H107" s="2893"/>
      <c r="I107" s="3207"/>
      <c r="J107" s="3184"/>
      <c r="K107" s="2665"/>
      <c r="L107" s="2665"/>
      <c r="M107" s="2665"/>
      <c r="N107" s="2665"/>
      <c r="O107" s="2663"/>
      <c r="P107" s="2986"/>
      <c r="Q107" s="1026"/>
      <c r="R107" s="1026"/>
    </row>
    <row r="108" spans="1:18" ht="12.6" customHeight="1">
      <c r="A108" s="1031"/>
      <c r="B108" s="1031"/>
      <c r="C108" s="2979"/>
      <c r="D108" s="2979"/>
      <c r="E108" s="2979"/>
      <c r="F108" s="2980"/>
      <c r="G108" s="2981"/>
      <c r="I108" s="2986"/>
      <c r="J108" s="3184"/>
      <c r="K108" s="2665"/>
      <c r="L108" s="2665"/>
      <c r="M108" s="2665"/>
      <c r="N108" s="2665"/>
      <c r="O108" s="2663"/>
      <c r="P108" s="2986"/>
      <c r="Q108" s="1026"/>
    </row>
    <row r="109" spans="1:18" ht="12.6" customHeight="1">
      <c r="A109" s="1031"/>
      <c r="B109" s="1031"/>
      <c r="C109" s="2979"/>
      <c r="D109" s="2979"/>
      <c r="E109" s="2979"/>
      <c r="F109" s="2980"/>
      <c r="G109" s="2981"/>
      <c r="H109" s="1031"/>
      <c r="I109" s="3238"/>
      <c r="P109" s="2893"/>
    </row>
    <row r="110" spans="1:18" ht="12.6" customHeight="1">
      <c r="A110" s="2981"/>
      <c r="B110" s="1031"/>
      <c r="C110" s="2979"/>
      <c r="D110" s="2979"/>
      <c r="E110" s="2979"/>
      <c r="F110" s="2980"/>
      <c r="G110" s="2981"/>
      <c r="H110" s="2893"/>
      <c r="I110" s="2986"/>
      <c r="J110" s="3251"/>
      <c r="K110" s="2893"/>
      <c r="L110" s="2893"/>
      <c r="M110" s="2893"/>
      <c r="N110" s="2893"/>
      <c r="O110" s="2893"/>
      <c r="P110" s="2893"/>
    </row>
    <row r="111" spans="1:18" ht="12.75" customHeight="1">
      <c r="B111" s="1031"/>
      <c r="C111" s="2979"/>
      <c r="D111" s="2979"/>
      <c r="E111" s="2979"/>
      <c r="F111" s="2980"/>
      <c r="G111" s="2981"/>
      <c r="H111" s="2893"/>
      <c r="I111" s="2986"/>
      <c r="J111" s="3254"/>
      <c r="K111" s="2893"/>
      <c r="L111" s="2893"/>
      <c r="M111" s="2893"/>
      <c r="N111" s="2893"/>
      <c r="O111" s="2893"/>
      <c r="P111" s="2893"/>
      <c r="Q111" s="2893"/>
    </row>
    <row r="112" spans="1:18" ht="12.75" customHeight="1">
      <c r="A112" s="2891"/>
      <c r="B112" s="2981"/>
      <c r="C112" s="2984"/>
      <c r="D112" s="2979"/>
      <c r="E112" s="2979"/>
      <c r="F112" s="2980"/>
      <c r="G112" s="2981"/>
      <c r="H112" s="2891"/>
      <c r="I112" s="1026"/>
      <c r="J112" s="1202"/>
      <c r="K112" s="2979"/>
      <c r="L112" s="2980"/>
      <c r="M112" s="2980"/>
      <c r="N112" s="2980"/>
      <c r="O112" s="2986"/>
      <c r="P112" s="2893"/>
    </row>
    <row r="113" spans="1:18" ht="12.75" customHeight="1">
      <c r="A113" s="1035"/>
      <c r="B113" s="2981"/>
      <c r="C113" s="2979"/>
      <c r="D113" s="2979"/>
      <c r="E113" s="2979"/>
      <c r="F113" s="2892"/>
      <c r="G113" s="3217"/>
      <c r="H113" s="1026"/>
      <c r="I113" s="3245"/>
      <c r="J113" s="3244"/>
      <c r="K113" s="2990"/>
      <c r="L113" s="2990"/>
      <c r="M113" s="2990"/>
      <c r="N113" s="2990"/>
      <c r="O113" s="2990"/>
      <c r="P113" s="1026"/>
    </row>
    <row r="114" spans="1:18" ht="12.75" customHeight="1">
      <c r="A114" s="1197"/>
      <c r="B114" s="2986"/>
      <c r="C114" s="1202"/>
      <c r="D114" s="2979"/>
      <c r="E114" s="2979"/>
      <c r="F114" s="2980"/>
      <c r="G114" s="3217"/>
      <c r="H114" s="1026"/>
      <c r="I114" s="1026"/>
      <c r="J114" s="3244"/>
      <c r="K114" s="2990"/>
      <c r="L114" s="2990"/>
      <c r="M114" s="2990"/>
      <c r="N114" s="2990"/>
      <c r="O114" s="2990"/>
      <c r="P114" s="1026"/>
      <c r="Q114" s="1026"/>
      <c r="R114" s="3221"/>
    </row>
    <row r="115" spans="1:18" ht="12.75" customHeight="1">
      <c r="A115" s="1035"/>
      <c r="B115" s="3208" t="s">
        <v>15</v>
      </c>
      <c r="C115" s="2987"/>
      <c r="D115" s="2892"/>
      <c r="E115" s="2892"/>
      <c r="F115" s="1031"/>
      <c r="G115" s="3217"/>
      <c r="H115" s="2891"/>
      <c r="I115" s="1194"/>
      <c r="J115" s="3221"/>
      <c r="K115" s="2665"/>
      <c r="L115" s="2665"/>
      <c r="M115" s="2665"/>
      <c r="N115" s="2665"/>
      <c r="O115" s="2893"/>
      <c r="P115" s="2893"/>
      <c r="R115" s="3221"/>
    </row>
    <row r="116" spans="1:18" ht="12.75" customHeight="1">
      <c r="A116" s="3260"/>
      <c r="B116" s="2892"/>
      <c r="C116" s="2892"/>
      <c r="D116" s="2892"/>
      <c r="E116" s="3218"/>
      <c r="F116" s="1031"/>
      <c r="G116" s="3217"/>
      <c r="H116" s="1031"/>
      <c r="I116" s="2663"/>
      <c r="J116" s="3221"/>
      <c r="K116" s="2665"/>
      <c r="L116" s="2665"/>
      <c r="M116" s="2665"/>
      <c r="N116" s="2665"/>
      <c r="O116" s="2893"/>
      <c r="P116" s="2893"/>
      <c r="R116" s="3221"/>
    </row>
    <row r="117" spans="1:18" ht="12.75" customHeight="1">
      <c r="A117" s="1035"/>
      <c r="B117" s="2892"/>
      <c r="C117" s="2892"/>
      <c r="D117" s="2892"/>
      <c r="E117" s="3218"/>
      <c r="F117" s="1031"/>
      <c r="G117" s="3218"/>
      <c r="H117" s="1031"/>
      <c r="I117" s="3221"/>
      <c r="J117" s="3221"/>
      <c r="K117" s="2665"/>
      <c r="L117" s="2665"/>
      <c r="M117" s="2665"/>
      <c r="N117" s="2665"/>
      <c r="O117" s="2893"/>
      <c r="R117" s="1018"/>
    </row>
    <row r="118" spans="1:18" ht="12.75" customHeight="1">
      <c r="A118" s="1035"/>
      <c r="B118" s="2892"/>
      <c r="C118" s="2892"/>
      <c r="D118" s="2892"/>
      <c r="E118" s="3218"/>
      <c r="F118" s="3218"/>
      <c r="G118" s="3217"/>
      <c r="H118" s="1031"/>
      <c r="I118" s="3221"/>
      <c r="J118" s="3221"/>
      <c r="K118" s="2891"/>
      <c r="L118" s="2891"/>
      <c r="M118" s="2891"/>
      <c r="N118" s="2891"/>
      <c r="O118" s="1026"/>
      <c r="P118" s="1026"/>
      <c r="R118" s="1018"/>
    </row>
    <row r="119" spans="1:18" ht="12.75" customHeight="1">
      <c r="A119" s="1198"/>
      <c r="B119" s="2892"/>
      <c r="C119" s="2979"/>
      <c r="D119" s="3261"/>
      <c r="E119" s="3262"/>
      <c r="F119" s="3263"/>
      <c r="G119" s="3217"/>
      <c r="H119" s="1031"/>
      <c r="I119" s="3221"/>
      <c r="J119" s="3221"/>
      <c r="K119" s="2891"/>
      <c r="L119" s="2891"/>
      <c r="M119" s="2891"/>
      <c r="N119" s="2891"/>
      <c r="O119" s="1026"/>
      <c r="P119" s="1026"/>
      <c r="R119" s="1018"/>
    </row>
    <row r="120" spans="1:18" ht="12.75" customHeight="1">
      <c r="A120" s="3264"/>
      <c r="B120" s="2892"/>
      <c r="C120" s="2979"/>
      <c r="D120" s="2892"/>
      <c r="E120" s="3218"/>
      <c r="F120" s="1031"/>
      <c r="G120" s="3218"/>
      <c r="H120" s="1031"/>
      <c r="I120" s="2664"/>
      <c r="J120" s="2664"/>
      <c r="K120" s="2665"/>
      <c r="L120" s="2665"/>
      <c r="M120" s="2665"/>
      <c r="N120" s="2665"/>
      <c r="O120" s="2893"/>
      <c r="R120" s="1018"/>
    </row>
    <row r="121" spans="1:18" ht="12.75" customHeight="1">
      <c r="A121" s="1035"/>
      <c r="B121" s="2892"/>
      <c r="C121" s="2979"/>
      <c r="D121" s="2892"/>
      <c r="E121" s="3218"/>
      <c r="F121" s="1031"/>
      <c r="G121" s="3218"/>
      <c r="H121" s="1031"/>
      <c r="I121" s="3257" t="s">
        <v>15</v>
      </c>
      <c r="J121" s="3221"/>
      <c r="K121" s="2665"/>
      <c r="L121" s="2665"/>
      <c r="M121" s="2665"/>
      <c r="N121" s="2665"/>
      <c r="O121" s="2893"/>
      <c r="Q121" s="2893"/>
      <c r="R121" s="1018"/>
    </row>
    <row r="122" spans="1:18" ht="12.75" customHeight="1">
      <c r="A122" s="2666"/>
      <c r="B122" s="2892"/>
      <c r="C122" s="2979"/>
      <c r="D122" s="3265"/>
      <c r="E122" s="3266"/>
      <c r="F122" s="3267"/>
      <c r="G122" s="3268"/>
      <c r="H122" s="1031"/>
      <c r="I122" s="3257" t="s">
        <v>15</v>
      </c>
      <c r="J122" s="3221"/>
      <c r="K122" s="2665"/>
      <c r="L122" s="2665"/>
      <c r="M122" s="2665"/>
      <c r="N122" s="2665"/>
      <c r="O122" s="2893"/>
      <c r="P122" s="2893"/>
      <c r="Q122" s="2893"/>
      <c r="R122" s="1018"/>
    </row>
    <row r="123" spans="1:18" ht="12.75" customHeight="1">
      <c r="A123" s="2666"/>
      <c r="B123" s="2892"/>
      <c r="C123" s="3228"/>
      <c r="D123" s="3269"/>
      <c r="E123" s="1031"/>
      <c r="F123" s="3270"/>
      <c r="G123" s="2980"/>
      <c r="H123" s="1031"/>
      <c r="I123" s="3257" t="s">
        <v>15</v>
      </c>
      <c r="J123" s="3221"/>
      <c r="P123" s="2893"/>
      <c r="Q123" s="2893"/>
      <c r="R123" s="1018"/>
    </row>
    <row r="124" spans="1:18" ht="12.75" customHeight="1">
      <c r="A124" s="2666"/>
      <c r="B124" s="2892"/>
      <c r="C124" s="3228"/>
      <c r="D124" s="3269"/>
      <c r="E124" s="1031"/>
      <c r="F124" s="3270"/>
      <c r="G124" s="2980"/>
      <c r="H124" s="1031"/>
      <c r="I124" s="3258" t="s">
        <v>15</v>
      </c>
      <c r="J124" s="3221"/>
      <c r="Q124" s="1026"/>
      <c r="R124" s="1018"/>
    </row>
    <row r="125" spans="1:18" ht="12.75" customHeight="1">
      <c r="A125" s="2666"/>
      <c r="B125" s="2892"/>
      <c r="C125" s="3228"/>
      <c r="D125" s="3265"/>
      <c r="E125" s="1031"/>
      <c r="F125" s="3267"/>
      <c r="G125" s="3267"/>
      <c r="I125" s="3184"/>
      <c r="Q125" s="1026"/>
      <c r="R125" s="1018"/>
    </row>
    <row r="126" spans="1:18" ht="12.75" customHeight="1">
      <c r="A126" s="3183"/>
      <c r="B126" s="1013"/>
      <c r="C126" s="1013"/>
      <c r="D126" s="1013"/>
      <c r="E126" s="3272"/>
      <c r="F126" s="3272"/>
      <c r="G126" s="3273"/>
      <c r="I126" s="1026"/>
      <c r="K126" s="2891"/>
      <c r="L126" s="2891"/>
      <c r="M126" s="2891"/>
      <c r="N126" s="2891"/>
      <c r="O126" s="1026"/>
      <c r="P126" s="3259"/>
      <c r="Q126" s="1026"/>
      <c r="R126" s="1018"/>
    </row>
    <row r="127" spans="1:18" ht="11.25" customHeight="1">
      <c r="A127" s="2891"/>
      <c r="B127" s="2891"/>
      <c r="C127" s="3275"/>
      <c r="D127" s="3275"/>
      <c r="E127" s="3272"/>
      <c r="F127" s="3272"/>
      <c r="G127" s="3273"/>
      <c r="H127" s="2893"/>
      <c r="I127" s="2893"/>
      <c r="J127" s="1013"/>
      <c r="K127" s="2891"/>
      <c r="L127" s="2891"/>
      <c r="M127" s="2891"/>
      <c r="N127" s="2891"/>
      <c r="O127" s="1026"/>
      <c r="P127" s="3259"/>
      <c r="Q127" s="1026"/>
      <c r="R127" s="1018"/>
    </row>
    <row r="128" spans="1:18" ht="11.25" customHeight="1">
      <c r="A128" s="3276"/>
      <c r="B128" s="1036"/>
      <c r="C128" s="3277"/>
      <c r="D128" s="1036"/>
      <c r="E128" s="3278"/>
      <c r="F128" s="3278"/>
      <c r="G128" s="3279"/>
      <c r="H128" s="2893"/>
      <c r="I128" s="2893"/>
      <c r="J128" s="1026"/>
      <c r="K128" s="2891"/>
      <c r="L128" s="2891"/>
      <c r="M128" s="2891"/>
      <c r="N128" s="2891"/>
      <c r="O128" s="1026"/>
      <c r="P128" s="3259"/>
      <c r="Q128" s="1026"/>
      <c r="R128" s="1018"/>
    </row>
    <row r="129" spans="1:19" ht="11.25" customHeight="1">
      <c r="B129" s="1036"/>
      <c r="C129" s="3277"/>
      <c r="D129" s="1036"/>
      <c r="E129" s="3278"/>
      <c r="F129" s="3278"/>
      <c r="G129" s="3279"/>
      <c r="H129" s="2893"/>
      <c r="I129" s="2893"/>
      <c r="J129" s="1026"/>
      <c r="K129" s="2891"/>
      <c r="L129" s="2891"/>
      <c r="M129" s="2891"/>
      <c r="N129" s="2891"/>
      <c r="O129" s="1026"/>
      <c r="P129" s="3259"/>
      <c r="Q129" s="1026"/>
      <c r="R129" s="1018"/>
      <c r="S129" s="2893"/>
    </row>
    <row r="130" spans="1:19" ht="12.75" customHeight="1">
      <c r="E130" s="3281"/>
      <c r="F130" s="3282"/>
      <c r="H130" s="2893"/>
      <c r="I130" s="2893"/>
      <c r="J130" s="1026"/>
      <c r="K130" s="2891"/>
      <c r="L130" s="2891"/>
      <c r="M130" s="2891"/>
      <c r="N130" s="2891"/>
      <c r="O130" s="1026"/>
      <c r="P130" s="3259"/>
      <c r="Q130" s="1026"/>
      <c r="R130" s="3259"/>
      <c r="S130" s="2893"/>
    </row>
    <row r="131" spans="1:19" ht="12" customHeight="1">
      <c r="A131" s="3205"/>
      <c r="B131" s="2892"/>
      <c r="C131" s="2892"/>
      <c r="D131" s="2979"/>
      <c r="E131" s="2979"/>
      <c r="F131" s="1031"/>
      <c r="G131" s="1031"/>
      <c r="H131" s="2893"/>
      <c r="I131" s="1194"/>
      <c r="J131" s="1026"/>
      <c r="K131" s="2891"/>
      <c r="L131" s="2891"/>
      <c r="M131" s="2891"/>
      <c r="N131" s="2891"/>
      <c r="O131" s="1026"/>
      <c r="P131" s="3259"/>
      <c r="R131" s="3259"/>
      <c r="S131" s="2893"/>
    </row>
    <row r="132" spans="1:19" ht="12.75" customHeight="1">
      <c r="G132" s="2891"/>
      <c r="H132" s="2893"/>
      <c r="I132" s="2663"/>
      <c r="J132" s="1026"/>
      <c r="K132" s="2891"/>
      <c r="L132" s="2891"/>
      <c r="M132" s="2891"/>
      <c r="N132" s="2891"/>
      <c r="O132" s="1026"/>
      <c r="P132" s="3259"/>
      <c r="R132" s="3259"/>
      <c r="S132" s="1014"/>
    </row>
    <row r="133" spans="1:19" ht="12.75" customHeight="1">
      <c r="A133" s="1013"/>
      <c r="B133" s="1029"/>
      <c r="C133" s="2987"/>
      <c r="D133" s="1029"/>
      <c r="E133" s="1029"/>
      <c r="F133" s="1031"/>
      <c r="G133" s="1031"/>
      <c r="H133" s="2893"/>
      <c r="I133" s="1194"/>
      <c r="J133" s="1194"/>
      <c r="K133" s="1014"/>
      <c r="L133" s="1014"/>
      <c r="M133" s="1014"/>
      <c r="N133" s="1014"/>
      <c r="O133" s="1026"/>
      <c r="P133" s="3259"/>
      <c r="R133" s="2893"/>
      <c r="S133" s="1014"/>
    </row>
    <row r="134" spans="1:19" ht="12.75" customHeight="1">
      <c r="A134" s="1010"/>
      <c r="B134" s="1029"/>
      <c r="C134" s="1029"/>
      <c r="D134" s="1029"/>
      <c r="E134" s="1029"/>
      <c r="F134" s="1031"/>
      <c r="G134" s="1031"/>
      <c r="H134" s="2893"/>
      <c r="I134" s="1194"/>
      <c r="J134" s="1194"/>
      <c r="K134" s="1014"/>
      <c r="L134" s="1014"/>
      <c r="M134" s="1014"/>
      <c r="N134" s="1014"/>
      <c r="O134" s="1026"/>
      <c r="P134" s="3259"/>
      <c r="R134" s="2893"/>
      <c r="S134" s="1014"/>
    </row>
    <row r="135" spans="1:19" ht="12.75" customHeight="1">
      <c r="A135" s="3276"/>
      <c r="B135" s="2892"/>
      <c r="C135" s="1029"/>
      <c r="D135" s="1029"/>
      <c r="E135" s="1029"/>
      <c r="F135" s="1031"/>
      <c r="G135" s="1031"/>
      <c r="H135" s="2893"/>
      <c r="I135" s="3221"/>
      <c r="J135" s="3221"/>
      <c r="K135" s="2891"/>
      <c r="L135" s="2891"/>
      <c r="M135" s="2891"/>
      <c r="N135" s="2891"/>
      <c r="O135" s="1026"/>
      <c r="P135" s="3221"/>
      <c r="R135" s="2893"/>
      <c r="S135" s="1014"/>
    </row>
    <row r="136" spans="1:19" ht="12.75" customHeight="1">
      <c r="A136" s="1017"/>
      <c r="B136" s="1029"/>
      <c r="C136" s="1029"/>
      <c r="D136" s="1029"/>
      <c r="E136" s="1029"/>
      <c r="F136" s="1031"/>
      <c r="G136" s="1031"/>
      <c r="H136" s="1026"/>
      <c r="I136" s="3271"/>
      <c r="J136" s="1026"/>
      <c r="K136" s="2891"/>
      <c r="L136" s="2891"/>
      <c r="M136" s="2891"/>
      <c r="N136" s="2891"/>
      <c r="O136" s="1026"/>
      <c r="P136" s="3221"/>
      <c r="R136" s="1014"/>
      <c r="S136" s="1014"/>
    </row>
    <row r="137" spans="1:19" ht="12.75" customHeight="1">
      <c r="A137" s="1010"/>
      <c r="B137" s="1029"/>
      <c r="C137" s="1029"/>
      <c r="D137" s="1029"/>
      <c r="E137" s="1029"/>
      <c r="F137" s="1031"/>
      <c r="G137" s="1014"/>
      <c r="H137" s="2891"/>
      <c r="I137" s="3274"/>
      <c r="J137" s="3184"/>
      <c r="L137" s="3241"/>
      <c r="M137" s="3241"/>
      <c r="N137" s="3241"/>
      <c r="O137" s="3241"/>
      <c r="P137" s="3221"/>
      <c r="R137" s="1014"/>
      <c r="S137" s="1014"/>
    </row>
    <row r="138" spans="1:19" ht="12.75" customHeight="1">
      <c r="A138" s="3284"/>
      <c r="B138" s="1013"/>
      <c r="C138" s="1013"/>
      <c r="D138" s="1013"/>
      <c r="E138" s="1014"/>
      <c r="F138" s="1014"/>
      <c r="G138" s="1014"/>
      <c r="H138" s="2891"/>
      <c r="I138" s="3274"/>
      <c r="J138" s="3184"/>
      <c r="L138" s="3241"/>
      <c r="M138" s="3241"/>
      <c r="N138" s="3241"/>
      <c r="O138" s="3241"/>
      <c r="P138" s="3221"/>
      <c r="R138" s="1014"/>
      <c r="S138" s="2891"/>
    </row>
    <row r="139" spans="1:19" ht="12.75" customHeight="1">
      <c r="A139" s="3284"/>
      <c r="B139" s="1013"/>
      <c r="C139" s="1013"/>
      <c r="D139" s="1013"/>
      <c r="E139" s="1014"/>
      <c r="F139" s="1014"/>
      <c r="G139" s="1014"/>
      <c r="H139" s="2891"/>
      <c r="I139" s="3280"/>
      <c r="J139" s="3184"/>
      <c r="L139" s="3241"/>
      <c r="M139" s="3241"/>
      <c r="N139" s="3241"/>
      <c r="O139" s="3241"/>
      <c r="P139" s="3221"/>
      <c r="R139" s="1014"/>
      <c r="S139" s="1014"/>
    </row>
    <row r="140" spans="1:19" ht="12.75" customHeight="1">
      <c r="A140" s="3284"/>
      <c r="B140" s="1013"/>
      <c r="C140" s="1013"/>
      <c r="D140" s="1013"/>
      <c r="E140" s="1014"/>
      <c r="F140" s="1014"/>
      <c r="G140" s="2891"/>
      <c r="H140" s="2891"/>
      <c r="L140" s="3241"/>
      <c r="M140" s="3241"/>
      <c r="N140" s="3241"/>
      <c r="O140" s="3241"/>
      <c r="P140" s="3221"/>
      <c r="R140" s="1013"/>
      <c r="S140" s="1014"/>
    </row>
    <row r="141" spans="1:19" ht="12.75" customHeight="1">
      <c r="A141" s="3284"/>
      <c r="B141" s="1013"/>
      <c r="C141" s="1013"/>
      <c r="D141" s="1013"/>
      <c r="E141" s="2891"/>
      <c r="F141" s="2891"/>
      <c r="G141" s="1014"/>
      <c r="H141" s="2891"/>
      <c r="I141" s="3184"/>
      <c r="K141" s="2665"/>
      <c r="L141" s="3241"/>
      <c r="M141" s="3241"/>
      <c r="N141" s="3241"/>
      <c r="O141" s="3241"/>
      <c r="P141" s="3221"/>
      <c r="R141" s="1014"/>
      <c r="S141" s="2893"/>
    </row>
    <row r="142" spans="1:19" ht="12.75" customHeight="1">
      <c r="D142" s="1013"/>
      <c r="E142" s="1014"/>
      <c r="F142" s="1014"/>
      <c r="G142" s="1014"/>
      <c r="H142" s="1026"/>
      <c r="I142" s="3184"/>
      <c r="J142" s="3184"/>
      <c r="K142" s="2665"/>
      <c r="L142" s="3241"/>
      <c r="M142" s="3241"/>
      <c r="N142" s="3241"/>
      <c r="O142" s="3241"/>
      <c r="P142" s="3221"/>
      <c r="R142" s="1014"/>
      <c r="S142" s="1014"/>
    </row>
    <row r="143" spans="1:19" ht="12.75" customHeight="1">
      <c r="D143" s="1013"/>
      <c r="E143" s="1014"/>
      <c r="F143" s="1014"/>
      <c r="G143" s="1014"/>
      <c r="H143" s="2891"/>
      <c r="I143" s="3184"/>
      <c r="J143" s="3184"/>
      <c r="K143" s="2665"/>
      <c r="L143" s="2665"/>
      <c r="M143" s="2893"/>
      <c r="N143" s="2893"/>
      <c r="O143" s="2893"/>
      <c r="P143" s="3221"/>
      <c r="R143" s="3286"/>
      <c r="S143" s="1014"/>
    </row>
    <row r="144" spans="1:19" ht="12.75" customHeight="1">
      <c r="A144" s="3205"/>
      <c r="B144" s="3205"/>
      <c r="C144" s="1013"/>
      <c r="D144" s="1013"/>
      <c r="E144" s="1014"/>
      <c r="F144" s="1014"/>
      <c r="H144" s="1026"/>
      <c r="I144" s="3180"/>
      <c r="J144" s="3184"/>
      <c r="K144" s="2665"/>
      <c r="L144" s="2665"/>
      <c r="M144" s="3283"/>
      <c r="N144" s="1033"/>
      <c r="O144" s="2893"/>
      <c r="R144" s="1014"/>
      <c r="S144" s="1014"/>
    </row>
    <row r="145" spans="1:19" ht="12.75" customHeight="1">
      <c r="A145" s="2666"/>
      <c r="B145" s="2891"/>
      <c r="G145" s="3287"/>
      <c r="H145" s="1026"/>
      <c r="I145" s="3180"/>
      <c r="J145" s="3184"/>
      <c r="K145" s="2665"/>
      <c r="L145" s="2665"/>
      <c r="M145" s="3283"/>
      <c r="N145" s="1033"/>
      <c r="O145" s="2893"/>
      <c r="R145" s="1014"/>
      <c r="S145" s="1014"/>
    </row>
    <row r="146" spans="1:19" ht="12.75" customHeight="1">
      <c r="A146" s="3276"/>
      <c r="B146" s="1013"/>
      <c r="C146" s="1013"/>
      <c r="D146" s="1013"/>
      <c r="E146" s="3287"/>
      <c r="F146" s="1035"/>
      <c r="G146" s="3287"/>
      <c r="H146" s="2891"/>
      <c r="I146" s="1194"/>
      <c r="J146" s="3184"/>
      <c r="K146" s="2665"/>
      <c r="L146" s="2665"/>
      <c r="M146" s="3283"/>
      <c r="N146" s="1033"/>
      <c r="O146" s="2893"/>
      <c r="R146" s="1014"/>
      <c r="S146" s="1014"/>
    </row>
    <row r="147" spans="1:19" ht="12.75" customHeight="1">
      <c r="A147" s="3276"/>
      <c r="B147" s="1136"/>
      <c r="C147" s="1136"/>
      <c r="D147" s="3289"/>
      <c r="E147" s="3287"/>
      <c r="F147" s="1035"/>
      <c r="G147" s="3289"/>
      <c r="H147" s="2891"/>
      <c r="I147" s="1194"/>
      <c r="J147" s="3184"/>
      <c r="K147" s="2665"/>
      <c r="L147" s="2665"/>
      <c r="M147" s="3283"/>
      <c r="N147" s="1033"/>
      <c r="O147" s="2893"/>
      <c r="R147" s="1014"/>
      <c r="S147" s="1014"/>
    </row>
    <row r="148" spans="1:19" ht="12.75" customHeight="1">
      <c r="A148" s="1017"/>
      <c r="B148"/>
      <c r="C148" s="3290"/>
      <c r="D148" s="3289"/>
      <c r="E148" s="3289"/>
      <c r="F148" s="3289"/>
      <c r="G148" s="1135"/>
      <c r="H148" s="1026"/>
      <c r="I148" s="1194"/>
      <c r="J148" s="3184"/>
      <c r="K148" s="2665"/>
      <c r="L148" s="2665"/>
      <c r="M148" s="3283"/>
      <c r="N148" s="1033"/>
      <c r="O148" s="2893"/>
      <c r="R148" s="1014"/>
      <c r="S148" s="3291"/>
    </row>
    <row r="149" spans="1:19" ht="12.75" customHeight="1">
      <c r="A149" s="3221"/>
      <c r="B149" s="3292"/>
      <c r="C149" s="1135"/>
      <c r="D149" s="3293"/>
      <c r="E149" s="3293"/>
      <c r="F149" s="1135"/>
      <c r="G149" s="3294"/>
      <c r="H149" s="1026"/>
      <c r="I149" s="1194"/>
      <c r="J149" s="3184"/>
      <c r="K149" s="2665"/>
      <c r="L149" s="2665"/>
      <c r="M149" s="3283"/>
      <c r="N149" s="1033"/>
      <c r="O149" s="2893"/>
      <c r="R149" s="3291"/>
      <c r="S149" s="3291"/>
    </row>
    <row r="150" spans="1:19" ht="12.75" customHeight="1">
      <c r="A150" s="1010"/>
      <c r="B150"/>
      <c r="C150"/>
      <c r="D150" s="3293"/>
      <c r="E150" s="3294"/>
      <c r="F150"/>
      <c r="G150" s="3296"/>
      <c r="H150" s="1026"/>
      <c r="I150" s="1194"/>
      <c r="J150" s="3184"/>
      <c r="K150" s="2665"/>
      <c r="L150" s="2665"/>
      <c r="M150" s="3283"/>
      <c r="N150" s="1033"/>
      <c r="O150" s="2893"/>
      <c r="R150" s="3291"/>
      <c r="S150" s="1014"/>
    </row>
    <row r="151" spans="1:19" ht="12.75" customHeight="1">
      <c r="A151" s="1010"/>
      <c r="B151" s="2413"/>
      <c r="C151" s="2413"/>
      <c r="D151" s="3297"/>
      <c r="E151" s="3296"/>
      <c r="F151"/>
      <c r="G151" s="3298"/>
      <c r="H151" s="1026"/>
      <c r="I151" s="2893"/>
      <c r="J151" s="3184"/>
      <c r="K151" s="2665"/>
      <c r="L151" s="2665"/>
      <c r="M151" s="3283"/>
      <c r="N151" s="1033"/>
      <c r="O151" s="2893"/>
      <c r="P151" s="1033"/>
      <c r="R151" s="3291"/>
      <c r="S151" s="3299"/>
    </row>
    <row r="152" spans="1:19" ht="12.75" customHeight="1">
      <c r="A152" s="3300"/>
      <c r="B152" s="2413"/>
      <c r="C152" s="2413"/>
      <c r="D152" s="3297"/>
      <c r="E152" s="3301"/>
      <c r="F152" s="3302"/>
      <c r="G152" s="3303"/>
      <c r="H152" s="1035"/>
      <c r="I152" s="3221"/>
      <c r="L152" s="2667"/>
      <c r="M152" s="1032"/>
      <c r="N152" s="3285"/>
      <c r="O152" s="3221"/>
      <c r="P152" s="3259"/>
      <c r="R152" s="1037"/>
      <c r="S152" s="3299"/>
    </row>
    <row r="153" spans="1:19" ht="12.75" customHeight="1">
      <c r="A153" s="3284"/>
      <c r="B153" s="3304"/>
      <c r="C153" s="3304"/>
      <c r="D153" s="2415"/>
      <c r="E153" s="3303"/>
      <c r="F153" s="2415"/>
      <c r="G153" s="3305"/>
      <c r="H153" s="1035"/>
      <c r="I153" s="3221"/>
      <c r="L153" s="2667"/>
      <c r="M153" s="1032"/>
      <c r="N153" s="3285"/>
      <c r="O153" s="3221"/>
      <c r="P153" s="3259"/>
      <c r="R153" s="1037"/>
      <c r="S153" s="2891"/>
    </row>
    <row r="154" spans="1:19" ht="12.75" customHeight="1">
      <c r="A154" s="3284"/>
      <c r="B154" s="2413"/>
      <c r="C154" s="2413"/>
      <c r="D154" s="2414"/>
      <c r="E154" s="3306"/>
      <c r="F154" s="2417"/>
      <c r="G154" s="3307"/>
      <c r="H154" s="1035"/>
      <c r="I154" s="1015"/>
      <c r="L154" s="2667"/>
      <c r="M154" s="1032"/>
      <c r="N154" s="3285"/>
      <c r="O154" s="3221"/>
      <c r="P154" s="3259"/>
      <c r="R154" s="3299"/>
    </row>
    <row r="155" spans="1:19" ht="12.75" customHeight="1">
      <c r="A155" s="3284"/>
      <c r="B155" s="2413"/>
      <c r="C155" s="2413"/>
      <c r="D155" s="2414"/>
      <c r="E155" s="2416"/>
      <c r="F155" s="2417"/>
      <c r="G155" s="3308"/>
      <c r="H155" s="1035"/>
      <c r="I155" s="1015"/>
      <c r="L155" s="2667"/>
      <c r="M155" s="1032"/>
      <c r="N155" s="3285"/>
      <c r="O155" s="3221"/>
      <c r="P155" s="3259"/>
      <c r="R155" s="3299"/>
    </row>
    <row r="156" spans="1:19" ht="12.75" customHeight="1">
      <c r="A156" s="3309"/>
      <c r="B156" s="2413"/>
      <c r="C156" s="2413"/>
      <c r="D156" s="2414"/>
      <c r="E156" s="3310"/>
      <c r="F156" s="2417"/>
      <c r="G156" s="3311"/>
      <c r="H156" s="1035"/>
      <c r="I156" s="1015"/>
      <c r="L156" s="2667"/>
      <c r="M156" s="1032"/>
      <c r="N156" s="3285"/>
      <c r="O156" s="3221"/>
      <c r="P156" s="3259"/>
      <c r="R156" s="3299"/>
    </row>
    <row r="157" spans="1:19" ht="12.75" customHeight="1">
      <c r="A157" s="2893"/>
      <c r="B157" s="3312"/>
      <c r="C157" s="3312"/>
      <c r="D157" s="1239"/>
      <c r="E157" s="3294"/>
      <c r="F157" s="1239"/>
      <c r="G157" s="3294"/>
      <c r="H157" s="1035"/>
      <c r="I157" s="1015"/>
      <c r="L157" s="2667"/>
      <c r="M157" s="3288"/>
      <c r="N157" s="3285"/>
      <c r="O157" s="3221"/>
      <c r="P157" s="3259"/>
      <c r="R157" s="2891"/>
    </row>
    <row r="158" spans="1:19" ht="12.75" customHeight="1">
      <c r="A158" s="2893"/>
      <c r="B158" s="3313"/>
      <c r="C158" s="3313"/>
      <c r="D158" s="1239"/>
      <c r="E158" s="3314"/>
      <c r="F158" s="1239"/>
      <c r="G158" s="3294"/>
      <c r="H158" s="1035"/>
      <c r="I158" s="1015"/>
      <c r="J158" s="1015"/>
      <c r="K158" s="2891"/>
      <c r="L158" s="3225"/>
      <c r="M158" s="3283"/>
      <c r="N158" s="3283"/>
      <c r="P158" s="3259"/>
      <c r="R158" s="2891"/>
    </row>
    <row r="159" spans="1:19" ht="12.75" customHeight="1">
      <c r="A159" s="2893"/>
      <c r="B159" s="3313"/>
      <c r="C159" s="3313"/>
      <c r="D159" s="1239"/>
      <c r="E159" s="3315"/>
      <c r="F159" s="1239"/>
      <c r="G159" s="3316"/>
      <c r="H159" s="1035"/>
      <c r="I159" s="1015"/>
      <c r="J159" s="1015"/>
      <c r="K159" s="2891"/>
      <c r="L159" s="3225"/>
      <c r="M159" s="1032"/>
      <c r="N159" s="3283"/>
      <c r="P159" s="3259"/>
      <c r="R159" s="2891"/>
    </row>
    <row r="160" spans="1:19" ht="12.75" customHeight="1">
      <c r="B160" s="3313"/>
      <c r="C160" s="3313"/>
      <c r="D160" s="1239"/>
      <c r="E160" s="3317"/>
      <c r="F160" s="1239"/>
      <c r="G160" s="1031"/>
      <c r="H160" s="1035"/>
      <c r="I160" s="1015"/>
      <c r="J160" s="1015"/>
      <c r="K160" s="2891"/>
      <c r="L160" s="3225"/>
      <c r="M160" s="1032"/>
      <c r="N160" s="3283"/>
      <c r="P160" s="3295"/>
    </row>
    <row r="161" spans="1:17" ht="12.75" customHeight="1">
      <c r="B161" s="1013"/>
      <c r="C161" s="1013"/>
      <c r="D161" s="1013"/>
      <c r="E161" s="2891"/>
      <c r="F161" s="2891"/>
      <c r="G161" s="2891"/>
      <c r="H161" s="1035"/>
      <c r="I161" s="3180"/>
      <c r="J161" s="1015"/>
      <c r="K161" s="2891"/>
      <c r="L161" s="3225"/>
      <c r="M161" s="1032"/>
      <c r="N161" s="3283"/>
      <c r="P161" s="1018"/>
    </row>
    <row r="162" spans="1:17" ht="12.75" customHeight="1">
      <c r="E162" s="2665"/>
      <c r="F162" s="2666"/>
      <c r="G162" s="2891"/>
      <c r="H162" s="1035"/>
      <c r="I162" s="3180"/>
      <c r="J162" s="1015"/>
      <c r="K162" s="2891"/>
      <c r="L162" s="3225"/>
      <c r="M162" s="1032"/>
      <c r="N162" s="3283"/>
      <c r="P162" s="1018"/>
    </row>
    <row r="163" spans="1:17">
      <c r="E163" s="2665"/>
      <c r="F163" s="2666"/>
      <c r="G163" s="1014"/>
      <c r="H163" s="1035"/>
      <c r="I163" s="3180"/>
      <c r="J163" s="1015"/>
      <c r="K163" s="2891"/>
      <c r="L163" s="3225"/>
      <c r="M163" s="1032"/>
      <c r="N163" s="3283"/>
      <c r="P163" s="1018"/>
    </row>
    <row r="164" spans="1:17">
      <c r="C164" s="2667"/>
      <c r="D164" s="2667"/>
      <c r="E164" s="2665"/>
      <c r="F164" s="2891"/>
      <c r="G164" s="1014"/>
      <c r="H164" s="2891"/>
      <c r="I164" s="3180"/>
      <c r="J164" s="1015"/>
      <c r="K164" s="2891"/>
      <c r="L164" s="3225"/>
      <c r="M164" s="1032"/>
      <c r="N164" s="3283"/>
      <c r="P164" s="1018"/>
    </row>
    <row r="165" spans="1:17">
      <c r="C165" s="2979"/>
      <c r="D165" s="2667"/>
      <c r="E165" s="2665"/>
      <c r="F165" s="2891"/>
      <c r="G165" s="2891"/>
      <c r="H165" s="2891"/>
      <c r="I165" s="3180"/>
      <c r="J165" s="1015"/>
      <c r="K165" s="2891"/>
      <c r="L165" s="3225"/>
      <c r="M165" s="1032"/>
      <c r="N165" s="3283"/>
      <c r="P165" s="1018"/>
    </row>
    <row r="166" spans="1:17">
      <c r="B166" s="3240"/>
      <c r="C166" s="1013"/>
      <c r="D166" s="2667"/>
      <c r="E166" s="2665"/>
      <c r="F166" s="2891"/>
      <c r="G166" s="2891"/>
      <c r="H166" s="2891"/>
      <c r="I166" s="3180"/>
      <c r="J166" s="1015"/>
      <c r="K166" s="2891"/>
      <c r="L166" s="3225"/>
      <c r="M166" s="1032"/>
      <c r="N166" s="3283"/>
      <c r="P166" s="1018"/>
    </row>
    <row r="167" spans="1:17">
      <c r="A167" s="3205"/>
      <c r="B167" s="3240"/>
      <c r="C167" s="1013"/>
      <c r="D167" s="2667"/>
      <c r="E167" s="2665"/>
      <c r="F167" s="2891"/>
      <c r="G167" s="1014"/>
      <c r="I167" s="3180"/>
      <c r="J167" s="1015"/>
      <c r="K167" s="2891"/>
      <c r="L167" s="3225"/>
      <c r="M167" s="1032"/>
      <c r="N167" s="3283"/>
      <c r="P167" s="1018"/>
    </row>
    <row r="168" spans="1:17">
      <c r="A168" s="2891"/>
      <c r="B168" s="3240"/>
      <c r="C168" s="2664"/>
      <c r="D168" s="1013"/>
      <c r="E168" s="1014"/>
      <c r="F168" s="1014"/>
      <c r="G168" s="2891"/>
      <c r="I168" s="3180"/>
      <c r="J168" s="1015"/>
      <c r="K168" s="2891"/>
      <c r="L168" s="3225"/>
      <c r="M168" s="1032"/>
      <c r="N168" s="3283"/>
      <c r="P168" s="1018"/>
    </row>
    <row r="169" spans="1:17">
      <c r="A169" s="2891"/>
      <c r="C169" s="2664"/>
      <c r="D169" s="1013"/>
      <c r="E169" s="2891"/>
      <c r="F169" s="2891"/>
      <c r="G169" s="2891"/>
      <c r="I169" s="1015"/>
      <c r="J169" s="1015"/>
      <c r="K169" s="2891"/>
      <c r="L169" s="3225"/>
      <c r="M169" s="1032"/>
      <c r="N169" s="3283"/>
      <c r="P169" s="1018"/>
    </row>
    <row r="170" spans="1:17">
      <c r="B170" s="1038"/>
      <c r="C170" s="1013"/>
      <c r="D170" s="1013"/>
      <c r="E170" s="2891"/>
      <c r="F170" s="2891"/>
      <c r="G170" s="2891"/>
      <c r="I170" s="1015"/>
      <c r="J170" s="1015"/>
      <c r="K170" s="2891"/>
      <c r="L170" s="3225"/>
      <c r="M170" s="1032"/>
      <c r="N170" s="3283"/>
      <c r="P170" s="3221"/>
    </row>
    <row r="171" spans="1:17">
      <c r="A171" s="3211"/>
      <c r="B171" s="1038"/>
      <c r="C171" s="1013"/>
      <c r="D171" s="1013"/>
      <c r="E171" s="2891"/>
      <c r="F171" s="2891"/>
      <c r="G171" s="2891"/>
      <c r="I171" s="1015"/>
      <c r="J171" s="1015"/>
      <c r="K171" s="2891"/>
      <c r="L171" s="3225"/>
      <c r="M171" s="1032"/>
      <c r="N171" s="3283"/>
      <c r="P171" s="3221"/>
    </row>
    <row r="172" spans="1:17">
      <c r="A172" s="1014"/>
      <c r="B172" s="1038"/>
      <c r="C172" s="1013"/>
      <c r="D172" s="1013"/>
      <c r="E172" s="2891"/>
      <c r="F172" s="2891"/>
      <c r="G172" s="2666"/>
      <c r="I172" s="1015"/>
      <c r="J172" s="1015"/>
      <c r="K172" s="2891"/>
      <c r="L172" s="3225"/>
      <c r="M172" s="3318"/>
      <c r="N172" s="3283"/>
      <c r="P172" s="3221"/>
    </row>
    <row r="173" spans="1:17">
      <c r="A173" s="2891"/>
      <c r="B173" s="2666"/>
      <c r="C173" s="2666"/>
      <c r="D173" s="2665"/>
      <c r="E173" s="2665"/>
      <c r="F173" s="2666"/>
      <c r="G173" s="2666"/>
      <c r="I173" s="1015"/>
      <c r="J173" s="1015"/>
      <c r="K173" s="1014"/>
      <c r="L173" s="1027"/>
      <c r="M173" s="1034"/>
      <c r="N173" s="1034"/>
      <c r="P173" s="3221"/>
    </row>
    <row r="174" spans="1:17">
      <c r="A174" s="2891"/>
      <c r="B174" s="2666"/>
      <c r="C174" s="2666"/>
      <c r="D174" s="2665"/>
      <c r="E174" s="2665"/>
      <c r="F174" s="2666"/>
      <c r="G174" s="2666"/>
      <c r="I174" s="1015"/>
      <c r="J174" s="1015"/>
      <c r="K174" s="1014"/>
      <c r="L174" s="1027"/>
      <c r="M174" s="1034"/>
      <c r="N174" s="1034"/>
      <c r="P174" s="3221"/>
    </row>
    <row r="175" spans="1:17">
      <c r="A175" s="2891"/>
      <c r="B175" s="2666"/>
      <c r="C175" s="2666"/>
      <c r="D175" s="2665"/>
      <c r="E175" s="2665"/>
      <c r="F175" s="2666"/>
      <c r="G175" s="1194"/>
      <c r="I175" s="1015"/>
      <c r="J175" s="1015"/>
      <c r="K175" s="1014"/>
      <c r="L175" s="1027"/>
      <c r="M175" s="1034"/>
      <c r="N175" s="1034"/>
      <c r="P175" s="3221"/>
      <c r="Q175" s="2893"/>
    </row>
    <row r="176" spans="1:17">
      <c r="B176" s="1194"/>
      <c r="C176" s="1194"/>
      <c r="D176" s="1194"/>
      <c r="E176" s="1194"/>
      <c r="F176" s="1194"/>
      <c r="G176" s="1194"/>
      <c r="I176" s="1015"/>
      <c r="J176" s="1015"/>
      <c r="K176" s="1014"/>
      <c r="L176" s="1027"/>
      <c r="M176" s="1034"/>
      <c r="N176" s="1034"/>
      <c r="P176" s="3221"/>
      <c r="Q176" s="2893"/>
    </row>
    <row r="177" spans="1:17">
      <c r="B177" s="1194"/>
      <c r="C177" s="1194"/>
      <c r="D177" s="1194"/>
      <c r="E177" s="1194"/>
      <c r="F177" s="1194"/>
      <c r="G177" s="1194"/>
      <c r="I177" s="2664"/>
      <c r="J177" s="1013"/>
      <c r="K177" s="1014"/>
      <c r="L177" s="1027"/>
      <c r="M177" s="1034"/>
      <c r="N177" s="1034"/>
      <c r="P177" s="3221"/>
      <c r="Q177" s="2893"/>
    </row>
    <row r="178" spans="1:17">
      <c r="B178" s="1194"/>
      <c r="C178" s="1194"/>
      <c r="D178" s="1194"/>
      <c r="E178" s="1194"/>
      <c r="F178" s="1194"/>
      <c r="G178" s="1194"/>
      <c r="I178" s="2664"/>
      <c r="J178" s="1013"/>
      <c r="K178" s="1014"/>
      <c r="L178" s="1027"/>
      <c r="M178" s="1034"/>
      <c r="N178" s="1034"/>
      <c r="P178" s="3221"/>
      <c r="Q178" s="1014"/>
    </row>
    <row r="179" spans="1:17">
      <c r="A179" s="2666"/>
      <c r="B179" s="1194"/>
      <c r="C179" s="1194"/>
      <c r="D179" s="1194"/>
      <c r="E179" s="1194"/>
      <c r="F179" s="1194"/>
      <c r="G179" s="1194"/>
      <c r="H179" s="2891"/>
      <c r="I179" s="2664"/>
      <c r="J179" s="2664"/>
      <c r="K179" s="2665"/>
      <c r="L179" s="2667"/>
      <c r="M179" s="3319"/>
      <c r="N179" s="3319"/>
      <c r="Q179" s="1014"/>
    </row>
    <row r="180" spans="1:17">
      <c r="A180" s="2666"/>
      <c r="B180" s="1194"/>
      <c r="C180" s="1194"/>
      <c r="D180" s="1194"/>
      <c r="E180" s="1194"/>
      <c r="F180" s="1194"/>
      <c r="G180" s="1194"/>
      <c r="H180" s="2891"/>
      <c r="I180" s="2664"/>
      <c r="J180" s="2664"/>
      <c r="K180" s="2665"/>
      <c r="L180" s="2667"/>
      <c r="M180" s="3319"/>
      <c r="N180" s="3319"/>
      <c r="P180" s="3259"/>
      <c r="Q180" s="1014"/>
    </row>
    <row r="181" spans="1:17">
      <c r="A181" s="2666"/>
      <c r="B181" s="1194"/>
      <c r="C181" s="1194"/>
      <c r="D181" s="1194"/>
      <c r="E181" s="1194"/>
      <c r="F181" s="1194"/>
      <c r="G181" s="1194"/>
      <c r="H181" s="2891"/>
      <c r="I181" s="2664"/>
      <c r="J181" s="2664"/>
      <c r="K181" s="2665"/>
      <c r="L181" s="2667"/>
      <c r="M181" s="3319"/>
      <c r="N181" s="3319"/>
      <c r="P181" s="3259"/>
      <c r="Q181" s="1014"/>
    </row>
    <row r="182" spans="1:17">
      <c r="A182" s="1194"/>
      <c r="B182" s="1194"/>
      <c r="C182" s="1194"/>
      <c r="D182" s="1194"/>
      <c r="E182" s="1194"/>
      <c r="F182" s="1194"/>
      <c r="G182" s="1194"/>
      <c r="H182" s="2891"/>
      <c r="I182" s="2664"/>
      <c r="J182" s="2664"/>
      <c r="K182" s="2665"/>
      <c r="L182" s="2667"/>
      <c r="M182" s="3319"/>
      <c r="N182" s="3319"/>
      <c r="P182" s="3259"/>
      <c r="Q182" s="1014"/>
    </row>
    <row r="183" spans="1:17">
      <c r="A183" s="1194"/>
      <c r="B183" s="1194"/>
      <c r="C183" s="1194"/>
      <c r="D183" s="1194"/>
      <c r="E183" s="1194"/>
      <c r="F183" s="1194"/>
      <c r="G183" s="1194"/>
      <c r="H183" s="2891"/>
      <c r="I183" s="2664"/>
      <c r="J183" s="2664"/>
      <c r="K183" s="2665"/>
      <c r="L183" s="2667"/>
      <c r="M183" s="3319"/>
      <c r="N183" s="3319"/>
      <c r="P183" s="3259"/>
      <c r="Q183" s="1014"/>
    </row>
    <row r="184" spans="1:17">
      <c r="A184" s="1194"/>
      <c r="B184" s="1194"/>
      <c r="C184" s="1194"/>
      <c r="D184" s="1194"/>
      <c r="E184" s="1194"/>
      <c r="F184" s="1194"/>
      <c r="G184" s="1194"/>
      <c r="H184" s="2891"/>
      <c r="I184" s="2664"/>
      <c r="J184" s="2664"/>
      <c r="K184" s="2665"/>
      <c r="L184" s="2667"/>
      <c r="M184" s="3319"/>
      <c r="N184" s="3319"/>
      <c r="O184" s="2891"/>
      <c r="P184" s="2891"/>
      <c r="Q184" s="1014"/>
    </row>
    <row r="185" spans="1:17">
      <c r="A185" s="1194"/>
      <c r="B185" s="1194"/>
      <c r="C185" s="1194"/>
      <c r="D185" s="1194"/>
      <c r="E185" s="1194"/>
      <c r="F185" s="1194"/>
      <c r="G185" s="1194"/>
      <c r="I185" s="2664"/>
      <c r="J185" s="2664"/>
      <c r="K185" s="2665"/>
      <c r="L185" s="2667"/>
      <c r="M185" s="3319"/>
      <c r="N185" s="3319"/>
      <c r="O185" s="2891"/>
      <c r="P185" s="2891"/>
      <c r="Q185" s="1014"/>
    </row>
    <row r="186" spans="1:17">
      <c r="A186" s="1194"/>
      <c r="B186" s="1194"/>
      <c r="C186" s="1194"/>
      <c r="D186" s="1194"/>
      <c r="E186" s="1194"/>
      <c r="F186" s="1194"/>
      <c r="G186" s="1194"/>
      <c r="I186" s="2664"/>
      <c r="J186" s="2664"/>
      <c r="K186" s="1014"/>
      <c r="L186" s="1013"/>
      <c r="M186" s="3291"/>
      <c r="N186" s="3291"/>
      <c r="O186" s="2891"/>
      <c r="P186" s="2891"/>
      <c r="Q186" s="1014"/>
    </row>
    <row r="187" spans="1:17">
      <c r="A187" s="1194"/>
      <c r="B187" s="1194"/>
      <c r="C187" s="1194"/>
      <c r="D187" s="1194"/>
      <c r="E187" s="1194"/>
      <c r="F187" s="1194"/>
      <c r="G187" s="1194"/>
      <c r="I187" s="1015"/>
      <c r="J187" s="1015"/>
      <c r="K187" s="1014"/>
      <c r="L187" s="2667"/>
      <c r="M187" s="3291"/>
      <c r="N187" s="3291"/>
      <c r="O187" s="2891"/>
      <c r="P187" s="2891"/>
      <c r="Q187" s="1014"/>
    </row>
    <row r="188" spans="1:17">
      <c r="A188" s="1194"/>
      <c r="B188" s="1194"/>
      <c r="C188" s="1194"/>
      <c r="D188" s="1194"/>
      <c r="E188" s="1194"/>
      <c r="F188" s="1194"/>
      <c r="G188" s="2893"/>
      <c r="I188" s="3221"/>
      <c r="J188" s="1015"/>
      <c r="K188" s="1014"/>
      <c r="L188" s="1013"/>
      <c r="M188" s="3291"/>
      <c r="N188" s="3291"/>
      <c r="O188" s="2891"/>
      <c r="P188" s="2891"/>
      <c r="Q188" s="1014"/>
    </row>
    <row r="189" spans="1:17">
      <c r="A189" s="1194"/>
      <c r="B189" s="3221"/>
      <c r="C189" s="3221"/>
      <c r="D189" s="3221"/>
      <c r="E189" s="2893"/>
      <c r="F189" s="2893"/>
      <c r="G189" s="2893"/>
      <c r="I189" s="3221"/>
      <c r="J189" s="1015"/>
      <c r="K189" s="1014"/>
      <c r="L189" s="1013"/>
      <c r="M189" s="3291"/>
      <c r="N189" s="3291"/>
      <c r="O189" s="2891"/>
      <c r="P189" s="1013"/>
      <c r="Q189" s="1014"/>
    </row>
    <row r="190" spans="1:17">
      <c r="A190" s="1194"/>
      <c r="B190" s="3221"/>
      <c r="C190" s="3221"/>
      <c r="D190" s="3221"/>
      <c r="E190" s="2893"/>
      <c r="F190" s="2893"/>
      <c r="G190" s="2893"/>
      <c r="I190" s="1018"/>
      <c r="J190" s="1015"/>
      <c r="K190" s="1014"/>
      <c r="L190" s="1013"/>
      <c r="M190" s="3291"/>
      <c r="N190" s="3291"/>
      <c r="O190" s="2891"/>
      <c r="P190" s="1013"/>
      <c r="Q190" s="1014"/>
    </row>
    <row r="191" spans="1:17">
      <c r="A191" s="1194"/>
      <c r="B191" s="3221"/>
      <c r="C191" s="3221"/>
      <c r="D191" s="3221"/>
      <c r="E191" s="2893"/>
      <c r="F191" s="2893"/>
      <c r="G191" s="2666"/>
      <c r="I191" s="1018"/>
      <c r="J191" s="1015"/>
      <c r="K191" s="1014"/>
      <c r="L191" s="1013"/>
      <c r="M191" s="3291"/>
      <c r="N191" s="3291"/>
      <c r="O191" s="2891"/>
      <c r="P191" s="1013"/>
      <c r="Q191" s="1014"/>
    </row>
    <row r="192" spans="1:17">
      <c r="A192" s="2893"/>
      <c r="B192" s="2666"/>
      <c r="C192" s="2666"/>
      <c r="D192" s="2665"/>
      <c r="E192" s="2665"/>
      <c r="F192" s="2666"/>
      <c r="G192" s="2666"/>
      <c r="I192" s="1018"/>
      <c r="J192" s="1015"/>
      <c r="K192" s="1014"/>
      <c r="L192" s="1013"/>
      <c r="M192" s="3291"/>
      <c r="N192" s="3291"/>
      <c r="O192" s="2891"/>
      <c r="P192" s="1013"/>
      <c r="Q192" s="1014"/>
    </row>
    <row r="193" spans="1:17">
      <c r="A193" s="2893"/>
      <c r="B193" s="2666"/>
      <c r="C193" s="2666"/>
      <c r="D193" s="2665"/>
      <c r="E193" s="2665"/>
      <c r="F193" s="2666"/>
      <c r="G193" s="2666"/>
      <c r="I193" s="1018"/>
      <c r="J193" s="1015"/>
      <c r="K193" s="1014"/>
      <c r="L193" s="1013"/>
      <c r="M193" s="3291"/>
      <c r="N193" s="3291"/>
      <c r="O193" s="2891"/>
      <c r="P193" s="1014"/>
      <c r="Q193" s="1014"/>
    </row>
    <row r="194" spans="1:17">
      <c r="A194" s="1194"/>
      <c r="B194" s="2666"/>
      <c r="C194" s="2666"/>
      <c r="D194" s="2665"/>
      <c r="E194" s="2665"/>
      <c r="F194" s="2666"/>
      <c r="G194" s="1194"/>
      <c r="H194" s="1035"/>
      <c r="I194" s="1018"/>
      <c r="J194" s="1015"/>
      <c r="K194" s="2891"/>
      <c r="L194" s="2891"/>
      <c r="M194" s="2891"/>
      <c r="N194" s="2891"/>
      <c r="O194" s="2891"/>
      <c r="P194" s="1014"/>
      <c r="Q194" s="1014"/>
    </row>
    <row r="195" spans="1:17">
      <c r="A195" s="2666"/>
      <c r="B195" s="1194"/>
      <c r="C195" s="1194"/>
      <c r="D195" s="1194"/>
      <c r="E195" s="1194"/>
      <c r="F195" s="1194"/>
      <c r="G195" s="1194"/>
      <c r="H195" s="1035"/>
      <c r="I195" s="1018"/>
      <c r="J195" s="1015"/>
      <c r="K195" s="2891"/>
      <c r="L195" s="2891"/>
      <c r="M195" s="2891"/>
      <c r="N195" s="2891"/>
      <c r="O195" s="2891"/>
      <c r="P195" s="1014"/>
      <c r="Q195" s="1014"/>
    </row>
    <row r="196" spans="1:17">
      <c r="A196" s="2666"/>
      <c r="B196" s="1194"/>
      <c r="C196" s="1194"/>
      <c r="D196" s="1194"/>
      <c r="E196" s="1194"/>
      <c r="F196" s="1194"/>
      <c r="G196" s="1194"/>
      <c r="H196" s="1035"/>
      <c r="I196" s="1018"/>
      <c r="J196" s="1015"/>
      <c r="K196" s="2891"/>
      <c r="L196" s="2891"/>
      <c r="M196" s="2891"/>
      <c r="N196" s="2891"/>
      <c r="O196" s="2891"/>
      <c r="P196" s="1014"/>
      <c r="Q196" s="1014"/>
    </row>
    <row r="197" spans="1:17">
      <c r="A197" s="1194"/>
      <c r="B197" s="1194"/>
      <c r="C197" s="1194"/>
      <c r="D197" s="1194"/>
      <c r="E197" s="1194"/>
      <c r="F197" s="1194"/>
      <c r="G197" s="1194"/>
      <c r="H197" s="1035"/>
      <c r="I197" s="1018"/>
      <c r="J197" s="1015"/>
      <c r="K197" s="2891"/>
      <c r="L197" s="2891"/>
      <c r="M197" s="2891"/>
      <c r="N197" s="2891"/>
      <c r="O197" s="2891"/>
      <c r="P197" s="1014"/>
      <c r="Q197" s="1014"/>
    </row>
    <row r="198" spans="1:17">
      <c r="A198" s="1194"/>
      <c r="B198" s="1194"/>
      <c r="C198" s="1194"/>
      <c r="D198" s="1194"/>
      <c r="E198" s="1194"/>
      <c r="F198" s="1194"/>
      <c r="G198" s="1194"/>
      <c r="I198" s="1018"/>
      <c r="J198" s="1015"/>
      <c r="K198" s="1014"/>
      <c r="L198" s="1014"/>
      <c r="M198" s="1014"/>
      <c r="N198" s="1014"/>
      <c r="O198" s="1014"/>
      <c r="P198" s="1014"/>
      <c r="Q198" s="1014"/>
    </row>
    <row r="199" spans="1:17">
      <c r="A199" s="1194"/>
      <c r="B199" s="1194"/>
      <c r="C199" s="1194"/>
      <c r="D199" s="1194"/>
      <c r="E199" s="1194"/>
      <c r="F199" s="1194"/>
      <c r="G199" s="1194"/>
      <c r="I199" s="1018"/>
      <c r="J199" s="1015"/>
      <c r="K199" s="1014"/>
      <c r="L199" s="1014"/>
      <c r="M199" s="1014"/>
      <c r="N199" s="1014"/>
      <c r="O199" s="1014"/>
      <c r="P199" s="1014"/>
      <c r="Q199" s="1014"/>
    </row>
    <row r="200" spans="1:17">
      <c r="A200" s="1194"/>
      <c r="B200" s="1194"/>
      <c r="C200" s="1194"/>
      <c r="D200" s="1194"/>
      <c r="E200" s="1194"/>
      <c r="F200" s="1194"/>
      <c r="G200" s="1194"/>
      <c r="I200" s="1018"/>
      <c r="J200" s="1015"/>
      <c r="K200" s="1014"/>
      <c r="L200" s="1014"/>
      <c r="M200" s="1014"/>
      <c r="N200" s="1014"/>
      <c r="O200" s="1014"/>
      <c r="P200" s="1014"/>
      <c r="Q200" s="1014"/>
    </row>
    <row r="201" spans="1:17">
      <c r="A201" s="1194"/>
      <c r="B201" s="1194"/>
      <c r="C201" s="1194"/>
      <c r="D201" s="1194"/>
      <c r="E201" s="1194"/>
      <c r="F201" s="1194"/>
      <c r="G201" s="1194"/>
      <c r="I201" s="1018"/>
      <c r="J201" s="1015"/>
      <c r="K201" s="1014"/>
      <c r="L201" s="1014"/>
      <c r="M201" s="1014"/>
      <c r="N201" s="1014"/>
      <c r="O201" s="1014"/>
      <c r="P201" s="2891"/>
      <c r="Q201" s="2891"/>
    </row>
    <row r="202" spans="1:17">
      <c r="A202" s="1194"/>
      <c r="B202" s="1194"/>
      <c r="C202" s="1194"/>
      <c r="D202" s="1194"/>
      <c r="E202" s="1194"/>
      <c r="F202" s="1194"/>
      <c r="G202" s="1194"/>
      <c r="I202" s="1018"/>
      <c r="J202" s="1015"/>
      <c r="K202" s="1014"/>
      <c r="L202" s="1014"/>
      <c r="M202" s="1014"/>
      <c r="N202" s="1014"/>
      <c r="O202" s="1014"/>
      <c r="P202" s="1014"/>
      <c r="Q202" s="1014"/>
    </row>
    <row r="203" spans="1:17">
      <c r="A203" s="1194"/>
      <c r="B203" s="1194"/>
      <c r="C203" s="1194"/>
      <c r="D203" s="1194"/>
      <c r="E203" s="1194"/>
      <c r="F203" s="1194"/>
      <c r="G203" s="1194"/>
      <c r="I203" s="3221"/>
      <c r="J203" s="1015"/>
      <c r="K203" s="1014"/>
      <c r="L203" s="1014"/>
      <c r="M203" s="1014"/>
      <c r="N203" s="1014"/>
      <c r="O203" s="1014"/>
      <c r="P203" s="1013"/>
      <c r="Q203" s="1013"/>
    </row>
    <row r="204" spans="1:17">
      <c r="A204" s="1194"/>
      <c r="B204" s="1194"/>
      <c r="C204" s="1194"/>
      <c r="D204" s="1194"/>
      <c r="E204" s="1194"/>
      <c r="F204" s="1194"/>
      <c r="G204" s="2893"/>
      <c r="I204" s="2891"/>
      <c r="J204" s="1015"/>
      <c r="K204" s="1014"/>
      <c r="L204" s="1014"/>
      <c r="M204" s="1014"/>
      <c r="N204" s="1014"/>
      <c r="O204" s="1014"/>
      <c r="P204" s="2893"/>
      <c r="Q204" s="2893"/>
    </row>
    <row r="205" spans="1:17">
      <c r="A205" s="1194"/>
      <c r="B205" s="3221"/>
      <c r="C205" s="3221"/>
      <c r="D205" s="3221"/>
      <c r="E205" s="2893"/>
      <c r="F205" s="2893"/>
      <c r="G205" s="2893"/>
      <c r="I205" s="3180"/>
      <c r="J205" s="1015"/>
      <c r="K205" s="1014"/>
      <c r="L205" s="1014"/>
      <c r="M205" s="1014"/>
      <c r="N205" s="1014"/>
      <c r="O205" s="1014"/>
      <c r="P205" s="3234"/>
      <c r="Q205" s="1014"/>
    </row>
    <row r="206" spans="1:17">
      <c r="A206" s="1194"/>
      <c r="B206" s="3221"/>
      <c r="C206" s="3221"/>
      <c r="D206" s="3221"/>
      <c r="E206" s="2893"/>
      <c r="F206" s="2893"/>
      <c r="G206" s="2893"/>
      <c r="I206" s="1015"/>
      <c r="J206" s="1015"/>
      <c r="K206" s="1014"/>
      <c r="L206" s="1014"/>
      <c r="M206" s="1014"/>
      <c r="N206" s="1014"/>
      <c r="O206" s="1014"/>
      <c r="P206" s="3286"/>
      <c r="Q206" s="3286"/>
    </row>
    <row r="207" spans="1:17">
      <c r="A207" s="1194"/>
      <c r="B207" s="3221"/>
      <c r="C207" s="3221"/>
      <c r="D207" s="3221"/>
      <c r="E207" s="2893"/>
      <c r="F207" s="2893"/>
      <c r="G207" s="2666"/>
      <c r="I207" s="1015"/>
      <c r="J207" s="1015"/>
      <c r="K207" s="1014"/>
      <c r="L207" s="1014"/>
      <c r="M207" s="1014"/>
      <c r="N207" s="1014"/>
      <c r="O207" s="1014"/>
      <c r="P207" s="1014"/>
      <c r="Q207" s="2891"/>
    </row>
    <row r="208" spans="1:17">
      <c r="A208" s="2893"/>
      <c r="B208" s="2666"/>
      <c r="C208" s="2666"/>
      <c r="D208" s="2665"/>
      <c r="E208" s="2665"/>
      <c r="F208" s="2666"/>
      <c r="G208" s="2666"/>
      <c r="I208" s="1015"/>
      <c r="J208" s="1015"/>
      <c r="K208" s="1014"/>
      <c r="L208" s="1014"/>
      <c r="M208" s="1014"/>
      <c r="N208" s="1014"/>
      <c r="O208" s="1014"/>
      <c r="P208" s="3320"/>
      <c r="Q208" s="2891"/>
    </row>
    <row r="209" spans="1:17">
      <c r="A209" s="2893"/>
      <c r="B209" s="2666"/>
      <c r="C209" s="2666"/>
      <c r="D209" s="2665"/>
      <c r="E209" s="2665"/>
      <c r="F209" s="2666"/>
      <c r="G209" s="2666"/>
      <c r="I209" s="1015"/>
      <c r="J209" s="1015"/>
      <c r="K209" s="1014"/>
      <c r="L209" s="1014"/>
      <c r="M209" s="1014"/>
      <c r="N209" s="1014"/>
      <c r="O209" s="1014"/>
      <c r="P209" s="1014"/>
      <c r="Q209" s="2891"/>
    </row>
    <row r="210" spans="1:17">
      <c r="A210" s="2893"/>
      <c r="B210" s="2666"/>
      <c r="C210" s="2666"/>
      <c r="D210" s="2665"/>
      <c r="E210" s="2665"/>
      <c r="F210" s="2666"/>
      <c r="G210" s="1194"/>
      <c r="I210" s="1015"/>
      <c r="J210" s="1015"/>
      <c r="K210" s="1014"/>
      <c r="L210" s="1014"/>
      <c r="M210" s="1014"/>
      <c r="N210" s="1014"/>
      <c r="P210" s="1014"/>
    </row>
    <row r="211" spans="1:17">
      <c r="A211" s="2666"/>
      <c r="B211" s="1194"/>
      <c r="C211" s="1194"/>
      <c r="D211" s="1194"/>
      <c r="E211" s="1194"/>
      <c r="F211" s="1194"/>
      <c r="G211" s="2893"/>
      <c r="I211" s="1015"/>
      <c r="J211" s="1015"/>
      <c r="K211" s="1014"/>
      <c r="L211" s="1014"/>
      <c r="M211" s="1014"/>
      <c r="N211" s="1014"/>
      <c r="O211" s="1014"/>
      <c r="P211" s="1014"/>
    </row>
    <row r="212" spans="1:17">
      <c r="A212" s="2666"/>
      <c r="B212" s="3221"/>
      <c r="C212" s="3221"/>
      <c r="D212" s="3221"/>
      <c r="E212" s="2893"/>
      <c r="F212" s="2893"/>
      <c r="G212" s="2893"/>
      <c r="I212" s="1015"/>
      <c r="J212" s="1015"/>
      <c r="K212" s="1014"/>
      <c r="L212" s="1014"/>
      <c r="M212" s="1014"/>
      <c r="N212" s="1014"/>
      <c r="O212" s="1014"/>
      <c r="P212" s="3291"/>
    </row>
    <row r="213" spans="1:17">
      <c r="A213" s="2666"/>
      <c r="B213" s="3221"/>
      <c r="C213" s="3221"/>
      <c r="D213" s="3221"/>
      <c r="E213" s="2893"/>
      <c r="F213" s="2893"/>
      <c r="G213" s="2893"/>
      <c r="I213" s="1015"/>
      <c r="J213" s="1015"/>
      <c r="K213" s="1014"/>
      <c r="L213" s="3321"/>
      <c r="M213" s="2891"/>
      <c r="N213" s="2891"/>
      <c r="O213" s="1014"/>
      <c r="P213" s="2891"/>
    </row>
    <row r="214" spans="1:17">
      <c r="A214" s="1194"/>
      <c r="B214" s="3221"/>
      <c r="C214" s="3221"/>
      <c r="D214" s="3221"/>
      <c r="E214" s="2893"/>
      <c r="F214" s="2893"/>
      <c r="I214" s="1015"/>
      <c r="J214" s="1015"/>
      <c r="K214" s="1014"/>
      <c r="L214" s="1039"/>
      <c r="M214" s="2665"/>
      <c r="N214" s="2667"/>
      <c r="O214" s="1014"/>
      <c r="P214" s="2891"/>
    </row>
    <row r="215" spans="1:17">
      <c r="A215" s="2893"/>
      <c r="I215" s="3180"/>
      <c r="J215" s="3180"/>
      <c r="K215" s="3321"/>
      <c r="L215" s="1039"/>
      <c r="M215" s="2891"/>
      <c r="N215" s="3225"/>
      <c r="O215" s="2891"/>
      <c r="P215" s="3299"/>
    </row>
    <row r="216" spans="1:17">
      <c r="A216" s="2893"/>
      <c r="I216" s="1014"/>
      <c r="J216" s="1014"/>
      <c r="K216" s="3322"/>
      <c r="L216" s="1194"/>
      <c r="M216" s="1194"/>
      <c r="N216" s="1194"/>
    </row>
    <row r="217" spans="1:17">
      <c r="A217" s="2893"/>
      <c r="I217" s="1014"/>
      <c r="J217" s="1014"/>
      <c r="K217" s="1039"/>
      <c r="L217" s="1194"/>
      <c r="M217" s="1194"/>
      <c r="N217" s="1194"/>
    </row>
    <row r="218" spans="1:17">
      <c r="I218" s="1014"/>
      <c r="J218" s="1014"/>
      <c r="K218" s="3323"/>
      <c r="L218" s="1194"/>
      <c r="M218" s="1194"/>
      <c r="N218" s="1194"/>
    </row>
    <row r="219" spans="1:17">
      <c r="I219" s="1014"/>
      <c r="J219" s="1014"/>
      <c r="K219" s="2891"/>
      <c r="L219" s="1194"/>
      <c r="M219" s="1194"/>
      <c r="N219" s="1194"/>
    </row>
    <row r="220" spans="1:17">
      <c r="I220" s="1013"/>
      <c r="J220" s="1013"/>
      <c r="K220" s="2891"/>
      <c r="L220" s="2893"/>
      <c r="M220" s="2893"/>
      <c r="N220" s="2893"/>
    </row>
    <row r="221" spans="1:17">
      <c r="I221" s="1013"/>
      <c r="J221" s="1013"/>
      <c r="K221" s="2891"/>
      <c r="L221" s="2893"/>
      <c r="M221" s="2893"/>
      <c r="N221" s="2893"/>
    </row>
    <row r="222" spans="1:17">
      <c r="I222" s="1013"/>
      <c r="J222" s="1013"/>
      <c r="L222" s="2893"/>
      <c r="M222" s="2893"/>
      <c r="N222" s="2893"/>
    </row>
    <row r="223" spans="1:17">
      <c r="J223" s="3184"/>
      <c r="K223" s="2665"/>
      <c r="L223" s="2665"/>
      <c r="M223" s="2665"/>
      <c r="N223" s="2665"/>
    </row>
    <row r="224" spans="1:17">
      <c r="J224" s="3184"/>
      <c r="K224" s="2665"/>
      <c r="L224" s="2665"/>
      <c r="M224" s="2665"/>
      <c r="N224" s="2665"/>
    </row>
    <row r="225" spans="9:14">
      <c r="I225" s="3184"/>
      <c r="J225" s="3184"/>
      <c r="K225" s="2665"/>
      <c r="L225" s="2665"/>
      <c r="M225" s="2665"/>
      <c r="N225" s="2665"/>
    </row>
    <row r="226" spans="9:14">
      <c r="I226" s="3184"/>
      <c r="J226" s="1194"/>
      <c r="K226" s="1194"/>
      <c r="L226" s="1194"/>
      <c r="M226" s="1194"/>
      <c r="N226" s="1194"/>
    </row>
    <row r="227" spans="9:14">
      <c r="J227" s="3221"/>
      <c r="K227" s="2893"/>
      <c r="L227" s="2893"/>
      <c r="M227" s="2893"/>
      <c r="N227" s="2893"/>
    </row>
    <row r="228" spans="9:14">
      <c r="I228" s="3221"/>
      <c r="J228" s="3221"/>
      <c r="K228" s="2893"/>
      <c r="L228" s="2893"/>
      <c r="M228" s="2893"/>
      <c r="N228" s="2893"/>
    </row>
    <row r="229" spans="9:14">
      <c r="I229" s="3221"/>
      <c r="J229" s="3221"/>
      <c r="K229" s="2893"/>
      <c r="L229" s="2893"/>
      <c r="M229" s="2893"/>
      <c r="N229" s="2893"/>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22 A6 A84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V62"/>
  <sheetViews>
    <sheetView showGridLines="0" zoomScale="80" zoomScaleNormal="80" workbookViewId="0"/>
  </sheetViews>
  <sheetFormatPr defaultColWidth="8.90625" defaultRowHeight="15"/>
  <cols>
    <col min="1" max="1" width="1.6328125" style="2246" customWidth="1"/>
    <col min="2" max="2" width="45.08984375" style="2246" customWidth="1"/>
    <col min="3" max="3" width="4.54296875" style="2247" customWidth="1"/>
    <col min="4" max="4" width="19" style="2248" customWidth="1"/>
    <col min="5" max="5" width="3.1796875" style="2248" customWidth="1"/>
    <col min="6" max="6" width="19" style="2248" customWidth="1"/>
    <col min="7" max="7" width="2.36328125" style="2248" customWidth="1"/>
    <col min="8" max="8" width="19" style="2248" customWidth="1"/>
    <col min="9" max="9" width="2.36328125" style="2248" customWidth="1"/>
    <col min="10" max="10" width="19" style="2248" customWidth="1"/>
    <col min="11" max="11" width="2.453125" style="2248" customWidth="1"/>
    <col min="12" max="12" width="2.1796875" style="2248" customWidth="1"/>
    <col min="13" max="13" width="19" style="2248" customWidth="1"/>
    <col min="14" max="15" width="8.90625" style="2247"/>
    <col min="16" max="16" width="24.1796875" style="2247" customWidth="1"/>
    <col min="17" max="18" width="8.90625" style="2247"/>
    <col min="19" max="16384" width="8.90625" style="2246"/>
  </cols>
  <sheetData>
    <row r="1" spans="1:43">
      <c r="B1" s="1124" t="s">
        <v>1066</v>
      </c>
    </row>
    <row r="3" spans="1:43" ht="17.399999999999999">
      <c r="M3" s="2442" t="s">
        <v>585</v>
      </c>
    </row>
    <row r="4" spans="1:43" ht="15.6">
      <c r="M4" s="2443"/>
    </row>
    <row r="5" spans="1:43" s="2251" customFormat="1" ht="18" customHeight="1">
      <c r="A5" s="2249"/>
      <c r="B5" s="2252" t="s">
        <v>510</v>
      </c>
      <c r="C5" s="2444"/>
      <c r="D5" s="2444"/>
      <c r="E5" s="2444"/>
      <c r="F5" s="2444"/>
      <c r="G5" s="2444"/>
      <c r="H5" s="2444"/>
      <c r="I5" s="2444"/>
      <c r="J5" s="2444"/>
      <c r="K5" s="2444"/>
      <c r="L5" s="2444"/>
      <c r="M5" s="2444"/>
      <c r="N5" s="2250"/>
      <c r="O5" s="2250"/>
      <c r="P5" s="2250"/>
      <c r="Q5" s="2250"/>
      <c r="R5" s="2250"/>
    </row>
    <row r="6" spans="1:43" s="2251" customFormat="1" ht="18" customHeight="1">
      <c r="A6" s="2249"/>
      <c r="B6" s="2252" t="s">
        <v>1093</v>
      </c>
      <c r="C6" s="2253"/>
      <c r="D6" s="2253"/>
      <c r="E6" s="2253"/>
      <c r="F6" s="2253"/>
      <c r="G6" s="2253"/>
      <c r="H6" s="2253"/>
      <c r="I6" s="2253"/>
      <c r="J6" s="2253"/>
      <c r="K6" s="2253"/>
      <c r="L6" s="2253"/>
      <c r="M6" s="2274"/>
      <c r="N6" s="2250"/>
      <c r="O6" s="2250"/>
      <c r="P6" s="2250"/>
      <c r="Q6" s="2250"/>
      <c r="R6" s="2250"/>
    </row>
    <row r="7" spans="1:43" s="2251" customFormat="1" ht="18" customHeight="1">
      <c r="A7" s="2249"/>
      <c r="B7" s="3574" t="s">
        <v>1437</v>
      </c>
      <c r="C7" s="3575"/>
      <c r="D7" s="3197"/>
      <c r="E7" s="3352"/>
      <c r="F7" s="3352"/>
      <c r="G7" s="3467"/>
      <c r="H7" s="3467"/>
      <c r="I7" s="3504"/>
      <c r="J7" s="3504"/>
      <c r="K7" s="3106"/>
      <c r="L7" s="2935"/>
      <c r="M7" s="2444"/>
      <c r="N7" s="2250"/>
      <c r="O7" s="2250"/>
      <c r="P7" s="2250"/>
      <c r="Q7" s="2250"/>
      <c r="R7" s="2250"/>
    </row>
    <row r="8" spans="1:43" s="2251" customFormat="1" ht="18" customHeight="1">
      <c r="A8" s="2249"/>
      <c r="B8" s="3576"/>
      <c r="C8" s="3577"/>
      <c r="D8" s="3198"/>
      <c r="E8" s="3353"/>
      <c r="F8" s="3353"/>
      <c r="G8" s="3468"/>
      <c r="H8" s="3468"/>
      <c r="I8" s="3505"/>
      <c r="J8" s="3505"/>
      <c r="K8" s="3107"/>
      <c r="L8" s="2936"/>
      <c r="M8" s="2445"/>
      <c r="N8" s="2254"/>
      <c r="O8" s="2250"/>
      <c r="P8" s="2250"/>
      <c r="Q8" s="2250"/>
      <c r="R8" s="2250"/>
    </row>
    <row r="9" spans="1:43" s="2251" customFormat="1" ht="18" customHeight="1">
      <c r="A9" s="2249"/>
      <c r="B9" s="2255"/>
      <c r="C9" s="2256"/>
      <c r="D9" s="2256"/>
      <c r="E9" s="2256"/>
      <c r="F9" s="2256"/>
      <c r="G9" s="2256"/>
      <c r="H9" s="2256"/>
      <c r="I9" s="2256"/>
      <c r="J9" s="2256"/>
      <c r="K9" s="2256"/>
      <c r="L9" s="2256"/>
      <c r="M9" s="2256"/>
      <c r="N9" s="2254"/>
      <c r="O9" s="2250"/>
      <c r="P9" s="2250"/>
      <c r="Q9" s="2250"/>
      <c r="R9" s="2250"/>
    </row>
    <row r="10" spans="1:43" s="2262" customFormat="1" ht="15.6">
      <c r="A10" s="2257"/>
      <c r="B10" s="2257"/>
      <c r="C10" s="2258"/>
      <c r="D10" s="2997" t="s">
        <v>1490</v>
      </c>
      <c r="E10" s="2997"/>
      <c r="F10" s="3494" t="s">
        <v>1519</v>
      </c>
      <c r="G10" s="2997"/>
      <c r="H10" s="2997" t="s">
        <v>1577</v>
      </c>
      <c r="I10" s="2997"/>
      <c r="J10" s="2997">
        <v>2018</v>
      </c>
      <c r="K10" s="2259"/>
      <c r="L10" s="2259"/>
      <c r="M10" s="2260"/>
      <c r="N10" s="2261"/>
      <c r="O10" s="2261"/>
      <c r="P10" s="2261"/>
      <c r="Q10" s="2261"/>
      <c r="R10" s="2261"/>
    </row>
    <row r="11" spans="1:43" ht="15.6">
      <c r="A11" s="2263"/>
      <c r="B11" s="2263"/>
      <c r="C11" s="2264"/>
      <c r="D11" s="2265" t="s">
        <v>1491</v>
      </c>
      <c r="E11" s="2888"/>
      <c r="F11" s="3007" t="s">
        <v>1520</v>
      </c>
      <c r="G11" s="2888"/>
      <c r="H11" s="2265" t="s">
        <v>1578</v>
      </c>
      <c r="I11" s="2888"/>
      <c r="J11" s="2265" t="s">
        <v>136</v>
      </c>
      <c r="K11" s="2888"/>
      <c r="L11" s="2888"/>
      <c r="M11" s="2266" t="s">
        <v>1459</v>
      </c>
    </row>
    <row r="12" spans="1:43">
      <c r="A12" s="2263"/>
      <c r="B12" s="2263"/>
      <c r="C12" s="2264"/>
      <c r="D12" s="2264"/>
      <c r="E12" s="2264"/>
      <c r="F12" s="2264"/>
      <c r="G12" s="2264"/>
      <c r="H12" s="2264"/>
      <c r="I12" s="2264"/>
      <c r="J12" s="2264"/>
      <c r="K12" s="2267"/>
      <c r="L12" s="2264"/>
      <c r="M12" s="2268"/>
    </row>
    <row r="13" spans="1:43" s="2262" customFormat="1" ht="15.6">
      <c r="A13" s="2269"/>
      <c r="B13" s="2269" t="s">
        <v>485</v>
      </c>
      <c r="C13" s="2258"/>
      <c r="D13" s="2270">
        <v>12872408.470000001</v>
      </c>
      <c r="E13" s="2270"/>
      <c r="F13" s="2270">
        <f>D49</f>
        <v>426.75</v>
      </c>
      <c r="G13" s="2270"/>
      <c r="H13" s="2270">
        <f>F49</f>
        <v>2221.29</v>
      </c>
      <c r="I13" s="2270"/>
      <c r="J13" s="2270">
        <f>H49</f>
        <v>574.77</v>
      </c>
      <c r="K13" s="2943"/>
      <c r="L13" s="2270"/>
      <c r="M13" s="2270">
        <v>12872408.470000001</v>
      </c>
      <c r="N13" s="2261"/>
      <c r="O13" s="2261"/>
      <c r="P13" s="2261"/>
      <c r="Q13" s="2261"/>
      <c r="R13" s="2261"/>
      <c r="S13" s="2272"/>
      <c r="T13" s="2272"/>
      <c r="U13" s="2272"/>
      <c r="V13" s="2272"/>
      <c r="W13" s="2272"/>
      <c r="X13" s="2272"/>
      <c r="Y13" s="2272"/>
      <c r="Z13" s="2272"/>
      <c r="AA13" s="2272"/>
      <c r="AB13" s="2272"/>
      <c r="AC13" s="2272"/>
      <c r="AD13" s="2273"/>
      <c r="AE13" s="2273"/>
      <c r="AF13" s="2273"/>
      <c r="AG13" s="2273"/>
      <c r="AH13" s="2273"/>
      <c r="AI13" s="2273"/>
      <c r="AJ13" s="2273"/>
      <c r="AK13" s="2273"/>
      <c r="AL13" s="2273"/>
      <c r="AM13" s="2273"/>
      <c r="AN13" s="2273"/>
      <c r="AO13" s="2273"/>
      <c r="AP13" s="2273"/>
      <c r="AQ13" s="2273"/>
    </row>
    <row r="14" spans="1:43" s="2262" customFormat="1" ht="15.6">
      <c r="A14" s="2269"/>
      <c r="B14" s="2269"/>
      <c r="C14" s="2258"/>
      <c r="D14" s="2270"/>
      <c r="E14" s="2270"/>
      <c r="F14" s="2270"/>
      <c r="G14" s="2270"/>
      <c r="H14" s="2270"/>
      <c r="I14" s="2270"/>
      <c r="J14" s="2270"/>
      <c r="K14" s="2943"/>
      <c r="L14" s="2270"/>
      <c r="M14" s="2271"/>
      <c r="N14" s="2261"/>
      <c r="O14" s="2261"/>
      <c r="P14" s="2261"/>
      <c r="Q14" s="2261"/>
      <c r="R14" s="2261"/>
      <c r="S14" s="2272"/>
      <c r="T14" s="2272"/>
      <c r="U14" s="2272"/>
      <c r="V14" s="2272"/>
      <c r="W14" s="2272"/>
      <c r="X14" s="2272"/>
      <c r="Y14" s="2272"/>
      <c r="Z14" s="2272"/>
      <c r="AA14" s="2272"/>
      <c r="AB14" s="2272"/>
      <c r="AC14" s="2272"/>
      <c r="AD14" s="2273"/>
      <c r="AE14" s="2273"/>
      <c r="AF14" s="2273"/>
      <c r="AG14" s="2273"/>
      <c r="AH14" s="2273"/>
      <c r="AI14" s="2273"/>
      <c r="AJ14" s="2273"/>
      <c r="AK14" s="2273"/>
      <c r="AL14" s="2273"/>
      <c r="AM14" s="2273"/>
      <c r="AN14" s="2273"/>
      <c r="AO14" s="2273"/>
      <c r="AP14" s="2273"/>
      <c r="AQ14" s="2273"/>
    </row>
    <row r="15" spans="1:43" ht="15.6">
      <c r="A15" s="2263"/>
      <c r="B15" s="2269" t="s">
        <v>14</v>
      </c>
      <c r="C15" s="2264"/>
      <c r="D15" s="2264"/>
      <c r="E15" s="2264"/>
      <c r="F15" s="2264"/>
      <c r="G15" s="2264"/>
      <c r="H15" s="2264"/>
      <c r="I15" s="2264"/>
      <c r="J15" s="2264"/>
      <c r="K15" s="2942"/>
      <c r="L15" s="2264"/>
      <c r="M15" s="2267"/>
    </row>
    <row r="16" spans="1:43">
      <c r="A16" s="2263"/>
      <c r="B16" s="2274" t="s">
        <v>590</v>
      </c>
      <c r="C16" s="2264"/>
      <c r="D16" s="2275">
        <v>4703.8999999999996</v>
      </c>
      <c r="E16" s="2275"/>
      <c r="F16" s="2275">
        <v>3245.73</v>
      </c>
      <c r="G16" s="2275"/>
      <c r="H16" s="2275">
        <v>4405.3599999999997</v>
      </c>
      <c r="I16" s="2275"/>
      <c r="J16" s="2275">
        <v>532.63</v>
      </c>
      <c r="K16" s="2944"/>
      <c r="L16" s="2275">
        <v>1788.93</v>
      </c>
      <c r="M16" s="2276">
        <f>ROUND(SUM(D16:J16),2)</f>
        <v>12887.62</v>
      </c>
    </row>
    <row r="17" spans="1:23" s="2262" customFormat="1" ht="15.6">
      <c r="A17" s="2269"/>
      <c r="B17" s="2269" t="s">
        <v>154</v>
      </c>
      <c r="C17" s="2258"/>
      <c r="D17" s="3076">
        <f>ROUND(SUM(D16:D16),2)</f>
        <v>4703.8999999999996</v>
      </c>
      <c r="E17" s="2278"/>
      <c r="F17" s="3076">
        <f>ROUND(SUM(F16:F16),2)</f>
        <v>3245.73</v>
      </c>
      <c r="G17" s="2278"/>
      <c r="H17" s="3076">
        <f>ROUND(SUM(H16:H16),2)</f>
        <v>4405.3599999999997</v>
      </c>
      <c r="I17" s="2278"/>
      <c r="J17" s="3076">
        <f>ROUND(SUM(J16:J16),2)</f>
        <v>532.63</v>
      </c>
      <c r="K17" s="2945"/>
      <c r="L17" s="2278"/>
      <c r="M17" s="2277">
        <f>ROUND(SUM(M16:M16),2)</f>
        <v>12887.62</v>
      </c>
      <c r="N17" s="2261"/>
      <c r="O17" s="2261"/>
      <c r="P17" s="2261"/>
      <c r="Q17" s="2261"/>
      <c r="R17" s="2261"/>
    </row>
    <row r="18" spans="1:23">
      <c r="A18" s="2263"/>
      <c r="B18" s="2263"/>
      <c r="C18" s="2264"/>
      <c r="D18" s="2275"/>
      <c r="E18" s="2275"/>
      <c r="F18" s="2275"/>
      <c r="G18" s="2275"/>
      <c r="H18" s="2275"/>
      <c r="I18" s="2275"/>
      <c r="J18" s="2275"/>
      <c r="K18" s="2944"/>
      <c r="L18" s="2275"/>
      <c r="M18" s="2279"/>
    </row>
    <row r="19" spans="1:23" ht="15.6">
      <c r="A19" s="2263"/>
      <c r="B19" s="2269" t="s">
        <v>1030</v>
      </c>
      <c r="C19" s="2264"/>
      <c r="D19" s="2275"/>
      <c r="E19" s="2275"/>
      <c r="F19" s="2275"/>
      <c r="G19" s="2275"/>
      <c r="H19" s="2275"/>
      <c r="I19" s="2275"/>
      <c r="J19" s="2275"/>
      <c r="K19" s="2944"/>
      <c r="L19" s="2275"/>
      <c r="M19" s="2276"/>
    </row>
    <row r="20" spans="1:23">
      <c r="A20" s="2263"/>
      <c r="B20" s="2274" t="s">
        <v>608</v>
      </c>
      <c r="C20" s="2264"/>
      <c r="D20" s="2275">
        <v>-218578479.58000001</v>
      </c>
      <c r="E20" s="2275"/>
      <c r="F20" s="2275">
        <v>-253513970.50999999</v>
      </c>
      <c r="G20" s="2275"/>
      <c r="H20" s="2275">
        <v>-204103303.34999999</v>
      </c>
      <c r="I20" s="2275"/>
      <c r="J20" s="2275">
        <v>-66352639.100000001</v>
      </c>
      <c r="K20" s="2944"/>
      <c r="L20" s="2275">
        <v>-319857721</v>
      </c>
      <c r="M20" s="2276">
        <f>ROUND(SUM(D20:J20),2)</f>
        <v>-742548392.53999996</v>
      </c>
    </row>
    <row r="21" spans="1:23">
      <c r="A21" s="2263"/>
      <c r="B21" s="2274" t="s">
        <v>609</v>
      </c>
      <c r="C21" s="2264"/>
      <c r="D21" s="2275">
        <v>0</v>
      </c>
      <c r="E21" s="2275"/>
      <c r="F21" s="2275">
        <v>0</v>
      </c>
      <c r="G21" s="2275"/>
      <c r="H21" s="2275">
        <v>0</v>
      </c>
      <c r="I21" s="2275"/>
      <c r="J21" s="2275">
        <v>0</v>
      </c>
      <c r="K21" s="2944"/>
      <c r="L21" s="2275"/>
      <c r="M21" s="2276">
        <f>ROUND(SUM(D21:J21),2)</f>
        <v>0</v>
      </c>
    </row>
    <row r="22" spans="1:23">
      <c r="A22" s="2263"/>
      <c r="B22" s="2274" t="s">
        <v>610</v>
      </c>
      <c r="C22" s="2264"/>
      <c r="D22" s="3038">
        <v>1253689.1399999999</v>
      </c>
      <c r="E22" s="3038"/>
      <c r="F22" s="3038">
        <v>0</v>
      </c>
      <c r="G22" s="3038"/>
      <c r="H22" s="3038">
        <v>1644459.91</v>
      </c>
      <c r="I22" s="3038"/>
      <c r="J22" s="3038">
        <v>977232.41</v>
      </c>
      <c r="K22" s="2944"/>
      <c r="L22" s="2275">
        <v>-2944491.34</v>
      </c>
      <c r="M22" s="2276">
        <f>ROUND(SUM(D22:J22),2)</f>
        <v>3875381.46</v>
      </c>
    </row>
    <row r="23" spans="1:23" s="2262" customFormat="1" ht="15.6">
      <c r="A23" s="2269"/>
      <c r="B23" s="2280" t="s">
        <v>1051</v>
      </c>
      <c r="C23" s="2258"/>
      <c r="D23" s="2998">
        <f>ROUND(SUM(D20:D22),2)</f>
        <v>-217324790.44</v>
      </c>
      <c r="E23" s="2278"/>
      <c r="F23" s="2998">
        <f>ROUND(SUM(F20:F22),2)</f>
        <v>-253513970.50999999</v>
      </c>
      <c r="G23" s="2278"/>
      <c r="H23" s="2998">
        <f>ROUND(SUM(H20:H22),2)</f>
        <v>-202458843.44</v>
      </c>
      <c r="I23" s="2278"/>
      <c r="J23" s="2998">
        <f>ROUND(SUM(J20:J22),2)</f>
        <v>-65375406.689999998</v>
      </c>
      <c r="K23" s="2945"/>
      <c r="L23" s="2278"/>
      <c r="M23" s="2281">
        <f>ROUND(SUM(M19:M22),2)</f>
        <v>-738673011.08000004</v>
      </c>
      <c r="N23" s="2261"/>
      <c r="O23" s="2261"/>
      <c r="P23" s="2261"/>
      <c r="Q23" s="2261"/>
      <c r="R23" s="2261"/>
    </row>
    <row r="24" spans="1:23">
      <c r="A24" s="2263"/>
      <c r="B24" s="2282"/>
      <c r="C24" s="2264"/>
      <c r="D24" s="2276"/>
      <c r="E24" s="2276"/>
      <c r="F24" s="2276"/>
      <c r="G24" s="2276"/>
      <c r="H24" s="2276"/>
      <c r="I24" s="2276"/>
      <c r="J24" s="2276"/>
      <c r="K24" s="2944"/>
      <c r="L24" s="2276"/>
      <c r="M24" s="2279"/>
    </row>
    <row r="25" spans="1:23" s="2262" customFormat="1" ht="15.6">
      <c r="A25" s="2269"/>
      <c r="B25" s="2269" t="s">
        <v>1321</v>
      </c>
      <c r="C25" s="2258"/>
      <c r="D25" s="2293">
        <f>ROUND(+D17+D23,2)</f>
        <v>-217320086.53999999</v>
      </c>
      <c r="E25" s="2283"/>
      <c r="F25" s="2293">
        <f>ROUND(+F17+F23,2)</f>
        <v>-253510724.78</v>
      </c>
      <c r="G25" s="2283"/>
      <c r="H25" s="2293">
        <f>ROUND(+H17+H23,2)</f>
        <v>-202454438.08000001</v>
      </c>
      <c r="I25" s="2283"/>
      <c r="J25" s="2293">
        <f>ROUND(+J17+J23,2)</f>
        <v>-65374874.060000002</v>
      </c>
      <c r="K25" s="2946"/>
      <c r="L25" s="2283"/>
      <c r="M25" s="2283">
        <f>ROUND(+M17+M23,2)</f>
        <v>-738660123.46000004</v>
      </c>
      <c r="N25" s="2261"/>
      <c r="O25" s="2261"/>
      <c r="P25" s="2261"/>
      <c r="Q25" s="2261"/>
      <c r="R25" s="2261"/>
    </row>
    <row r="26" spans="1:23">
      <c r="A26" s="2263"/>
      <c r="B26" s="2263"/>
      <c r="C26" s="2264"/>
      <c r="D26" s="2276"/>
      <c r="E26" s="2276"/>
      <c r="F26" s="2276"/>
      <c r="G26" s="2276"/>
      <c r="H26" s="2276"/>
      <c r="I26" s="2276"/>
      <c r="J26" s="2276"/>
      <c r="K26" s="2944"/>
      <c r="L26" s="2276"/>
      <c r="M26" s="2279"/>
      <c r="N26" s="2248"/>
      <c r="O26" s="2248"/>
      <c r="P26" s="2248"/>
      <c r="Q26" s="2248"/>
      <c r="R26" s="2248"/>
      <c r="S26" s="2284"/>
      <c r="T26" s="2284"/>
      <c r="U26" s="2284"/>
      <c r="V26" s="2284"/>
      <c r="W26" s="2284"/>
    </row>
    <row r="27" spans="1:23" ht="15.6">
      <c r="A27" s="2263"/>
      <c r="B27" s="2269" t="s">
        <v>46</v>
      </c>
      <c r="C27" s="2264"/>
      <c r="D27" s="2275"/>
      <c r="E27" s="2275"/>
      <c r="F27" s="2275"/>
      <c r="G27" s="2275"/>
      <c r="H27" s="2275"/>
      <c r="I27" s="2275"/>
      <c r="J27" s="2275"/>
      <c r="K27" s="2944"/>
      <c r="L27" s="2275"/>
      <c r="M27" s="2276"/>
      <c r="N27" s="2248"/>
      <c r="O27" s="2248"/>
      <c r="P27" s="2248"/>
      <c r="Q27" s="2248"/>
      <c r="R27" s="2248"/>
      <c r="S27" s="2284"/>
      <c r="T27" s="2284"/>
      <c r="U27" s="2284"/>
      <c r="V27" s="2284"/>
      <c r="W27" s="2284"/>
    </row>
    <row r="28" spans="1:23" ht="15.6">
      <c r="A28" s="2263"/>
      <c r="B28" s="2269" t="s">
        <v>969</v>
      </c>
      <c r="C28" s="2264"/>
      <c r="D28" s="2275"/>
      <c r="E28" s="2275"/>
      <c r="F28" s="2275"/>
      <c r="G28" s="2275"/>
      <c r="H28" s="2275"/>
      <c r="I28" s="2275"/>
      <c r="J28" s="2275"/>
      <c r="K28" s="2944"/>
      <c r="L28" s="2275"/>
      <c r="M28" s="2276"/>
      <c r="N28" s="2248"/>
      <c r="O28" s="2248"/>
      <c r="P28" s="2248"/>
      <c r="Q28" s="2248"/>
      <c r="R28" s="2248"/>
      <c r="S28" s="2284"/>
      <c r="T28" s="2284"/>
      <c r="U28" s="2284"/>
      <c r="V28" s="2284"/>
      <c r="W28" s="2284"/>
    </row>
    <row r="29" spans="1:23">
      <c r="A29" s="2263"/>
      <c r="B29" s="2274" t="s">
        <v>611</v>
      </c>
      <c r="C29" s="2264"/>
      <c r="D29" s="2275">
        <v>0</v>
      </c>
      <c r="E29" s="2275"/>
      <c r="F29" s="2275">
        <v>0</v>
      </c>
      <c r="G29" s="2275"/>
      <c r="H29" s="2275">
        <v>0</v>
      </c>
      <c r="I29" s="2275"/>
      <c r="J29" s="2275">
        <v>0</v>
      </c>
      <c r="K29" s="2944"/>
      <c r="L29" s="2275"/>
      <c r="M29" s="2276">
        <f>ROUND(SUM(D29:J29),2)</f>
        <v>0</v>
      </c>
      <c r="N29" s="2248"/>
      <c r="O29" s="2248"/>
      <c r="P29" s="2248"/>
      <c r="Q29" s="2248"/>
      <c r="R29" s="2248"/>
      <c r="S29" s="2284"/>
      <c r="T29" s="2284"/>
      <c r="U29" s="2284"/>
      <c r="V29" s="2284"/>
      <c r="W29" s="2284"/>
    </row>
    <row r="30" spans="1:23">
      <c r="A30" s="2263"/>
      <c r="B30" s="2274" t="s">
        <v>601</v>
      </c>
      <c r="C30" s="2264"/>
      <c r="D30" s="2275">
        <v>0</v>
      </c>
      <c r="E30" s="2275"/>
      <c r="F30" s="2275">
        <v>0</v>
      </c>
      <c r="G30" s="2275"/>
      <c r="H30" s="2275">
        <v>0</v>
      </c>
      <c r="I30" s="2275"/>
      <c r="J30" s="2275">
        <v>0</v>
      </c>
      <c r="K30" s="2944"/>
      <c r="L30" s="2275"/>
      <c r="M30" s="2276">
        <f>ROUND(SUM(D30:J30),2)</f>
        <v>0</v>
      </c>
      <c r="N30" s="2248"/>
      <c r="O30" s="2248"/>
      <c r="P30" s="2248"/>
      <c r="Q30" s="2248"/>
      <c r="R30" s="2248"/>
      <c r="S30" s="2284"/>
      <c r="T30" s="2284"/>
      <c r="U30" s="2284"/>
      <c r="V30" s="2284"/>
      <c r="W30" s="2284"/>
    </row>
    <row r="31" spans="1:23" ht="15.6">
      <c r="A31" s="2263"/>
      <c r="B31" s="2269" t="s">
        <v>598</v>
      </c>
      <c r="C31" s="2264"/>
      <c r="D31" s="2275"/>
      <c r="E31" s="2275"/>
      <c r="F31" s="2275"/>
      <c r="G31" s="2275"/>
      <c r="H31" s="2275"/>
      <c r="I31" s="2275"/>
      <c r="J31" s="2275"/>
      <c r="K31" s="2944"/>
      <c r="L31" s="2275"/>
      <c r="M31" s="2276"/>
      <c r="N31" s="2248"/>
      <c r="O31" s="2248"/>
      <c r="P31" s="2248"/>
      <c r="Q31" s="2248"/>
      <c r="R31" s="2248"/>
      <c r="S31" s="2284"/>
      <c r="T31" s="2284"/>
      <c r="U31" s="2284"/>
      <c r="V31" s="2284"/>
      <c r="W31" s="2284"/>
    </row>
    <row r="32" spans="1:23">
      <c r="A32" s="2263"/>
      <c r="B32" s="2274" t="s">
        <v>612</v>
      </c>
      <c r="C32" s="2264"/>
      <c r="D32" s="2275">
        <v>107351454.93000001</v>
      </c>
      <c r="E32" s="2275"/>
      <c r="F32" s="2275">
        <v>134103231.01000001</v>
      </c>
      <c r="G32" s="2275"/>
      <c r="H32" s="2275">
        <v>100701651.68000001</v>
      </c>
      <c r="I32" s="2275"/>
      <c r="J32" s="2275">
        <v>33626319.549999997</v>
      </c>
      <c r="K32" s="2947"/>
      <c r="L32" s="2275">
        <v>154417162.58000001</v>
      </c>
      <c r="M32" s="2276">
        <f>ROUND(SUM(D32:J32),2)</f>
        <v>375782657.17000002</v>
      </c>
      <c r="N32" s="2248"/>
      <c r="O32" s="2248"/>
      <c r="P32" s="2248"/>
      <c r="Q32" s="2248"/>
      <c r="R32" s="2248"/>
      <c r="S32" s="2284"/>
      <c r="T32" s="2284"/>
      <c r="U32" s="2284"/>
      <c r="V32" s="2284"/>
      <c r="W32" s="2284"/>
    </row>
    <row r="33" spans="1:23">
      <c r="A33" s="2263"/>
      <c r="B33" s="2274" t="s">
        <v>613</v>
      </c>
      <c r="C33" s="2264"/>
      <c r="D33" s="2275">
        <v>3875569.74</v>
      </c>
      <c r="E33" s="2275"/>
      <c r="F33" s="2275">
        <v>-2311212</v>
      </c>
      <c r="G33" s="2275"/>
      <c r="H33" s="2275">
        <v>1055540.0900000001</v>
      </c>
      <c r="I33" s="2275"/>
      <c r="J33" s="2275">
        <v>-1877232.41</v>
      </c>
      <c r="K33" s="2947"/>
      <c r="L33" s="2275">
        <v>14987269.739999998</v>
      </c>
      <c r="M33" s="2276">
        <f>ROUND(SUM(D33:J33),2)</f>
        <v>742665.42</v>
      </c>
      <c r="N33" s="2248"/>
      <c r="O33" s="2248"/>
      <c r="P33" s="2248"/>
      <c r="Q33" s="2248"/>
      <c r="R33" s="2248"/>
      <c r="S33" s="2284"/>
      <c r="T33" s="2284"/>
      <c r="U33" s="2284"/>
      <c r="V33" s="2284"/>
      <c r="W33" s="2284"/>
    </row>
    <row r="34" spans="1:23">
      <c r="A34" s="2263"/>
      <c r="B34" s="2274" t="s">
        <v>614</v>
      </c>
      <c r="C34" s="2264"/>
      <c r="D34" s="2275">
        <v>0</v>
      </c>
      <c r="E34" s="2275"/>
      <c r="F34" s="2275">
        <v>0</v>
      </c>
      <c r="G34" s="2275"/>
      <c r="H34" s="2275">
        <v>0</v>
      </c>
      <c r="I34" s="2275"/>
      <c r="J34" s="2275">
        <v>0</v>
      </c>
      <c r="K34" s="2947"/>
      <c r="L34" s="2275">
        <v>-1019382.54</v>
      </c>
      <c r="M34" s="2276">
        <f>ROUND(SUM(D34:J34),2)</f>
        <v>0</v>
      </c>
      <c r="N34" s="2248"/>
      <c r="O34" s="2248"/>
      <c r="P34" s="2248"/>
      <c r="Q34" s="2248"/>
      <c r="R34" s="2248"/>
      <c r="S34" s="2284"/>
      <c r="T34" s="2284"/>
      <c r="U34" s="2284"/>
      <c r="V34" s="2284"/>
      <c r="W34" s="2284"/>
    </row>
    <row r="35" spans="1:23">
      <c r="A35" s="2263"/>
      <c r="B35" s="2274" t="s">
        <v>615</v>
      </c>
      <c r="C35" s="2264"/>
      <c r="D35" s="2275">
        <v>107351454.91</v>
      </c>
      <c r="E35" s="2275"/>
      <c r="F35" s="2275">
        <v>134103231</v>
      </c>
      <c r="G35" s="2275"/>
      <c r="H35" s="2275">
        <v>100701651.67</v>
      </c>
      <c r="I35" s="2275"/>
      <c r="J35" s="2275">
        <v>33626319.549999997</v>
      </c>
      <c r="K35" s="2947"/>
      <c r="L35" s="2275">
        <v>154417162.56</v>
      </c>
      <c r="M35" s="2276">
        <f>ROUND(SUM(D35:J35),2)</f>
        <v>375782657.13</v>
      </c>
      <c r="N35" s="2248"/>
      <c r="O35" s="2248"/>
      <c r="P35" s="2248"/>
      <c r="Q35" s="2248"/>
      <c r="R35" s="2248"/>
      <c r="S35" s="2284"/>
      <c r="T35" s="2284"/>
      <c r="U35" s="2284"/>
      <c r="V35" s="2284"/>
      <c r="W35" s="2284"/>
    </row>
    <row r="36" spans="1:23">
      <c r="A36" s="2263"/>
      <c r="B36" s="2274" t="s">
        <v>610</v>
      </c>
      <c r="C36" s="2264"/>
      <c r="D36" s="2286">
        <v>0</v>
      </c>
      <c r="E36" s="2285"/>
      <c r="F36" s="2286">
        <v>0</v>
      </c>
      <c r="G36" s="2285"/>
      <c r="H36" s="2286">
        <v>0</v>
      </c>
      <c r="I36" s="2285"/>
      <c r="J36" s="2286">
        <v>0</v>
      </c>
      <c r="K36" s="2947"/>
      <c r="L36" s="2285"/>
      <c r="M36" s="2276">
        <f>ROUND(SUM(D36:J36),2)</f>
        <v>0</v>
      </c>
      <c r="N36" s="2248"/>
      <c r="O36" s="2248"/>
      <c r="P36" s="2248"/>
      <c r="Q36" s="2248"/>
      <c r="R36" s="2248"/>
      <c r="S36" s="2284"/>
      <c r="T36" s="2284"/>
      <c r="U36" s="2284"/>
      <c r="V36" s="2284"/>
      <c r="W36" s="2284"/>
    </row>
    <row r="37" spans="1:23" s="2262" customFormat="1" ht="15.6">
      <c r="A37" s="2269"/>
      <c r="B37" s="2269" t="s">
        <v>600</v>
      </c>
      <c r="C37" s="2258"/>
      <c r="D37" s="3077">
        <f>ROUND(SUM(D29:D36),2)</f>
        <v>218578479.58000001</v>
      </c>
      <c r="E37" s="2278"/>
      <c r="F37" s="3077">
        <f>ROUND(SUM(F29:F36),2)</f>
        <v>265895250.00999999</v>
      </c>
      <c r="G37" s="2278"/>
      <c r="H37" s="3077">
        <f>ROUND(SUM(H29:H36),2)</f>
        <v>202458843.44</v>
      </c>
      <c r="I37" s="2278"/>
      <c r="J37" s="3077">
        <f>ROUND(SUM(J29:J36),2)</f>
        <v>65375406.689999998</v>
      </c>
      <c r="K37" s="2945"/>
      <c r="L37" s="2278"/>
      <c r="M37" s="2287">
        <f>ROUND(SUM(M29:M36),2)</f>
        <v>752307979.72000003</v>
      </c>
      <c r="N37" s="2288"/>
      <c r="O37" s="2288"/>
      <c r="P37" s="2288"/>
      <c r="Q37" s="2288"/>
      <c r="R37" s="2288"/>
      <c r="S37" s="2289"/>
      <c r="T37" s="2289"/>
      <c r="U37" s="2289"/>
      <c r="V37" s="2289"/>
      <c r="W37" s="2289"/>
    </row>
    <row r="38" spans="1:23">
      <c r="A38" s="2263"/>
      <c r="B38" s="2263"/>
      <c r="C38" s="2264"/>
      <c r="D38" s="2275"/>
      <c r="E38" s="2275"/>
      <c r="F38" s="2275"/>
      <c r="G38" s="2275"/>
      <c r="H38" s="2275"/>
      <c r="I38" s="2275"/>
      <c r="J38" s="2275"/>
      <c r="K38" s="2944"/>
      <c r="L38" s="2275"/>
      <c r="M38" s="2276"/>
      <c r="N38" s="2248"/>
      <c r="O38" s="2248"/>
      <c r="P38" s="2248"/>
      <c r="Q38" s="2248"/>
      <c r="R38" s="2248"/>
      <c r="S38" s="2284"/>
      <c r="T38" s="2284"/>
      <c r="U38" s="2284"/>
      <c r="V38" s="2284"/>
      <c r="W38" s="2284"/>
    </row>
    <row r="39" spans="1:23" ht="15.6">
      <c r="A39" s="2263"/>
      <c r="B39" s="2269" t="s">
        <v>1028</v>
      </c>
      <c r="C39" s="2264"/>
      <c r="D39" s="2275"/>
      <c r="E39" s="2275"/>
      <c r="F39" s="2275"/>
      <c r="G39" s="2275"/>
      <c r="H39" s="2275"/>
      <c r="I39" s="2275"/>
      <c r="J39" s="2275"/>
      <c r="K39" s="2944"/>
      <c r="L39" s="2275"/>
      <c r="M39" s="2276"/>
      <c r="N39" s="2248"/>
      <c r="O39" s="2248"/>
      <c r="P39" s="2248"/>
      <c r="Q39" s="2248"/>
      <c r="R39" s="2248"/>
      <c r="S39" s="2284"/>
      <c r="T39" s="2284"/>
      <c r="U39" s="2284"/>
      <c r="V39" s="2284"/>
      <c r="W39" s="2284"/>
    </row>
    <row r="40" spans="1:23">
      <c r="A40" s="2263"/>
      <c r="B40" s="2263" t="s">
        <v>611</v>
      </c>
      <c r="C40" s="2264"/>
      <c r="D40" s="2290">
        <v>0</v>
      </c>
      <c r="E40" s="2290"/>
      <c r="F40" s="2290">
        <v>0</v>
      </c>
      <c r="G40" s="2290"/>
      <c r="H40" s="2290">
        <v>0</v>
      </c>
      <c r="I40" s="2290"/>
      <c r="J40" s="2290">
        <v>0</v>
      </c>
      <c r="K40" s="2948"/>
      <c r="L40" s="2290"/>
      <c r="M40" s="2276">
        <f>ROUND(SUM(D40:J40),2)</f>
        <v>0</v>
      </c>
      <c r="N40" s="2248"/>
      <c r="O40" s="2248"/>
      <c r="P40" s="2248"/>
      <c r="Q40" s="2248"/>
      <c r="R40" s="2248"/>
      <c r="S40" s="2284"/>
      <c r="T40" s="2284"/>
      <c r="U40" s="2284"/>
      <c r="V40" s="2284"/>
      <c r="W40" s="2284"/>
    </row>
    <row r="41" spans="1:23">
      <c r="A41" s="2263"/>
      <c r="B41" s="2263" t="s">
        <v>601</v>
      </c>
      <c r="C41" s="2264"/>
      <c r="D41" s="2276">
        <v>0</v>
      </c>
      <c r="E41" s="2276"/>
      <c r="F41" s="2276">
        <v>0</v>
      </c>
      <c r="G41" s="2276"/>
      <c r="H41" s="2276">
        <v>0</v>
      </c>
      <c r="I41" s="2276"/>
      <c r="J41" s="2276">
        <v>0</v>
      </c>
      <c r="K41" s="2944"/>
      <c r="L41" s="2276"/>
      <c r="M41" s="2276">
        <f>ROUND(SUM(D41:J41),2)</f>
        <v>0</v>
      </c>
      <c r="N41" s="2248"/>
      <c r="O41" s="2248"/>
      <c r="P41" s="2248"/>
      <c r="Q41" s="2248"/>
      <c r="R41" s="2248"/>
      <c r="S41" s="2284"/>
      <c r="T41" s="2284"/>
      <c r="U41" s="2284"/>
      <c r="V41" s="2284"/>
      <c r="W41" s="2284"/>
    </row>
    <row r="42" spans="1:23" ht="15.6">
      <c r="A42" s="2263"/>
      <c r="B42" s="2269" t="s">
        <v>1029</v>
      </c>
      <c r="C42" s="2264"/>
      <c r="D42" s="2275"/>
      <c r="E42" s="2275"/>
      <c r="F42" s="2275"/>
      <c r="G42" s="2275"/>
      <c r="H42" s="2275"/>
      <c r="I42" s="2275"/>
      <c r="J42" s="2275"/>
      <c r="K42" s="2944"/>
      <c r="L42" s="2275"/>
      <c r="M42" s="2291"/>
      <c r="N42" s="2248"/>
      <c r="O42" s="2248"/>
      <c r="P42" s="2248"/>
      <c r="Q42" s="2248"/>
      <c r="R42" s="2248"/>
      <c r="S42" s="2284"/>
      <c r="T42" s="2284"/>
      <c r="U42" s="2284"/>
      <c r="V42" s="2284"/>
      <c r="W42" s="2284"/>
    </row>
    <row r="43" spans="1:23">
      <c r="A43" s="2263"/>
      <c r="B43" s="2274" t="s">
        <v>616</v>
      </c>
      <c r="C43" s="2264"/>
      <c r="D43" s="2292">
        <f>-6303.17-14124071.59</f>
        <v>-14130374.76</v>
      </c>
      <c r="E43" s="2276"/>
      <c r="F43" s="2292">
        <v>-12382730.689999999</v>
      </c>
      <c r="G43" s="2276"/>
      <c r="H43" s="2292">
        <v>-6051.88</v>
      </c>
      <c r="I43" s="2276"/>
      <c r="J43" s="2292">
        <v>-574.77</v>
      </c>
      <c r="K43" s="2944"/>
      <c r="L43" s="2275">
        <v>-2019</v>
      </c>
      <c r="M43" s="2276">
        <f>ROUND(SUM(D43:J43),2)</f>
        <v>-26519732.100000001</v>
      </c>
      <c r="N43" s="2248"/>
      <c r="O43" s="2248"/>
      <c r="P43" s="2248"/>
      <c r="Q43" s="2248"/>
      <c r="R43" s="2248"/>
      <c r="S43" s="2284"/>
      <c r="T43" s="2284"/>
      <c r="U43" s="2284"/>
      <c r="V43" s="2284"/>
      <c r="W43" s="2284"/>
    </row>
    <row r="44" spans="1:23" s="2262" customFormat="1" ht="15.6">
      <c r="A44" s="2269"/>
      <c r="B44" s="2269" t="s">
        <v>602</v>
      </c>
      <c r="C44" s="2258"/>
      <c r="D44" s="3077">
        <f>ROUND(SUM(D40:D43),2)</f>
        <v>-14130374.76</v>
      </c>
      <c r="E44" s="2278"/>
      <c r="F44" s="3077">
        <f>ROUND(SUM(F40:F43),2)</f>
        <v>-12382730.689999999</v>
      </c>
      <c r="G44" s="2278"/>
      <c r="H44" s="3077">
        <f>ROUND(SUM(H40:H43),2)</f>
        <v>-6051.88</v>
      </c>
      <c r="I44" s="2278"/>
      <c r="J44" s="3077">
        <f>ROUND(SUM(J40:J43),2)</f>
        <v>-574.77</v>
      </c>
      <c r="K44" s="2945"/>
      <c r="L44" s="2278"/>
      <c r="M44" s="2287">
        <f>ROUND(SUM(M40:M43),2)</f>
        <v>-26519732.100000001</v>
      </c>
      <c r="N44" s="2288"/>
      <c r="O44" s="2288"/>
      <c r="P44" s="2288"/>
      <c r="Q44" s="2288"/>
      <c r="R44" s="2288"/>
      <c r="S44" s="2289"/>
      <c r="T44" s="2289"/>
      <c r="U44" s="2289"/>
      <c r="V44" s="2289"/>
      <c r="W44" s="2289"/>
    </row>
    <row r="45" spans="1:23">
      <c r="A45" s="2263"/>
      <c r="B45" s="2263"/>
      <c r="C45" s="2264"/>
      <c r="D45" s="2275"/>
      <c r="E45" s="2275"/>
      <c r="F45" s="2275"/>
      <c r="G45" s="2275"/>
      <c r="H45" s="2275"/>
      <c r="I45" s="2275"/>
      <c r="J45" s="2275"/>
      <c r="K45" s="2944"/>
      <c r="L45" s="2275"/>
      <c r="M45" s="2276"/>
      <c r="N45" s="2248"/>
      <c r="O45" s="2248"/>
      <c r="P45" s="2248"/>
      <c r="Q45" s="2248"/>
      <c r="R45" s="2248"/>
      <c r="S45" s="2284"/>
      <c r="T45" s="2284"/>
      <c r="U45" s="2284"/>
      <c r="V45" s="2284"/>
      <c r="W45" s="2284"/>
    </row>
    <row r="46" spans="1:23" ht="15.6">
      <c r="A46" s="2263"/>
      <c r="B46" s="2269" t="s">
        <v>617</v>
      </c>
      <c r="C46" s="2264"/>
      <c r="D46" s="2275"/>
      <c r="E46" s="2275"/>
      <c r="F46" s="2275"/>
      <c r="G46" s="2275"/>
      <c r="H46" s="2275"/>
      <c r="I46" s="2275"/>
      <c r="J46" s="2275"/>
      <c r="K46" s="2944"/>
      <c r="L46" s="2275"/>
      <c r="M46" s="2276"/>
      <c r="N46" s="2248"/>
      <c r="O46" s="2248"/>
      <c r="P46" s="2248"/>
      <c r="Q46" s="2248"/>
      <c r="R46" s="2248"/>
      <c r="S46" s="2284"/>
      <c r="T46" s="2284"/>
      <c r="U46" s="2284"/>
      <c r="V46" s="2284"/>
      <c r="W46" s="2284"/>
    </row>
    <row r="47" spans="1:23" ht="15.6">
      <c r="A47" s="2263"/>
      <c r="B47" s="2269" t="s">
        <v>618</v>
      </c>
      <c r="C47" s="2264"/>
      <c r="D47" s="2293">
        <f>ROUND(+D25+D37+D44,2)</f>
        <v>-12871981.720000001</v>
      </c>
      <c r="E47" s="2283"/>
      <c r="F47" s="2293">
        <f>ROUND(+F25+F37+F44,2)</f>
        <v>1794.54</v>
      </c>
      <c r="G47" s="2283"/>
      <c r="H47" s="2293">
        <f>ROUND(+H25+H37+H44,2)</f>
        <v>-1646.52</v>
      </c>
      <c r="I47" s="2283"/>
      <c r="J47" s="2293">
        <f>ROUND(+J25+J37+J44,2)</f>
        <v>-42.14</v>
      </c>
      <c r="K47" s="2946"/>
      <c r="L47" s="2283"/>
      <c r="M47" s="2293">
        <f>ROUND(+M25+M37+M44,2)</f>
        <v>-12871875.84</v>
      </c>
      <c r="N47" s="2248"/>
      <c r="O47" s="2248"/>
      <c r="P47" s="2248"/>
      <c r="Q47" s="2248"/>
      <c r="R47" s="2248"/>
      <c r="S47" s="2284"/>
      <c r="T47" s="2284"/>
      <c r="U47" s="2284"/>
      <c r="V47" s="2284"/>
      <c r="W47" s="2284"/>
    </row>
    <row r="48" spans="1:23">
      <c r="A48" s="2263"/>
      <c r="B48" s="2263"/>
      <c r="C48" s="2264"/>
      <c r="D48" s="2264"/>
      <c r="E48" s="2264"/>
      <c r="F48" s="2264"/>
      <c r="G48" s="2264"/>
      <c r="H48" s="2264"/>
      <c r="I48" s="2264"/>
      <c r="J48" s="2264"/>
      <c r="K48" s="2942"/>
      <c r="L48" s="2264"/>
      <c r="M48" s="2294"/>
      <c r="N48" s="2248"/>
      <c r="O48" s="2248"/>
      <c r="P48" s="2248"/>
      <c r="Q48" s="2248"/>
      <c r="R48" s="2248"/>
      <c r="S48" s="2284"/>
      <c r="T48" s="2284"/>
      <c r="U48" s="2284"/>
      <c r="V48" s="2284"/>
      <c r="W48" s="2284"/>
    </row>
    <row r="49" spans="1:48" s="2262" customFormat="1" ht="16.2" thickBot="1">
      <c r="A49" s="2269"/>
      <c r="B49" s="2269" t="s">
        <v>605</v>
      </c>
      <c r="C49" s="2295"/>
      <c r="D49" s="3078">
        <f>ROUND(D13+D47,2)</f>
        <v>426.75</v>
      </c>
      <c r="E49" s="2297"/>
      <c r="F49" s="3078">
        <f>ROUND(F13+F47,2)</f>
        <v>2221.29</v>
      </c>
      <c r="G49" s="2297"/>
      <c r="H49" s="3078">
        <f>ROUND(H13+H47,2)</f>
        <v>574.77</v>
      </c>
      <c r="I49" s="2297"/>
      <c r="J49" s="3078">
        <f>ROUND(J13+J47,2)</f>
        <v>532.63</v>
      </c>
      <c r="K49" s="2949"/>
      <c r="L49" s="2297"/>
      <c r="M49" s="2296">
        <f>ROUND(M13+M47,2)</f>
        <v>532.63</v>
      </c>
      <c r="N49" s="2261"/>
      <c r="O49" s="2261"/>
      <c r="P49" s="2261"/>
      <c r="Q49" s="2261"/>
      <c r="R49" s="2261"/>
      <c r="S49" s="2298"/>
      <c r="T49" s="2298"/>
      <c r="U49" s="2298"/>
      <c r="V49" s="2298"/>
      <c r="W49" s="2298"/>
      <c r="X49" s="2298"/>
      <c r="Y49" s="2298"/>
      <c r="Z49" s="2298"/>
      <c r="AA49" s="2298"/>
      <c r="AB49" s="2298"/>
      <c r="AC49" s="2298"/>
      <c r="AD49" s="2298"/>
      <c r="AE49" s="2298"/>
      <c r="AF49" s="2298"/>
      <c r="AG49" s="2298"/>
      <c r="AH49" s="2298"/>
      <c r="AI49" s="2298"/>
      <c r="AJ49" s="2298"/>
      <c r="AK49" s="2298"/>
      <c r="AL49" s="2298"/>
      <c r="AM49" s="2298"/>
      <c r="AN49" s="2298"/>
      <c r="AO49" s="2298"/>
      <c r="AP49" s="2298"/>
      <c r="AQ49" s="2298"/>
      <c r="AR49" s="2298"/>
      <c r="AS49" s="2298"/>
      <c r="AT49" s="2298"/>
      <c r="AU49" s="2298"/>
      <c r="AV49" s="2298"/>
    </row>
    <row r="50" spans="1:48" ht="15.6" thickTop="1">
      <c r="A50" s="2263"/>
      <c r="B50" s="2263" t="s">
        <v>15</v>
      </c>
      <c r="C50" s="2264"/>
      <c r="D50" s="2264"/>
      <c r="E50" s="2264"/>
      <c r="F50" s="2264"/>
      <c r="G50" s="2264"/>
      <c r="H50" s="2264"/>
      <c r="I50" s="2264"/>
      <c r="J50" s="2264"/>
      <c r="K50" s="2264"/>
      <c r="L50" s="2264"/>
      <c r="M50" s="2264"/>
    </row>
    <row r="51" spans="1:48">
      <c r="B51" s="2299" t="s">
        <v>606</v>
      </c>
    </row>
    <row r="52" spans="1:48">
      <c r="B52" s="2300"/>
    </row>
    <row r="60" spans="1:48" ht="15.6">
      <c r="B60" s="2301"/>
      <c r="C60" s="2302"/>
      <c r="D60" s="2302"/>
      <c r="E60" s="2302"/>
      <c r="F60" s="2302"/>
      <c r="G60" s="2302"/>
      <c r="H60" s="2302"/>
      <c r="I60" s="2302"/>
      <c r="J60" s="2302"/>
      <c r="K60" s="2302"/>
      <c r="L60" s="2302"/>
    </row>
    <row r="62" spans="1:48" ht="15.6">
      <c r="B62" s="2303"/>
      <c r="C62" s="226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7"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8" customWidth="1"/>
    <col min="2" max="2" width="1.6328125" style="768" customWidth="1"/>
    <col min="3" max="3" width="10.90625" style="768" customWidth="1"/>
    <col min="4" max="4" width="1.6328125" style="768" customWidth="1"/>
    <col min="5" max="5" width="10.90625" style="768" customWidth="1"/>
    <col min="6" max="6" width="1.6328125" style="768" customWidth="1"/>
    <col min="7" max="7" width="10.90625" style="768" customWidth="1"/>
    <col min="8" max="8" width="1.6328125" style="768" customWidth="1"/>
    <col min="9" max="9" width="10.90625" style="768" customWidth="1"/>
    <col min="10" max="10" width="1.6328125" style="768" customWidth="1"/>
    <col min="11" max="11" width="10.90625" style="768" customWidth="1"/>
    <col min="12" max="12" width="1.6328125" style="768" customWidth="1"/>
    <col min="13" max="13" width="14.90625" style="768" bestFit="1" customWidth="1"/>
    <col min="14" max="14" width="1.6328125" style="768" customWidth="1"/>
    <col min="15" max="15" width="10.90625" style="768" customWidth="1"/>
    <col min="16" max="16" width="1.6328125" style="768" customWidth="1"/>
    <col min="17" max="17" width="13.54296875" style="768" bestFit="1" customWidth="1"/>
    <col min="18" max="18" width="1.6328125" style="768" customWidth="1"/>
    <col min="19" max="19" width="13.54296875" style="768" bestFit="1" customWidth="1"/>
    <col min="20" max="20" width="1.6328125" style="768" customWidth="1"/>
    <col min="21" max="21" width="11" style="768" customWidth="1"/>
    <col min="22" max="22" width="1.6328125" style="768" customWidth="1"/>
    <col min="23" max="23" width="10.90625" style="768" customWidth="1"/>
    <col min="24" max="24" width="1.6328125" style="768" customWidth="1"/>
    <col min="25" max="25" width="10.90625" style="768" customWidth="1"/>
    <col min="26" max="26" width="1.6328125" style="768" customWidth="1"/>
    <col min="27" max="27" width="14.1796875" style="775" customWidth="1"/>
    <col min="28" max="28" width="3.6328125" style="768" customWidth="1"/>
    <col min="29" max="29" width="5.6328125" style="768" customWidth="1"/>
    <col min="30" max="30" width="10.36328125" style="768" customWidth="1"/>
    <col min="31" max="31" width="2.6328125" style="768" customWidth="1"/>
    <col min="32" max="16384" width="8.90625" style="768"/>
  </cols>
  <sheetData>
    <row r="1" spans="1:29" ht="15">
      <c r="A1" s="1124" t="s">
        <v>1066</v>
      </c>
    </row>
    <row r="2" spans="1:29" ht="21">
      <c r="A2" s="765"/>
      <c r="B2" s="2237"/>
      <c r="C2" s="2237"/>
      <c r="D2" s="2237"/>
      <c r="E2" s="2237"/>
      <c r="F2" s="2237"/>
      <c r="G2" s="2237"/>
      <c r="H2" s="2237"/>
      <c r="I2" s="2237"/>
      <c r="J2" s="2237"/>
      <c r="K2" s="2237"/>
      <c r="L2" s="766"/>
      <c r="M2" s="766"/>
      <c r="N2" s="2237"/>
      <c r="O2" s="2237"/>
      <c r="P2" s="2237"/>
      <c r="Q2" s="2237"/>
      <c r="R2" s="2237"/>
      <c r="S2" s="2237"/>
      <c r="T2" s="2237"/>
      <c r="U2" s="2237"/>
      <c r="V2" s="2237"/>
      <c r="W2" s="2237"/>
      <c r="X2" s="2237"/>
      <c r="Y2" s="2237"/>
      <c r="Z2" s="2237"/>
      <c r="AA2" s="2238"/>
      <c r="AB2" s="2237"/>
      <c r="AC2" s="767"/>
    </row>
    <row r="3" spans="1:29" ht="15">
      <c r="A3"/>
      <c r="B3" s="1135"/>
      <c r="C3" s="1135"/>
      <c r="D3" s="1135"/>
      <c r="E3" s="1135"/>
      <c r="F3" s="1135"/>
      <c r="G3" s="1135"/>
      <c r="H3" s="1135"/>
      <c r="I3" s="1135"/>
      <c r="J3" s="1135"/>
      <c r="K3" s="1135"/>
      <c r="L3"/>
      <c r="M3" s="1135"/>
      <c r="N3" s="1135"/>
      <c r="O3" s="1135"/>
      <c r="P3" s="1135"/>
      <c r="Q3" s="1135"/>
      <c r="R3" s="1135"/>
      <c r="S3" s="1135"/>
      <c r="T3" s="1135"/>
      <c r="U3" s="1135"/>
      <c r="V3" s="1135"/>
      <c r="W3" s="1135"/>
      <c r="X3" s="1135"/>
      <c r="Y3" s="1135"/>
      <c r="Z3" s="1135"/>
      <c r="AA3" s="768"/>
      <c r="AB3" s="2237"/>
      <c r="AC3" s="767"/>
    </row>
    <row r="4" spans="1:29" ht="21">
      <c r="A4" s="1143" t="s">
        <v>0</v>
      </c>
      <c r="B4" s="1135"/>
      <c r="C4" s="1135"/>
      <c r="D4" s="1135"/>
      <c r="E4" s="1135"/>
      <c r="F4" s="1135"/>
      <c r="G4" s="1135"/>
      <c r="H4" s="1135"/>
      <c r="I4" s="1135"/>
      <c r="J4" s="1135"/>
      <c r="K4" s="1135"/>
      <c r="L4"/>
      <c r="M4" s="1135"/>
      <c r="N4" s="1135"/>
      <c r="O4" s="1135"/>
      <c r="P4" s="1135"/>
      <c r="Q4" s="1135"/>
      <c r="R4" s="1135"/>
      <c r="S4" s="1135"/>
      <c r="T4" s="1135"/>
      <c r="U4" s="1135"/>
      <c r="V4" s="1135"/>
      <c r="W4" s="1135"/>
      <c r="X4" s="1135"/>
      <c r="Y4" s="1135"/>
      <c r="Z4" s="1135"/>
      <c r="AA4" s="2239" t="s">
        <v>607</v>
      </c>
      <c r="AB4" s="2237"/>
      <c r="AC4" s="767"/>
    </row>
    <row r="5" spans="1:29" s="767" customFormat="1" ht="17.399999999999999">
      <c r="A5" s="1143" t="s">
        <v>620</v>
      </c>
      <c r="B5" s="1136"/>
      <c r="C5" s="1136"/>
      <c r="D5" s="1136"/>
      <c r="E5" s="1136"/>
      <c r="F5" s="1136"/>
      <c r="G5" s="1136"/>
      <c r="H5" s="1136"/>
      <c r="I5" s="1136"/>
      <c r="J5" s="1135"/>
      <c r="K5" s="1135"/>
      <c r="L5" s="1135"/>
      <c r="M5" s="1135"/>
      <c r="N5" s="1135"/>
      <c r="O5" s="1135"/>
      <c r="P5" s="1135"/>
      <c r="Q5" s="1135"/>
      <c r="R5" s="1135"/>
      <c r="S5" s="1135"/>
      <c r="T5" s="1135"/>
      <c r="U5" s="1135"/>
      <c r="V5" s="1135"/>
      <c r="W5" s="1135"/>
      <c r="X5" s="1135"/>
      <c r="Y5" s="1135"/>
      <c r="Z5" s="1135"/>
      <c r="AA5" s="1135"/>
      <c r="AB5" s="2237"/>
    </row>
    <row r="6" spans="1:29" s="767" customFormat="1" ht="17.399999999999999">
      <c r="A6" s="429" t="s">
        <v>1437</v>
      </c>
      <c r="B6" s="1136"/>
      <c r="C6" s="1136"/>
      <c r="D6" s="1136"/>
      <c r="E6" s="1136"/>
      <c r="F6" s="1136"/>
      <c r="G6" s="1136"/>
      <c r="H6" s="1136"/>
      <c r="I6" s="1136"/>
      <c r="J6" s="1135"/>
      <c r="K6" s="1135"/>
      <c r="L6" s="1135"/>
      <c r="M6" s="1135"/>
      <c r="N6" s="1135"/>
      <c r="O6" s="1135"/>
      <c r="P6" s="1135"/>
      <c r="Q6" s="1135"/>
      <c r="R6" s="1135"/>
      <c r="S6" s="1135"/>
      <c r="T6" s="1135"/>
      <c r="U6" s="1135"/>
      <c r="V6" s="1135"/>
      <c r="W6" s="1135"/>
      <c r="X6" s="1135"/>
      <c r="Y6" s="1135"/>
      <c r="Z6" s="1135"/>
      <c r="AA6" s="1135"/>
      <c r="AB6" s="2237"/>
    </row>
    <row r="7" spans="1:29" s="767" customFormat="1" ht="17.399999999999999">
      <c r="A7" s="1143" t="s">
        <v>962</v>
      </c>
      <c r="B7" s="1137"/>
      <c r="C7" s="1137"/>
      <c r="D7" s="1137"/>
      <c r="E7" s="1137"/>
      <c r="F7" s="1137"/>
      <c r="G7" s="1137"/>
      <c r="H7" s="1137"/>
      <c r="I7" s="1137"/>
      <c r="J7"/>
      <c r="K7"/>
      <c r="L7"/>
      <c r="M7"/>
      <c r="N7"/>
      <c r="O7"/>
      <c r="P7"/>
      <c r="Q7"/>
      <c r="R7" s="1135"/>
      <c r="S7" s="1135"/>
      <c r="T7" s="1135"/>
      <c r="U7" s="1135"/>
      <c r="V7" s="1135"/>
      <c r="W7" s="1135"/>
      <c r="X7" s="1135"/>
      <c r="Y7" s="1135"/>
      <c r="Z7" s="1135"/>
      <c r="AA7"/>
      <c r="AB7" s="2237"/>
    </row>
    <row r="8" spans="1:29" s="767" customFormat="1" ht="15.6">
      <c r="A8" s="1138"/>
      <c r="B8" s="1137"/>
      <c r="C8" s="1432"/>
      <c r="D8" s="1432"/>
      <c r="E8" s="1432"/>
      <c r="F8" s="1432"/>
      <c r="G8" s="1432"/>
      <c r="H8" s="1432"/>
      <c r="I8" s="1432"/>
      <c r="J8" s="1201"/>
      <c r="K8" s="1201"/>
      <c r="L8" s="1201"/>
      <c r="M8" s="1201"/>
      <c r="N8" s="1201"/>
      <c r="O8" s="1201"/>
      <c r="P8" s="1201"/>
      <c r="Q8" s="1201"/>
      <c r="R8" s="1201"/>
      <c r="S8" s="1201"/>
      <c r="T8" s="1201"/>
      <c r="U8" s="1201"/>
      <c r="V8" s="1201"/>
      <c r="W8" s="1201"/>
      <c r="X8" s="1201"/>
      <c r="Y8" s="1201"/>
      <c r="Z8" s="1201"/>
      <c r="AA8" s="1201"/>
      <c r="AB8" s="2237"/>
    </row>
    <row r="9" spans="1:29" s="767" customFormat="1" ht="15.6">
      <c r="A9" s="1135"/>
      <c r="B9" s="1135"/>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2237"/>
    </row>
    <row r="10" spans="1:29" s="767" customFormat="1" ht="17.399999999999999">
      <c r="A10" s="1135"/>
      <c r="B10" s="1200"/>
      <c r="C10" s="1433">
        <v>2017</v>
      </c>
      <c r="D10" s="1433">
        <v>2016</v>
      </c>
      <c r="E10" s="1433">
        <v>2017</v>
      </c>
      <c r="F10" s="1433">
        <v>2016</v>
      </c>
      <c r="G10" s="1433">
        <v>2017</v>
      </c>
      <c r="H10" s="1433">
        <v>2016</v>
      </c>
      <c r="I10" s="1433">
        <v>2017</v>
      </c>
      <c r="J10" s="1433">
        <v>2016</v>
      </c>
      <c r="K10" s="1433">
        <v>2017</v>
      </c>
      <c r="L10" s="1433">
        <v>2016</v>
      </c>
      <c r="M10" s="1433">
        <v>2017</v>
      </c>
      <c r="N10" s="1433">
        <v>2016</v>
      </c>
      <c r="O10" s="1433">
        <v>2017</v>
      </c>
      <c r="P10" s="1433">
        <v>2016</v>
      </c>
      <c r="Q10" s="1433">
        <v>2017</v>
      </c>
      <c r="R10" s="1433">
        <v>2016</v>
      </c>
      <c r="S10" s="1433">
        <v>2017</v>
      </c>
      <c r="T10" s="1433"/>
      <c r="U10" s="1433">
        <v>2018</v>
      </c>
      <c r="V10" s="1433"/>
      <c r="W10" s="1433">
        <v>2018</v>
      </c>
      <c r="X10" s="1433"/>
      <c r="Y10" s="1433">
        <v>2018</v>
      </c>
      <c r="Z10" s="1143"/>
      <c r="AA10" s="1434" t="s">
        <v>1469</v>
      </c>
      <c r="AB10" s="2240"/>
    </row>
    <row r="11" spans="1:29" s="767" customFormat="1" ht="17.399999999999999">
      <c r="A11" s="1135"/>
      <c r="B11" s="1200"/>
      <c r="C11" s="1435" t="s">
        <v>127</v>
      </c>
      <c r="D11" s="1434"/>
      <c r="E11" s="1435" t="s">
        <v>128</v>
      </c>
      <c r="F11" s="1434"/>
      <c r="G11" s="1435" t="s">
        <v>129</v>
      </c>
      <c r="H11" s="1434"/>
      <c r="I11" s="1435" t="s">
        <v>130</v>
      </c>
      <c r="J11" s="1434"/>
      <c r="K11" s="1435" t="s">
        <v>131</v>
      </c>
      <c r="L11" s="1434"/>
      <c r="M11" s="1435" t="s">
        <v>146</v>
      </c>
      <c r="N11" s="1434"/>
      <c r="O11" s="1435" t="s">
        <v>147</v>
      </c>
      <c r="P11" s="1434"/>
      <c r="Q11" s="1435" t="s">
        <v>134</v>
      </c>
      <c r="R11" s="1434"/>
      <c r="S11" s="1435" t="s">
        <v>135</v>
      </c>
      <c r="T11" s="1434"/>
      <c r="U11" s="1435" t="s">
        <v>136</v>
      </c>
      <c r="V11" s="1434"/>
      <c r="W11" s="1435" t="s">
        <v>137</v>
      </c>
      <c r="X11" s="1434"/>
      <c r="Y11" s="1435" t="s">
        <v>190</v>
      </c>
      <c r="Z11" s="1143"/>
      <c r="AA11" s="1435" t="s">
        <v>621</v>
      </c>
      <c r="AB11" s="2237"/>
    </row>
    <row r="12" spans="1:29" s="767" customFormat="1" ht="17.399999999999999">
      <c r="A12"/>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2241"/>
      <c r="AC12" s="2242"/>
    </row>
    <row r="13" spans="1:29" s="770" customFormat="1" ht="17.399999999999999">
      <c r="A13" s="1201" t="s">
        <v>622</v>
      </c>
      <c r="B13" s="1200"/>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2241"/>
      <c r="AC13" s="769"/>
    </row>
    <row r="14" spans="1:29" s="770" customFormat="1" ht="17.399999999999999">
      <c r="A14" s="1135" t="s">
        <v>623</v>
      </c>
      <c r="B14" s="1200"/>
      <c r="C14" s="1472">
        <v>0</v>
      </c>
      <c r="D14" s="1472"/>
      <c r="E14" s="1472">
        <v>0</v>
      </c>
      <c r="F14" s="1472"/>
      <c r="G14" s="1473">
        <v>0</v>
      </c>
      <c r="H14" s="1472"/>
      <c r="I14" s="1473">
        <v>0</v>
      </c>
      <c r="J14" s="1474"/>
      <c r="K14" s="1473">
        <v>0</v>
      </c>
      <c r="L14" s="1472"/>
      <c r="M14" s="1473">
        <v>0</v>
      </c>
      <c r="N14" s="1474"/>
      <c r="O14" s="1473">
        <v>1</v>
      </c>
      <c r="P14" s="1474"/>
      <c r="Q14" s="1473">
        <v>0</v>
      </c>
      <c r="R14" s="1474"/>
      <c r="S14" s="1473">
        <v>0</v>
      </c>
      <c r="T14" s="1474"/>
      <c r="U14" s="1473">
        <v>0</v>
      </c>
      <c r="V14" s="1474"/>
      <c r="W14" s="1473"/>
      <c r="X14" s="1474"/>
      <c r="Y14" s="1473"/>
      <c r="Z14" s="1200"/>
      <c r="AA14" s="1486">
        <f>ROUND(SUM(C14:Z14),0)</f>
        <v>1</v>
      </c>
      <c r="AB14" s="2241"/>
      <c r="AC14" s="769"/>
    </row>
    <row r="15" spans="1:29" s="770" customFormat="1" ht="17.399999999999999">
      <c r="A15" s="1135" t="s">
        <v>624</v>
      </c>
      <c r="B15" s="1200"/>
      <c r="C15" s="1475">
        <v>1891</v>
      </c>
      <c r="D15" s="1476"/>
      <c r="E15" s="1476">
        <v>3913</v>
      </c>
      <c r="F15" s="1476"/>
      <c r="G15" s="1475">
        <v>53</v>
      </c>
      <c r="H15" s="1476"/>
      <c r="I15" s="1475">
        <v>197</v>
      </c>
      <c r="J15" s="1477"/>
      <c r="K15" s="1475">
        <v>0</v>
      </c>
      <c r="L15" s="1476"/>
      <c r="M15" s="1475">
        <v>0</v>
      </c>
      <c r="N15" s="1477"/>
      <c r="O15" s="1475">
        <v>120</v>
      </c>
      <c r="P15" s="1477"/>
      <c r="Q15" s="1478">
        <v>0</v>
      </c>
      <c r="R15" s="1477"/>
      <c r="S15" s="1478">
        <v>0</v>
      </c>
      <c r="T15" s="1477"/>
      <c r="U15" s="1478">
        <v>64</v>
      </c>
      <c r="V15" s="1477"/>
      <c r="W15" s="1478"/>
      <c r="X15" s="1477"/>
      <c r="Y15" s="1478"/>
      <c r="Z15" s="1200"/>
      <c r="AA15" s="1485">
        <f t="shared" ref="AA15:AA29" si="0">ROUND(SUM(C15:Z15),0)</f>
        <v>6238</v>
      </c>
      <c r="AB15" s="2241"/>
      <c r="AC15" s="769"/>
    </row>
    <row r="16" spans="1:29" s="770" customFormat="1" ht="17.399999999999999">
      <c r="A16" s="1135" t="s">
        <v>625</v>
      </c>
      <c r="B16" s="1200"/>
      <c r="C16" s="1475">
        <v>-1</v>
      </c>
      <c r="D16" s="1476"/>
      <c r="E16" s="1476">
        <v>0</v>
      </c>
      <c r="F16" s="1476"/>
      <c r="G16" s="1475">
        <v>0</v>
      </c>
      <c r="H16" s="1476"/>
      <c r="I16" s="1475">
        <v>1</v>
      </c>
      <c r="J16" s="1477"/>
      <c r="K16" s="1475">
        <v>4</v>
      </c>
      <c r="L16" s="1476"/>
      <c r="M16" s="1475">
        <v>0</v>
      </c>
      <c r="N16" s="1477"/>
      <c r="O16" s="1475">
        <v>0</v>
      </c>
      <c r="P16" s="1477"/>
      <c r="Q16" s="1478">
        <v>1</v>
      </c>
      <c r="R16" s="1477"/>
      <c r="S16" s="1478">
        <v>12</v>
      </c>
      <c r="T16" s="1477"/>
      <c r="U16" s="1478">
        <v>0</v>
      </c>
      <c r="V16" s="1477"/>
      <c r="W16" s="1478"/>
      <c r="X16" s="1477"/>
      <c r="Y16" s="1478"/>
      <c r="Z16" s="1200"/>
      <c r="AA16" s="1485">
        <f t="shared" si="0"/>
        <v>17</v>
      </c>
      <c r="AB16" s="2243"/>
      <c r="AC16" s="769"/>
    </row>
    <row r="17" spans="1:29" s="770" customFormat="1" ht="17.399999999999999">
      <c r="A17" s="1135" t="s">
        <v>1100</v>
      </c>
      <c r="B17" s="1200"/>
      <c r="C17" s="1479">
        <v>0</v>
      </c>
      <c r="D17" s="1476"/>
      <c r="E17" s="1478">
        <v>0</v>
      </c>
      <c r="F17" s="1476"/>
      <c r="G17" s="1475">
        <v>0</v>
      </c>
      <c r="H17" s="1476"/>
      <c r="I17" s="1475">
        <v>0</v>
      </c>
      <c r="J17" s="1477"/>
      <c r="K17" s="1475">
        <v>0</v>
      </c>
      <c r="L17" s="1476"/>
      <c r="M17" s="1475">
        <v>388</v>
      </c>
      <c r="N17" s="1477"/>
      <c r="O17" s="1475">
        <v>30</v>
      </c>
      <c r="P17" s="1477"/>
      <c r="Q17" s="1478">
        <v>115</v>
      </c>
      <c r="R17" s="1477"/>
      <c r="S17" s="1478">
        <v>0</v>
      </c>
      <c r="T17" s="1477"/>
      <c r="U17" s="1478">
        <v>719</v>
      </c>
      <c r="V17" s="1477"/>
      <c r="W17" s="1478"/>
      <c r="X17" s="1477"/>
      <c r="Y17" s="1478"/>
      <c r="Z17" s="1200"/>
      <c r="AA17" s="1485">
        <f t="shared" si="0"/>
        <v>1252</v>
      </c>
      <c r="AB17" s="2243"/>
      <c r="AC17" s="769"/>
    </row>
    <row r="18" spans="1:29" s="770" customFormat="1" ht="17.399999999999999">
      <c r="A18" s="1135" t="s">
        <v>626</v>
      </c>
      <c r="B18" s="1200"/>
      <c r="C18" s="1476"/>
      <c r="D18" s="1476"/>
      <c r="E18" s="1480"/>
      <c r="F18" s="1476"/>
      <c r="G18" s="1481"/>
      <c r="H18" s="1476"/>
      <c r="I18" s="1481"/>
      <c r="J18" s="1477"/>
      <c r="K18" s="1481"/>
      <c r="L18" s="1476"/>
      <c r="M18" s="1481"/>
      <c r="N18" s="1477"/>
      <c r="O18" s="1481"/>
      <c r="P18" s="1477"/>
      <c r="Q18" s="1480"/>
      <c r="R18" s="1477"/>
      <c r="S18" s="1480"/>
      <c r="T18" s="1477"/>
      <c r="U18" s="1480"/>
      <c r="V18" s="1477"/>
      <c r="W18" s="1480"/>
      <c r="X18" s="1477"/>
      <c r="Y18" s="1480"/>
      <c r="Z18" s="1200"/>
      <c r="AA18" s="1485"/>
      <c r="AB18" s="2243"/>
      <c r="AC18" s="769"/>
    </row>
    <row r="19" spans="1:29" s="770" customFormat="1" ht="17.399999999999999">
      <c r="A19" s="1135" t="s">
        <v>1108</v>
      </c>
      <c r="B19" s="1200"/>
      <c r="C19" s="1475">
        <v>61</v>
      </c>
      <c r="D19" s="1476"/>
      <c r="E19" s="1476">
        <v>470</v>
      </c>
      <c r="F19" s="1476"/>
      <c r="G19" s="1475">
        <v>949</v>
      </c>
      <c r="H19" s="1476"/>
      <c r="I19" s="1475">
        <v>340</v>
      </c>
      <c r="J19" s="1477"/>
      <c r="K19" s="1475">
        <v>700</v>
      </c>
      <c r="L19" s="1476"/>
      <c r="M19" s="1475">
        <v>468</v>
      </c>
      <c r="N19" s="1477"/>
      <c r="O19" s="1475">
        <v>2539</v>
      </c>
      <c r="P19" s="1477"/>
      <c r="Q19" s="1478">
        <v>354</v>
      </c>
      <c r="R19" s="1477"/>
      <c r="S19" s="1478">
        <v>0</v>
      </c>
      <c r="T19" s="1477"/>
      <c r="U19" s="1478">
        <v>0</v>
      </c>
      <c r="V19" s="1477"/>
      <c r="W19" s="1478"/>
      <c r="X19" s="1477"/>
      <c r="Y19" s="1478"/>
      <c r="Z19" s="1200"/>
      <c r="AA19" s="1485">
        <f t="shared" si="0"/>
        <v>5881</v>
      </c>
      <c r="AB19" s="2243"/>
      <c r="AC19" s="769"/>
    </row>
    <row r="20" spans="1:29" s="770" customFormat="1" ht="17.399999999999999">
      <c r="A20" s="1135" t="s">
        <v>627</v>
      </c>
      <c r="B20" s="1200"/>
      <c r="C20" s="1475">
        <v>0</v>
      </c>
      <c r="D20" s="1476"/>
      <c r="E20" s="1476">
        <v>0</v>
      </c>
      <c r="F20" s="1476"/>
      <c r="G20" s="1478">
        <v>0</v>
      </c>
      <c r="H20" s="1476"/>
      <c r="I20" s="1478">
        <v>0</v>
      </c>
      <c r="J20" s="1477"/>
      <c r="K20" s="1478">
        <v>0</v>
      </c>
      <c r="L20" s="1476"/>
      <c r="M20" s="1478">
        <v>0</v>
      </c>
      <c r="N20" s="1477"/>
      <c r="O20" s="1478">
        <v>0</v>
      </c>
      <c r="P20" s="1477"/>
      <c r="Q20" s="1478">
        <v>0</v>
      </c>
      <c r="R20" s="1477"/>
      <c r="S20" s="1478">
        <v>0</v>
      </c>
      <c r="T20" s="1477"/>
      <c r="U20" s="1478">
        <v>0</v>
      </c>
      <c r="V20" s="1477"/>
      <c r="W20" s="1478"/>
      <c r="X20" s="1477"/>
      <c r="Y20" s="1478"/>
      <c r="Z20" s="1200"/>
      <c r="AA20" s="1485">
        <f t="shared" si="0"/>
        <v>0</v>
      </c>
      <c r="AB20" s="2243"/>
      <c r="AC20" s="769"/>
    </row>
    <row r="21" spans="1:29" s="770" customFormat="1" ht="17.399999999999999">
      <c r="A21" s="1135" t="s">
        <v>628</v>
      </c>
      <c r="B21" s="1200"/>
      <c r="C21" s="1475">
        <v>0</v>
      </c>
      <c r="D21" s="1476"/>
      <c r="E21" s="1476">
        <v>0</v>
      </c>
      <c r="F21" s="1476"/>
      <c r="G21" s="1478">
        <v>0</v>
      </c>
      <c r="H21" s="1476"/>
      <c r="I21" s="1475">
        <v>0</v>
      </c>
      <c r="J21" s="1477"/>
      <c r="K21" s="1478">
        <v>0</v>
      </c>
      <c r="L21" s="1476"/>
      <c r="M21" s="1478">
        <v>0</v>
      </c>
      <c r="N21" s="1477"/>
      <c r="O21" s="1478">
        <v>0</v>
      </c>
      <c r="P21" s="1477"/>
      <c r="Q21" s="1478">
        <v>0</v>
      </c>
      <c r="R21" s="1477"/>
      <c r="S21" s="1478">
        <v>0</v>
      </c>
      <c r="T21" s="1477"/>
      <c r="U21" s="1478">
        <v>0</v>
      </c>
      <c r="V21" s="1477"/>
      <c r="W21" s="1478"/>
      <c r="X21" s="1477"/>
      <c r="Y21" s="1478"/>
      <c r="Z21" s="1200"/>
      <c r="AA21" s="1485">
        <f t="shared" si="0"/>
        <v>0</v>
      </c>
      <c r="AB21" s="2243"/>
      <c r="AC21" s="769"/>
    </row>
    <row r="22" spans="1:29" s="770" customFormat="1" ht="17.399999999999999">
      <c r="A22" s="1135" t="s">
        <v>629</v>
      </c>
      <c r="B22" s="1200"/>
      <c r="C22" s="1475">
        <v>16538</v>
      </c>
      <c r="D22" s="1476"/>
      <c r="E22" s="1476">
        <v>30372</v>
      </c>
      <c r="F22" s="1476"/>
      <c r="G22" s="1475">
        <v>25883</v>
      </c>
      <c r="H22" s="1476"/>
      <c r="I22" s="1475">
        <v>13661</v>
      </c>
      <c r="J22" s="1477"/>
      <c r="K22" s="1475">
        <v>35743</v>
      </c>
      <c r="L22" s="1476"/>
      <c r="M22" s="1475">
        <v>11261</v>
      </c>
      <c r="N22" s="1477"/>
      <c r="O22" s="1475">
        <v>51316</v>
      </c>
      <c r="P22" s="1477"/>
      <c r="Q22" s="1478">
        <v>14235</v>
      </c>
      <c r="R22" s="1477"/>
      <c r="S22" s="1478">
        <v>59649</v>
      </c>
      <c r="T22" s="1477"/>
      <c r="U22" s="1478">
        <v>30275</v>
      </c>
      <c r="V22" s="1477"/>
      <c r="W22" s="1478"/>
      <c r="X22" s="1477"/>
      <c r="Y22" s="1478"/>
      <c r="Z22" s="1200"/>
      <c r="AA22" s="1485">
        <f t="shared" si="0"/>
        <v>288933</v>
      </c>
      <c r="AB22" s="2243"/>
      <c r="AC22" s="769"/>
    </row>
    <row r="23" spans="1:29" s="770" customFormat="1" ht="17.399999999999999">
      <c r="A23" s="1135" t="s">
        <v>630</v>
      </c>
      <c r="B23" s="1200"/>
      <c r="C23" s="1475">
        <v>4984</v>
      </c>
      <c r="D23" s="1476"/>
      <c r="E23" s="1476">
        <v>8266</v>
      </c>
      <c r="F23" s="1476"/>
      <c r="G23" s="1475">
        <v>6734</v>
      </c>
      <c r="H23" s="1476"/>
      <c r="I23" s="1475">
        <v>5738</v>
      </c>
      <c r="J23" s="1477"/>
      <c r="K23" s="1475">
        <v>4474</v>
      </c>
      <c r="L23" s="1476"/>
      <c r="M23" s="1475">
        <v>3259</v>
      </c>
      <c r="N23" s="1477"/>
      <c r="O23" s="1475">
        <v>6369</v>
      </c>
      <c r="P23" s="1477"/>
      <c r="Q23" s="1478">
        <v>3625</v>
      </c>
      <c r="R23" s="1477"/>
      <c r="S23" s="1478">
        <v>6374</v>
      </c>
      <c r="T23" s="1477"/>
      <c r="U23" s="1478">
        <v>1811</v>
      </c>
      <c r="V23" s="1477"/>
      <c r="W23" s="1478"/>
      <c r="X23" s="1477"/>
      <c r="Y23" s="1478"/>
      <c r="Z23" s="1200"/>
      <c r="AA23" s="1485">
        <f t="shared" si="0"/>
        <v>51634</v>
      </c>
      <c r="AB23" s="2243"/>
      <c r="AC23" s="769"/>
    </row>
    <row r="24" spans="1:29" s="770" customFormat="1" ht="17.399999999999999">
      <c r="A24" s="1135" t="s">
        <v>631</v>
      </c>
      <c r="B24" s="1200"/>
      <c r="C24" s="1481">
        <v>0</v>
      </c>
      <c r="D24" s="1476"/>
      <c r="E24" s="1476">
        <v>0</v>
      </c>
      <c r="F24" s="1476"/>
      <c r="G24" s="1475">
        <v>0</v>
      </c>
      <c r="H24" s="1476"/>
      <c r="I24" s="1475">
        <v>0</v>
      </c>
      <c r="J24" s="1477"/>
      <c r="K24" s="1475">
        <v>0</v>
      </c>
      <c r="L24" s="1476"/>
      <c r="M24" s="1475">
        <v>442</v>
      </c>
      <c r="N24" s="1477"/>
      <c r="O24" s="1475">
        <v>0</v>
      </c>
      <c r="P24" s="1477"/>
      <c r="Q24" s="1478">
        <v>0</v>
      </c>
      <c r="R24" s="1477"/>
      <c r="S24" s="1478">
        <v>0</v>
      </c>
      <c r="T24" s="1477"/>
      <c r="U24" s="1478">
        <v>0</v>
      </c>
      <c r="V24" s="1477"/>
      <c r="W24" s="1478"/>
      <c r="X24" s="1477"/>
      <c r="Y24" s="1478"/>
      <c r="Z24" s="1200"/>
      <c r="AA24" s="1485">
        <f t="shared" si="0"/>
        <v>442</v>
      </c>
      <c r="AB24" s="2243"/>
      <c r="AC24" s="769"/>
    </row>
    <row r="25" spans="1:29" s="770" customFormat="1" ht="17.399999999999999">
      <c r="A25" s="1135" t="s">
        <v>632</v>
      </c>
      <c r="B25" s="1200"/>
      <c r="C25" s="1476">
        <v>526</v>
      </c>
      <c r="D25" s="1476"/>
      <c r="E25" s="1476">
        <v>11310</v>
      </c>
      <c r="F25" s="1476"/>
      <c r="G25" s="1475">
        <v>6108</v>
      </c>
      <c r="H25" s="1476"/>
      <c r="I25" s="1475">
        <v>3342</v>
      </c>
      <c r="J25" s="1477"/>
      <c r="K25" s="1475">
        <v>7448</v>
      </c>
      <c r="L25" s="1476"/>
      <c r="M25" s="1475">
        <v>2923</v>
      </c>
      <c r="N25" s="1477"/>
      <c r="O25" s="1475">
        <v>7340</v>
      </c>
      <c r="P25" s="1477"/>
      <c r="Q25" s="1478">
        <v>6376</v>
      </c>
      <c r="R25" s="1477"/>
      <c r="S25" s="1478">
        <v>3267</v>
      </c>
      <c r="T25" s="1477"/>
      <c r="U25" s="1478">
        <v>12680</v>
      </c>
      <c r="V25" s="1477"/>
      <c r="W25" s="1478"/>
      <c r="X25" s="1477"/>
      <c r="Y25" s="1478"/>
      <c r="Z25" s="1200"/>
      <c r="AA25" s="1485">
        <f t="shared" si="0"/>
        <v>61320</v>
      </c>
      <c r="AB25" s="2243"/>
      <c r="AC25" s="769"/>
    </row>
    <row r="26" spans="1:29" s="770" customFormat="1" ht="17.399999999999999">
      <c r="A26" s="1135" t="s">
        <v>633</v>
      </c>
      <c r="B26" s="1200"/>
      <c r="C26" s="1475">
        <v>3862</v>
      </c>
      <c r="D26" s="1476"/>
      <c r="E26" s="1476">
        <v>18208</v>
      </c>
      <c r="F26" s="1476"/>
      <c r="G26" s="1475">
        <v>10662</v>
      </c>
      <c r="H26" s="1476"/>
      <c r="I26" s="1475">
        <v>9111</v>
      </c>
      <c r="J26" s="1477"/>
      <c r="K26" s="1475">
        <v>17678</v>
      </c>
      <c r="L26" s="1476"/>
      <c r="M26" s="1475">
        <v>2156</v>
      </c>
      <c r="N26" s="1477"/>
      <c r="O26" s="1475">
        <v>15604</v>
      </c>
      <c r="P26" s="1477"/>
      <c r="Q26" s="1478">
        <v>10884</v>
      </c>
      <c r="R26" s="1477"/>
      <c r="S26" s="1478">
        <v>9432</v>
      </c>
      <c r="T26" s="1477"/>
      <c r="U26" s="1478">
        <v>7394</v>
      </c>
      <c r="V26" s="1477"/>
      <c r="W26" s="1478"/>
      <c r="X26" s="1477"/>
      <c r="Y26" s="1478"/>
      <c r="Z26" s="1200"/>
      <c r="AA26" s="1485">
        <f t="shared" si="0"/>
        <v>104991</v>
      </c>
      <c r="AB26" s="2243"/>
      <c r="AC26" s="769"/>
    </row>
    <row r="27" spans="1:29" s="770" customFormat="1" ht="17.399999999999999">
      <c r="A27" s="1135" t="s">
        <v>634</v>
      </c>
      <c r="B27" s="1200"/>
      <c r="C27" s="1481">
        <v>1063</v>
      </c>
      <c r="D27" s="1476"/>
      <c r="E27" s="1476">
        <v>1187</v>
      </c>
      <c r="F27" s="1476"/>
      <c r="G27" s="1475">
        <v>1251</v>
      </c>
      <c r="H27" s="1476"/>
      <c r="I27" s="1475">
        <v>759</v>
      </c>
      <c r="J27" s="1477"/>
      <c r="K27" s="1475">
        <v>1042</v>
      </c>
      <c r="L27" s="1476"/>
      <c r="M27" s="1475">
        <v>421</v>
      </c>
      <c r="N27" s="1477"/>
      <c r="O27" s="1475">
        <v>755</v>
      </c>
      <c r="P27" s="1477"/>
      <c r="Q27" s="1478">
        <v>841</v>
      </c>
      <c r="R27" s="1477"/>
      <c r="S27" s="1478">
        <v>915</v>
      </c>
      <c r="T27" s="1477"/>
      <c r="U27" s="1478">
        <v>1333</v>
      </c>
      <c r="V27" s="1477"/>
      <c r="W27" s="1478"/>
      <c r="X27" s="1477"/>
      <c r="Y27" s="1478"/>
      <c r="Z27" s="1200"/>
      <c r="AA27" s="1485">
        <f t="shared" si="0"/>
        <v>9567</v>
      </c>
      <c r="AB27" s="2243"/>
      <c r="AC27" s="769"/>
    </row>
    <row r="28" spans="1:29" s="770" customFormat="1" ht="17.399999999999999">
      <c r="A28" s="1135" t="s">
        <v>973</v>
      </c>
      <c r="B28" s="1200"/>
      <c r="C28" s="1479">
        <v>35</v>
      </c>
      <c r="D28" s="1476"/>
      <c r="E28" s="1479">
        <v>384</v>
      </c>
      <c r="F28" s="1476"/>
      <c r="G28" s="1475">
        <v>130</v>
      </c>
      <c r="H28" s="1476"/>
      <c r="I28" s="1475">
        <v>229</v>
      </c>
      <c r="J28" s="1477"/>
      <c r="K28" s="1475">
        <v>275</v>
      </c>
      <c r="L28" s="1476"/>
      <c r="M28" s="1475">
        <v>258</v>
      </c>
      <c r="N28" s="1477"/>
      <c r="O28" s="1475">
        <v>577</v>
      </c>
      <c r="P28" s="1477"/>
      <c r="Q28" s="1478">
        <v>191</v>
      </c>
      <c r="R28" s="1477"/>
      <c r="S28" s="1478">
        <v>591</v>
      </c>
      <c r="T28" s="1477"/>
      <c r="U28" s="1478">
        <v>541</v>
      </c>
      <c r="V28" s="1477"/>
      <c r="W28" s="1478"/>
      <c r="X28" s="1477"/>
      <c r="Y28" s="1478"/>
      <c r="Z28" s="1200"/>
      <c r="AA28" s="2631">
        <f>ROUND(SUM(C28:Z28),0)</f>
        <v>3211</v>
      </c>
      <c r="AB28" s="2243"/>
      <c r="AC28" s="769"/>
    </row>
    <row r="29" spans="1:29" s="770" customFormat="1" ht="17.399999999999999">
      <c r="A29" s="1135" t="s">
        <v>635</v>
      </c>
      <c r="B29" s="1200"/>
      <c r="C29" s="1476">
        <v>161</v>
      </c>
      <c r="D29" s="1476"/>
      <c r="E29" s="1476">
        <v>2554</v>
      </c>
      <c r="F29" s="1476"/>
      <c r="G29" s="1482">
        <v>659</v>
      </c>
      <c r="H29" s="1476"/>
      <c r="I29" s="1482">
        <v>1323</v>
      </c>
      <c r="J29" s="1477"/>
      <c r="K29" s="1482">
        <v>1036</v>
      </c>
      <c r="L29" s="1476"/>
      <c r="M29" s="1482">
        <v>0</v>
      </c>
      <c r="N29" s="1477"/>
      <c r="O29" s="1475">
        <v>1945</v>
      </c>
      <c r="P29" s="1477"/>
      <c r="Q29" s="1483">
        <v>530</v>
      </c>
      <c r="R29" s="1477"/>
      <c r="S29" s="1483">
        <v>411</v>
      </c>
      <c r="T29" s="1477"/>
      <c r="U29" s="1483">
        <v>536</v>
      </c>
      <c r="V29" s="1477"/>
      <c r="W29" s="1483"/>
      <c r="X29" s="1477"/>
      <c r="Y29" s="1483"/>
      <c r="Z29" s="1200"/>
      <c r="AA29" s="1485">
        <f t="shared" si="0"/>
        <v>9155</v>
      </c>
      <c r="AB29" s="2243"/>
      <c r="AC29" s="769"/>
    </row>
    <row r="30" spans="1:29" s="770" customFormat="1" ht="17.399999999999999">
      <c r="A30" s="1201" t="s">
        <v>972</v>
      </c>
      <c r="B30" s="1200"/>
      <c r="C30" s="1487">
        <f>ROUND(SUM(C14:C29),0)</f>
        <v>29120</v>
      </c>
      <c r="D30" s="1135"/>
      <c r="E30" s="1487">
        <f>ROUND(SUM(E14:E29),0)</f>
        <v>76664</v>
      </c>
      <c r="F30" s="1135"/>
      <c r="G30" s="1487">
        <f>ROUND(SUM(G14:G29),0)</f>
        <v>52429</v>
      </c>
      <c r="H30" s="1135"/>
      <c r="I30" s="1487">
        <f>ROUND(SUM(I14:I29),0)</f>
        <v>34701</v>
      </c>
      <c r="J30" s="1135"/>
      <c r="K30" s="1487">
        <f>ROUND(SUM(K14:K29),0)</f>
        <v>68400</v>
      </c>
      <c r="L30" s="1135"/>
      <c r="M30" s="1487">
        <f>ROUND(SUM(M14:M29),0)</f>
        <v>21576</v>
      </c>
      <c r="N30" s="1135"/>
      <c r="O30" s="1487">
        <f>ROUND(SUM(O14:O29),0)</f>
        <v>86596</v>
      </c>
      <c r="P30" s="1135"/>
      <c r="Q30" s="1487">
        <f>ROUND(SUM(Q14:Q29),0)</f>
        <v>37152</v>
      </c>
      <c r="R30" s="1135"/>
      <c r="S30" s="1487">
        <f>ROUND(SUM(S14:S29),0)</f>
        <v>80651</v>
      </c>
      <c r="T30" s="1135"/>
      <c r="U30" s="1487">
        <f>ROUND(SUM(U14:U29),0)</f>
        <v>55353</v>
      </c>
      <c r="V30" s="1135"/>
      <c r="W30" s="1487">
        <f>ROUND(SUM(W14:W29),0)</f>
        <v>0</v>
      </c>
      <c r="X30" s="1135"/>
      <c r="Y30" s="1487">
        <f>ROUND(SUM(Y14:Y29),0)</f>
        <v>0</v>
      </c>
      <c r="Z30" s="1135"/>
      <c r="AA30" s="1487">
        <f>ROUND(SUM(AA14:AA29),0)</f>
        <v>542642</v>
      </c>
      <c r="AB30" s="2243"/>
      <c r="AC30" s="769"/>
    </row>
    <row r="31" spans="1:29" s="770" customFormat="1" ht="17.399999999999999">
      <c r="A31"/>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135"/>
      <c r="AB31" s="2243"/>
      <c r="AC31" s="769"/>
    </row>
    <row r="32" spans="1:29" s="770" customFormat="1" ht="17.399999999999999">
      <c r="A32" s="1135"/>
      <c r="B32" s="1200"/>
      <c r="C32" s="1200"/>
      <c r="D32" s="1200"/>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135"/>
      <c r="AB32" s="2243"/>
      <c r="AC32" s="769"/>
    </row>
    <row r="33" spans="1:29" s="770" customFormat="1" ht="17.399999999999999">
      <c r="A33" s="1201" t="s">
        <v>636</v>
      </c>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135"/>
      <c r="AB33" s="2243"/>
      <c r="AC33" s="769"/>
    </row>
    <row r="34" spans="1:29" s="770" customFormat="1" ht="17.399999999999999">
      <c r="A34" s="1135" t="s">
        <v>626</v>
      </c>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135"/>
      <c r="AB34" s="2243"/>
      <c r="AC34" s="769"/>
    </row>
    <row r="35" spans="1:29" s="770" customFormat="1" ht="17.399999999999999">
      <c r="A35" s="1135" t="s">
        <v>637</v>
      </c>
      <c r="B35" s="1200"/>
      <c r="C35" s="1478">
        <v>0</v>
      </c>
      <c r="D35" s="1476"/>
      <c r="E35" s="1478">
        <v>0</v>
      </c>
      <c r="F35" s="1476"/>
      <c r="G35" s="1478">
        <v>0</v>
      </c>
      <c r="H35" s="1476"/>
      <c r="I35" s="1478">
        <v>0</v>
      </c>
      <c r="J35" s="1477"/>
      <c r="K35" s="1478">
        <v>0</v>
      </c>
      <c r="L35" s="1476"/>
      <c r="M35" s="1478">
        <v>0</v>
      </c>
      <c r="N35" s="1477"/>
      <c r="O35" s="1478">
        <v>0</v>
      </c>
      <c r="P35" s="1477"/>
      <c r="Q35" s="1478">
        <v>0</v>
      </c>
      <c r="R35" s="1477"/>
      <c r="S35" s="1478">
        <v>0</v>
      </c>
      <c r="T35" s="1477"/>
      <c r="U35" s="1478">
        <v>0</v>
      </c>
      <c r="V35" s="1477"/>
      <c r="W35" s="1478"/>
      <c r="X35" s="1477"/>
      <c r="Y35" s="1478"/>
      <c r="Z35" s="1200"/>
      <c r="AA35" s="1485">
        <f>ROUND(SUM(C35:Z35),0)</f>
        <v>0</v>
      </c>
      <c r="AB35" s="2243"/>
      <c r="AC35" s="769"/>
    </row>
    <row r="36" spans="1:29" s="770" customFormat="1" ht="17.399999999999999">
      <c r="A36" s="1135" t="s">
        <v>1305</v>
      </c>
      <c r="B36" s="1200"/>
      <c r="C36" s="1476">
        <v>0</v>
      </c>
      <c r="D36" s="1476"/>
      <c r="E36" s="1478">
        <v>150</v>
      </c>
      <c r="F36" s="1476"/>
      <c r="G36" s="1478">
        <v>1</v>
      </c>
      <c r="H36" s="1476"/>
      <c r="I36" s="1475">
        <v>0</v>
      </c>
      <c r="J36" s="1477"/>
      <c r="K36" s="1478">
        <v>0</v>
      </c>
      <c r="L36" s="1476"/>
      <c r="M36" s="1475">
        <v>0</v>
      </c>
      <c r="N36" s="1477"/>
      <c r="O36" s="1475">
        <v>0</v>
      </c>
      <c r="P36" s="1477"/>
      <c r="Q36" s="1478">
        <v>0</v>
      </c>
      <c r="R36" s="1477"/>
      <c r="S36" s="1478">
        <v>200</v>
      </c>
      <c r="T36" s="1477"/>
      <c r="U36" s="1478">
        <v>209</v>
      </c>
      <c r="V36" s="1477"/>
      <c r="W36" s="1478"/>
      <c r="X36" s="1477"/>
      <c r="Y36" s="1478"/>
      <c r="Z36" s="1200"/>
      <c r="AA36" s="1485">
        <f>ROUND(SUM(C36:Z36),0)</f>
        <v>560</v>
      </c>
      <c r="AB36" s="2243"/>
      <c r="AC36" s="769"/>
    </row>
    <row r="37" spans="1:29" s="770" customFormat="1" ht="17.399999999999999">
      <c r="A37" s="1135" t="s">
        <v>638</v>
      </c>
      <c r="B37" s="1200"/>
      <c r="C37" s="1478">
        <v>0</v>
      </c>
      <c r="D37" s="1476"/>
      <c r="E37" s="1478">
        <v>0</v>
      </c>
      <c r="F37" s="1476"/>
      <c r="G37" s="1478">
        <v>0</v>
      </c>
      <c r="H37" s="1476"/>
      <c r="I37" s="1478">
        <v>0</v>
      </c>
      <c r="J37" s="1477"/>
      <c r="K37" s="1478">
        <v>0</v>
      </c>
      <c r="L37" s="1476"/>
      <c r="M37" s="1478">
        <v>0</v>
      </c>
      <c r="N37" s="1477"/>
      <c r="O37" s="1478">
        <v>0</v>
      </c>
      <c r="P37" s="1477"/>
      <c r="Q37" s="1478">
        <v>0</v>
      </c>
      <c r="R37" s="1477"/>
      <c r="S37" s="1478">
        <v>0</v>
      </c>
      <c r="T37" s="1477"/>
      <c r="U37" s="1478">
        <v>0</v>
      </c>
      <c r="V37" s="1477"/>
      <c r="W37" s="1478"/>
      <c r="X37" s="1477"/>
      <c r="Y37" s="1478"/>
      <c r="Z37" s="1200"/>
      <c r="AA37" s="1485">
        <f>ROUND(SUM(C37:Z37),0)</f>
        <v>0</v>
      </c>
      <c r="AB37" s="2243"/>
      <c r="AC37" s="769"/>
    </row>
    <row r="38" spans="1:29" s="770" customFormat="1" ht="17.399999999999999">
      <c r="A38" s="1135" t="s">
        <v>1100</v>
      </c>
      <c r="B38" s="1200"/>
      <c r="C38" s="1478">
        <v>500</v>
      </c>
      <c r="D38" s="1476"/>
      <c r="E38" s="1478">
        <v>0</v>
      </c>
      <c r="F38" s="1481"/>
      <c r="G38" s="1478">
        <v>0</v>
      </c>
      <c r="H38" s="1481"/>
      <c r="I38" s="1478">
        <v>0</v>
      </c>
      <c r="J38" s="1484"/>
      <c r="K38" s="1478">
        <v>0</v>
      </c>
      <c r="L38" s="1481"/>
      <c r="M38" s="1475">
        <v>0</v>
      </c>
      <c r="N38" s="1484"/>
      <c r="O38" s="1478">
        <v>0</v>
      </c>
      <c r="P38" s="1484"/>
      <c r="Q38" s="1478">
        <v>0</v>
      </c>
      <c r="R38" s="1484"/>
      <c r="S38" s="1478">
        <v>500</v>
      </c>
      <c r="T38" s="1484"/>
      <c r="U38" s="1478">
        <v>500</v>
      </c>
      <c r="V38" s="1484"/>
      <c r="W38" s="1478"/>
      <c r="X38" s="1484"/>
      <c r="Y38" s="1478"/>
      <c r="Z38" s="1200"/>
      <c r="AA38" s="1485">
        <f>ROUND(SUM(C38:Z38),0)</f>
        <v>1500</v>
      </c>
      <c r="AB38" s="2243"/>
      <c r="AC38" s="769"/>
    </row>
    <row r="39" spans="1:29" s="767" customFormat="1" ht="17.399999999999999">
      <c r="A39" s="1135" t="s">
        <v>639</v>
      </c>
      <c r="B39" s="1200"/>
      <c r="C39" s="1483">
        <v>0</v>
      </c>
      <c r="D39" s="1476"/>
      <c r="E39" s="1483">
        <v>0</v>
      </c>
      <c r="F39" s="1476"/>
      <c r="G39" s="1483">
        <v>0</v>
      </c>
      <c r="H39" s="1476"/>
      <c r="I39" s="1478">
        <v>0</v>
      </c>
      <c r="J39" s="1477"/>
      <c r="K39" s="1478">
        <v>0</v>
      </c>
      <c r="L39" s="1476"/>
      <c r="M39" s="1478">
        <v>0</v>
      </c>
      <c r="N39" s="1477"/>
      <c r="O39" s="1478">
        <v>0</v>
      </c>
      <c r="P39" s="1477"/>
      <c r="Q39" s="1483">
        <v>0</v>
      </c>
      <c r="R39" s="1477"/>
      <c r="S39" s="1483">
        <v>0</v>
      </c>
      <c r="T39" s="1477"/>
      <c r="U39" s="1483">
        <v>0</v>
      </c>
      <c r="V39" s="1477"/>
      <c r="W39" s="1483"/>
      <c r="X39" s="1477"/>
      <c r="Y39" s="1483"/>
      <c r="Z39" s="1200"/>
      <c r="AA39" s="1485">
        <f>ROUND(SUM(C39:Z39),0)</f>
        <v>0</v>
      </c>
      <c r="AB39" s="2244"/>
      <c r="AC39" s="771"/>
    </row>
    <row r="40" spans="1:29" s="767" customFormat="1" ht="17.399999999999999">
      <c r="A40" s="1201" t="s">
        <v>971</v>
      </c>
      <c r="B40" s="1200"/>
      <c r="C40" s="1487">
        <f>ROUND(SUM(C35:C39),0)</f>
        <v>500</v>
      </c>
      <c r="D40" s="1135"/>
      <c r="E40" s="1487">
        <f>ROUND(SUM(E35:E39),0)</f>
        <v>150</v>
      </c>
      <c r="F40" s="1135"/>
      <c r="G40" s="1487">
        <f>ROUND(SUM(G35:G39),0)</f>
        <v>1</v>
      </c>
      <c r="H40" s="1135"/>
      <c r="I40" s="1487">
        <f>ROUND(SUM(I35:I39),0)</f>
        <v>0</v>
      </c>
      <c r="J40" s="1135"/>
      <c r="K40" s="1487">
        <f>ROUND(SUM(K35:K39),0)</f>
        <v>0</v>
      </c>
      <c r="L40" s="1135"/>
      <c r="M40" s="1487">
        <f>ROUND(SUM(M35:M39),0)</f>
        <v>0</v>
      </c>
      <c r="N40" s="1135"/>
      <c r="O40" s="1487">
        <f>ROUND(SUM(O35:O39),0)</f>
        <v>0</v>
      </c>
      <c r="P40" s="1135"/>
      <c r="Q40" s="1487">
        <f>ROUND(SUM(Q35:Q39),0)</f>
        <v>0</v>
      </c>
      <c r="R40" s="1135"/>
      <c r="S40" s="1487">
        <f>ROUND(SUM(S35:S39),0)</f>
        <v>700</v>
      </c>
      <c r="T40" s="1135"/>
      <c r="U40" s="1487">
        <f>ROUND(SUM(U35:U39),0)</f>
        <v>709</v>
      </c>
      <c r="V40" s="1135"/>
      <c r="W40" s="1487">
        <f>ROUND(SUM(W35:W39),0)</f>
        <v>0</v>
      </c>
      <c r="X40" s="1135"/>
      <c r="Y40" s="1487">
        <f>ROUND(SUM(Y35:Y39),0)</f>
        <v>0</v>
      </c>
      <c r="Z40" s="1135"/>
      <c r="AA40" s="1487">
        <f>ROUND(SUM(AA35:AA39),0)</f>
        <v>2060</v>
      </c>
      <c r="AB40" s="2244"/>
      <c r="AC40" s="771"/>
    </row>
    <row r="41" spans="1:29" ht="17.399999999999999">
      <c r="A41" s="1135"/>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135"/>
      <c r="AB41" s="2244"/>
      <c r="AC41" s="772"/>
    </row>
    <row r="42" spans="1:29" ht="17.399999999999999">
      <c r="A42" s="1135"/>
      <c r="B42" s="1200"/>
      <c r="C42" s="1200"/>
      <c r="D42" s="1200"/>
      <c r="E42" s="1200"/>
      <c r="F42" s="1200"/>
      <c r="G42" s="1200"/>
      <c r="H42" s="1200"/>
      <c r="I42" s="1200"/>
      <c r="J42" s="1200"/>
      <c r="K42" s="1200"/>
      <c r="L42" s="1200"/>
      <c r="M42" s="1200"/>
      <c r="N42" s="1200"/>
      <c r="O42" s="1200"/>
      <c r="P42" s="1200"/>
      <c r="Q42" s="1200"/>
      <c r="R42" s="1200"/>
      <c r="S42" s="1678"/>
      <c r="T42" s="1200"/>
      <c r="U42" s="1200"/>
      <c r="V42" s="1200"/>
      <c r="W42" s="1200"/>
      <c r="X42" s="1200"/>
      <c r="Y42" s="1200"/>
      <c r="Z42" s="1200"/>
      <c r="AA42" s="1135"/>
    </row>
    <row r="43" spans="1:29" s="774" customFormat="1" ht="18" thickBot="1">
      <c r="A43" s="1201" t="s">
        <v>970</v>
      </c>
      <c r="B43" s="1200"/>
      <c r="C43" s="1677">
        <f>ROUND(C30+C40,0)</f>
        <v>29620</v>
      </c>
      <c r="D43" s="1135"/>
      <c r="E43" s="1677">
        <f>ROUND(E30+E40,0)</f>
        <v>76814</v>
      </c>
      <c r="F43" s="1135"/>
      <c r="G43" s="1677">
        <f>ROUND(G30+G40,0)</f>
        <v>52430</v>
      </c>
      <c r="H43" s="1135"/>
      <c r="I43" s="1677">
        <f>ROUND(I30+I40,0)</f>
        <v>34701</v>
      </c>
      <c r="J43" s="1135"/>
      <c r="K43" s="1677">
        <f>ROUND(K30+K40,0)</f>
        <v>68400</v>
      </c>
      <c r="L43" s="1135"/>
      <c r="M43" s="1677">
        <f>ROUND(M30+M40,0)</f>
        <v>21576</v>
      </c>
      <c r="N43" s="1135"/>
      <c r="O43" s="1677">
        <f>ROUND(O30+O40,0)</f>
        <v>86596</v>
      </c>
      <c r="P43" s="1135"/>
      <c r="Q43" s="1677">
        <f>ROUND(Q30+Q40,0)</f>
        <v>37152</v>
      </c>
      <c r="R43" s="1135"/>
      <c r="S43" s="1677">
        <f>ROUND(S30+S40,0)</f>
        <v>81351</v>
      </c>
      <c r="T43" s="1135"/>
      <c r="U43" s="1677">
        <f>ROUND(U30+U40,0)</f>
        <v>56062</v>
      </c>
      <c r="V43" s="1135"/>
      <c r="W43" s="1677">
        <f>ROUND(W30+W40,0)</f>
        <v>0</v>
      </c>
      <c r="X43" s="1135"/>
      <c r="Y43" s="1677">
        <f>ROUND(Y30+Y40,0)</f>
        <v>0</v>
      </c>
      <c r="Z43" s="1135"/>
      <c r="AA43" s="1677">
        <f>ROUND(AA30+AA40,0)</f>
        <v>544702</v>
      </c>
    </row>
    <row r="44" spans="1:29" ht="15.6" thickTop="1">
      <c r="A44" s="2245"/>
      <c r="C44" s="775"/>
      <c r="D44" s="775"/>
      <c r="E44" s="775"/>
      <c r="F44" s="775"/>
      <c r="G44" s="775"/>
      <c r="H44" s="775"/>
      <c r="I44" s="775"/>
      <c r="J44" s="775"/>
      <c r="K44" s="775"/>
      <c r="L44" s="775"/>
      <c r="M44" s="775"/>
      <c r="N44" s="775"/>
      <c r="O44" s="775"/>
      <c r="P44" s="775"/>
      <c r="Q44" s="775"/>
      <c r="R44" s="775"/>
      <c r="S44" s="775"/>
      <c r="T44" s="775"/>
      <c r="U44" s="775"/>
      <c r="V44" s="775"/>
      <c r="W44" s="775"/>
      <c r="X44" s="775"/>
      <c r="Y44" s="776"/>
      <c r="AA44" s="773"/>
    </row>
    <row r="45" spans="1:29" ht="13.8" thickBot="1"/>
    <row r="46" spans="1:29" ht="20.100000000000001" customHeight="1">
      <c r="A46" s="3578" t="s">
        <v>640</v>
      </c>
      <c r="B46" s="3579"/>
      <c r="C46" s="3579"/>
      <c r="D46" s="3579"/>
      <c r="E46" s="3579"/>
      <c r="F46" s="3579"/>
      <c r="G46" s="3579"/>
      <c r="H46" s="3579"/>
      <c r="I46" s="3579"/>
      <c r="J46" s="3579"/>
      <c r="K46" s="3579"/>
      <c r="L46" s="3579"/>
      <c r="M46" s="3579"/>
      <c r="N46" s="3579"/>
      <c r="O46" s="3579"/>
      <c r="P46" s="3579"/>
      <c r="Q46" s="3579"/>
      <c r="R46" s="3579"/>
      <c r="S46" s="3579"/>
      <c r="T46" s="3579"/>
      <c r="U46" s="3579"/>
      <c r="V46" s="3579"/>
      <c r="W46" s="3579"/>
      <c r="X46" s="3579"/>
      <c r="Y46" s="3579"/>
      <c r="Z46" s="3579"/>
      <c r="AA46" s="3580"/>
    </row>
    <row r="47" spans="1:29" ht="20.100000000000001" customHeight="1">
      <c r="A47" s="3581"/>
      <c r="B47" s="3582"/>
      <c r="C47" s="3582"/>
      <c r="D47" s="3582"/>
      <c r="E47" s="3582"/>
      <c r="F47" s="3582"/>
      <c r="G47" s="3582"/>
      <c r="H47" s="3582"/>
      <c r="I47" s="3582"/>
      <c r="J47" s="3582"/>
      <c r="K47" s="3582"/>
      <c r="L47" s="3582"/>
      <c r="M47" s="3582"/>
      <c r="N47" s="3582"/>
      <c r="O47" s="3582"/>
      <c r="P47" s="3582"/>
      <c r="Q47" s="3582"/>
      <c r="R47" s="3582"/>
      <c r="S47" s="3582"/>
      <c r="T47" s="3582"/>
      <c r="U47" s="3582"/>
      <c r="V47" s="3582"/>
      <c r="W47" s="3582"/>
      <c r="X47" s="3582"/>
      <c r="Y47" s="3582"/>
      <c r="Z47" s="3582"/>
      <c r="AA47" s="3583"/>
    </row>
    <row r="48" spans="1:29" ht="20.100000000000001" customHeight="1">
      <c r="A48" s="3581"/>
      <c r="B48" s="3582"/>
      <c r="C48" s="3582"/>
      <c r="D48" s="3582"/>
      <c r="E48" s="3582"/>
      <c r="F48" s="3582"/>
      <c r="G48" s="3582"/>
      <c r="H48" s="3582"/>
      <c r="I48" s="3582"/>
      <c r="J48" s="3582"/>
      <c r="K48" s="3582"/>
      <c r="L48" s="3582"/>
      <c r="M48" s="3582"/>
      <c r="N48" s="3582"/>
      <c r="O48" s="3582"/>
      <c r="P48" s="3582"/>
      <c r="Q48" s="3582"/>
      <c r="R48" s="3582"/>
      <c r="S48" s="3582"/>
      <c r="T48" s="3582"/>
      <c r="U48" s="3582"/>
      <c r="V48" s="3582"/>
      <c r="W48" s="3582"/>
      <c r="X48" s="3582"/>
      <c r="Y48" s="3582"/>
      <c r="Z48" s="3582"/>
      <c r="AA48" s="3583"/>
    </row>
    <row r="49" spans="1:27" ht="22.5" customHeight="1" thickBot="1">
      <c r="A49" s="3584"/>
      <c r="B49" s="3585"/>
      <c r="C49" s="3585"/>
      <c r="D49" s="3585"/>
      <c r="E49" s="3585"/>
      <c r="F49" s="3585"/>
      <c r="G49" s="3585"/>
      <c r="H49" s="3585"/>
      <c r="I49" s="3585"/>
      <c r="J49" s="3585"/>
      <c r="K49" s="3585"/>
      <c r="L49" s="3585"/>
      <c r="M49" s="3585"/>
      <c r="N49" s="3585"/>
      <c r="O49" s="3585"/>
      <c r="P49" s="3585"/>
      <c r="Q49" s="3585"/>
      <c r="R49" s="3585"/>
      <c r="S49" s="3585"/>
      <c r="T49" s="3585"/>
      <c r="U49" s="3585"/>
      <c r="V49" s="3585"/>
      <c r="W49" s="3585"/>
      <c r="X49" s="3585"/>
      <c r="Y49" s="3585"/>
      <c r="Z49" s="3585"/>
      <c r="AA49" s="3586"/>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25" customWidth="1"/>
    <col min="2" max="2" width="8.90625" style="2225" customWidth="1"/>
    <col min="3" max="3" width="2.1796875" style="2235" customWidth="1"/>
    <col min="4" max="4" width="50.453125" style="2225" customWidth="1"/>
    <col min="5" max="5" width="8.90625" style="2235" customWidth="1"/>
    <col min="6" max="6" width="2.08984375" style="1261" customWidth="1"/>
    <col min="7" max="7" width="23.90625" style="2225" customWidth="1"/>
    <col min="8" max="8" width="2.08984375" style="2235" customWidth="1"/>
    <col min="9" max="9" width="23.90625" style="2225" customWidth="1"/>
    <col min="10" max="10" width="2.08984375" style="2235" customWidth="1"/>
    <col min="11" max="11" width="23.90625" style="2225" customWidth="1"/>
    <col min="12" max="12" width="2.08984375" style="2235" customWidth="1"/>
    <col min="13" max="13" width="20.1796875" style="2225" customWidth="1"/>
    <col min="14" max="14" width="2.08984375" style="2235" customWidth="1"/>
    <col min="15" max="15" width="23.90625" style="2225" customWidth="1"/>
    <col min="16" max="16" width="6" style="2225" customWidth="1"/>
    <col min="17" max="254" width="8.90625" style="2225"/>
    <col min="255" max="256" width="8.90625" style="2225" customWidth="1"/>
    <col min="257" max="257" width="10.1796875" style="2225" customWidth="1"/>
    <col min="258" max="258" width="2.1796875" style="2225" customWidth="1"/>
    <col min="259" max="259" width="50.453125" style="2225" customWidth="1"/>
    <col min="260" max="260" width="8.90625" style="2225"/>
    <col min="261" max="261" width="2.08984375" style="2225" customWidth="1"/>
    <col min="262" max="262" width="23.90625" style="2225" customWidth="1"/>
    <col min="263" max="263" width="2.08984375" style="2225" customWidth="1"/>
    <col min="264" max="264" width="23.90625" style="2225" customWidth="1"/>
    <col min="265" max="265" width="2.08984375" style="2225" customWidth="1"/>
    <col min="266" max="266" width="23.90625" style="2225" customWidth="1"/>
    <col min="267" max="267" width="2.08984375" style="2225" customWidth="1"/>
    <col min="268" max="268" width="23.90625" style="2225" customWidth="1"/>
    <col min="269" max="269" width="2.08984375" style="2225" customWidth="1"/>
    <col min="270" max="270" width="23.90625" style="2225" customWidth="1"/>
    <col min="271" max="271" width="2.81640625" style="2225" bestFit="1" customWidth="1"/>
    <col min="272" max="510" width="8.90625" style="2225"/>
    <col min="511" max="512" width="8.90625" style="2225" customWidth="1"/>
    <col min="513" max="513" width="10.1796875" style="2225" customWidth="1"/>
    <col min="514" max="514" width="2.1796875" style="2225" customWidth="1"/>
    <col min="515" max="515" width="50.453125" style="2225" customWidth="1"/>
    <col min="516" max="516" width="8.90625" style="2225"/>
    <col min="517" max="517" width="2.08984375" style="2225" customWidth="1"/>
    <col min="518" max="518" width="23.90625" style="2225" customWidth="1"/>
    <col min="519" max="519" width="2.08984375" style="2225" customWidth="1"/>
    <col min="520" max="520" width="23.90625" style="2225" customWidth="1"/>
    <col min="521" max="521" width="2.08984375" style="2225" customWidth="1"/>
    <col min="522" max="522" width="23.90625" style="2225" customWidth="1"/>
    <col min="523" max="523" width="2.08984375" style="2225" customWidth="1"/>
    <col min="524" max="524" width="23.90625" style="2225" customWidth="1"/>
    <col min="525" max="525" width="2.08984375" style="2225" customWidth="1"/>
    <col min="526" max="526" width="23.90625" style="2225" customWidth="1"/>
    <col min="527" max="527" width="2.81640625" style="2225" bestFit="1" customWidth="1"/>
    <col min="528" max="766" width="8.90625" style="2225"/>
    <col min="767" max="768" width="8.90625" style="2225" customWidth="1"/>
    <col min="769" max="769" width="10.1796875" style="2225" customWidth="1"/>
    <col min="770" max="770" width="2.1796875" style="2225" customWidth="1"/>
    <col min="771" max="771" width="50.453125" style="2225" customWidth="1"/>
    <col min="772" max="772" width="8.90625" style="2225"/>
    <col min="773" max="773" width="2.08984375" style="2225" customWidth="1"/>
    <col min="774" max="774" width="23.90625" style="2225" customWidth="1"/>
    <col min="775" max="775" width="2.08984375" style="2225" customWidth="1"/>
    <col min="776" max="776" width="23.90625" style="2225" customWidth="1"/>
    <col min="777" max="777" width="2.08984375" style="2225" customWidth="1"/>
    <col min="778" max="778" width="23.90625" style="2225" customWidth="1"/>
    <col min="779" max="779" width="2.08984375" style="2225" customWidth="1"/>
    <col min="780" max="780" width="23.90625" style="2225" customWidth="1"/>
    <col min="781" max="781" width="2.08984375" style="2225" customWidth="1"/>
    <col min="782" max="782" width="23.90625" style="2225" customWidth="1"/>
    <col min="783" max="783" width="2.81640625" style="2225" bestFit="1" customWidth="1"/>
    <col min="784" max="1022" width="8.90625" style="2225"/>
    <col min="1023" max="1024" width="8.90625" style="2225" customWidth="1"/>
    <col min="1025" max="1025" width="10.1796875" style="2225" customWidth="1"/>
    <col min="1026" max="1026" width="2.1796875" style="2225" customWidth="1"/>
    <col min="1027" max="1027" width="50.453125" style="2225" customWidth="1"/>
    <col min="1028" max="1028" width="8.90625" style="2225"/>
    <col min="1029" max="1029" width="2.08984375" style="2225" customWidth="1"/>
    <col min="1030" max="1030" width="23.90625" style="2225" customWidth="1"/>
    <col min="1031" max="1031" width="2.08984375" style="2225" customWidth="1"/>
    <col min="1032" max="1032" width="23.90625" style="2225" customWidth="1"/>
    <col min="1033" max="1033" width="2.08984375" style="2225" customWidth="1"/>
    <col min="1034" max="1034" width="23.90625" style="2225" customWidth="1"/>
    <col min="1035" max="1035" width="2.08984375" style="2225" customWidth="1"/>
    <col min="1036" max="1036" width="23.90625" style="2225" customWidth="1"/>
    <col min="1037" max="1037" width="2.08984375" style="2225" customWidth="1"/>
    <col min="1038" max="1038" width="23.90625" style="2225" customWidth="1"/>
    <col min="1039" max="1039" width="2.81640625" style="2225" bestFit="1" customWidth="1"/>
    <col min="1040" max="1278" width="8.90625" style="2225"/>
    <col min="1279" max="1280" width="8.90625" style="2225" customWidth="1"/>
    <col min="1281" max="1281" width="10.1796875" style="2225" customWidth="1"/>
    <col min="1282" max="1282" width="2.1796875" style="2225" customWidth="1"/>
    <col min="1283" max="1283" width="50.453125" style="2225" customWidth="1"/>
    <col min="1284" max="1284" width="8.90625" style="2225"/>
    <col min="1285" max="1285" width="2.08984375" style="2225" customWidth="1"/>
    <col min="1286" max="1286" width="23.90625" style="2225" customWidth="1"/>
    <col min="1287" max="1287" width="2.08984375" style="2225" customWidth="1"/>
    <col min="1288" max="1288" width="23.90625" style="2225" customWidth="1"/>
    <col min="1289" max="1289" width="2.08984375" style="2225" customWidth="1"/>
    <col min="1290" max="1290" width="23.90625" style="2225" customWidth="1"/>
    <col min="1291" max="1291" width="2.08984375" style="2225" customWidth="1"/>
    <col min="1292" max="1292" width="23.90625" style="2225" customWidth="1"/>
    <col min="1293" max="1293" width="2.08984375" style="2225" customWidth="1"/>
    <col min="1294" max="1294" width="23.90625" style="2225" customWidth="1"/>
    <col min="1295" max="1295" width="2.81640625" style="2225" bestFit="1" customWidth="1"/>
    <col min="1296" max="1534" width="8.90625" style="2225"/>
    <col min="1535" max="1536" width="8.90625" style="2225" customWidth="1"/>
    <col min="1537" max="1537" width="10.1796875" style="2225" customWidth="1"/>
    <col min="1538" max="1538" width="2.1796875" style="2225" customWidth="1"/>
    <col min="1539" max="1539" width="50.453125" style="2225" customWidth="1"/>
    <col min="1540" max="1540" width="8.90625" style="2225"/>
    <col min="1541" max="1541" width="2.08984375" style="2225" customWidth="1"/>
    <col min="1542" max="1542" width="23.90625" style="2225" customWidth="1"/>
    <col min="1543" max="1543" width="2.08984375" style="2225" customWidth="1"/>
    <col min="1544" max="1544" width="23.90625" style="2225" customWidth="1"/>
    <col min="1545" max="1545" width="2.08984375" style="2225" customWidth="1"/>
    <col min="1546" max="1546" width="23.90625" style="2225" customWidth="1"/>
    <col min="1547" max="1547" width="2.08984375" style="2225" customWidth="1"/>
    <col min="1548" max="1548" width="23.90625" style="2225" customWidth="1"/>
    <col min="1549" max="1549" width="2.08984375" style="2225" customWidth="1"/>
    <col min="1550" max="1550" width="23.90625" style="2225" customWidth="1"/>
    <col min="1551" max="1551" width="2.81640625" style="2225" bestFit="1" customWidth="1"/>
    <col min="1552" max="1790" width="8.90625" style="2225"/>
    <col min="1791" max="1792" width="8.90625" style="2225" customWidth="1"/>
    <col min="1793" max="1793" width="10.1796875" style="2225" customWidth="1"/>
    <col min="1794" max="1794" width="2.1796875" style="2225" customWidth="1"/>
    <col min="1795" max="1795" width="50.453125" style="2225" customWidth="1"/>
    <col min="1796" max="1796" width="8.90625" style="2225"/>
    <col min="1797" max="1797" width="2.08984375" style="2225" customWidth="1"/>
    <col min="1798" max="1798" width="23.90625" style="2225" customWidth="1"/>
    <col min="1799" max="1799" width="2.08984375" style="2225" customWidth="1"/>
    <col min="1800" max="1800" width="23.90625" style="2225" customWidth="1"/>
    <col min="1801" max="1801" width="2.08984375" style="2225" customWidth="1"/>
    <col min="1802" max="1802" width="23.90625" style="2225" customWidth="1"/>
    <col min="1803" max="1803" width="2.08984375" style="2225" customWidth="1"/>
    <col min="1804" max="1804" width="23.90625" style="2225" customWidth="1"/>
    <col min="1805" max="1805" width="2.08984375" style="2225" customWidth="1"/>
    <col min="1806" max="1806" width="23.90625" style="2225" customWidth="1"/>
    <col min="1807" max="1807" width="2.81640625" style="2225" bestFit="1" customWidth="1"/>
    <col min="1808" max="2046" width="8.90625" style="2225"/>
    <col min="2047" max="2048" width="8.90625" style="2225" customWidth="1"/>
    <col min="2049" max="2049" width="10.1796875" style="2225" customWidth="1"/>
    <col min="2050" max="2050" width="2.1796875" style="2225" customWidth="1"/>
    <col min="2051" max="2051" width="50.453125" style="2225" customWidth="1"/>
    <col min="2052" max="2052" width="8.90625" style="2225"/>
    <col min="2053" max="2053" width="2.08984375" style="2225" customWidth="1"/>
    <col min="2054" max="2054" width="23.90625" style="2225" customWidth="1"/>
    <col min="2055" max="2055" width="2.08984375" style="2225" customWidth="1"/>
    <col min="2056" max="2056" width="23.90625" style="2225" customWidth="1"/>
    <col min="2057" max="2057" width="2.08984375" style="2225" customWidth="1"/>
    <col min="2058" max="2058" width="23.90625" style="2225" customWidth="1"/>
    <col min="2059" max="2059" width="2.08984375" style="2225" customWidth="1"/>
    <col min="2060" max="2060" width="23.90625" style="2225" customWidth="1"/>
    <col min="2061" max="2061" width="2.08984375" style="2225" customWidth="1"/>
    <col min="2062" max="2062" width="23.90625" style="2225" customWidth="1"/>
    <col min="2063" max="2063" width="2.81640625" style="2225" bestFit="1" customWidth="1"/>
    <col min="2064" max="2302" width="8.90625" style="2225"/>
    <col min="2303" max="2304" width="8.90625" style="2225" customWidth="1"/>
    <col min="2305" max="2305" width="10.1796875" style="2225" customWidth="1"/>
    <col min="2306" max="2306" width="2.1796875" style="2225" customWidth="1"/>
    <col min="2307" max="2307" width="50.453125" style="2225" customWidth="1"/>
    <col min="2308" max="2308" width="8.90625" style="2225"/>
    <col min="2309" max="2309" width="2.08984375" style="2225" customWidth="1"/>
    <col min="2310" max="2310" width="23.90625" style="2225" customWidth="1"/>
    <col min="2311" max="2311" width="2.08984375" style="2225" customWidth="1"/>
    <col min="2312" max="2312" width="23.90625" style="2225" customWidth="1"/>
    <col min="2313" max="2313" width="2.08984375" style="2225" customWidth="1"/>
    <col min="2314" max="2314" width="23.90625" style="2225" customWidth="1"/>
    <col min="2315" max="2315" width="2.08984375" style="2225" customWidth="1"/>
    <col min="2316" max="2316" width="23.90625" style="2225" customWidth="1"/>
    <col min="2317" max="2317" width="2.08984375" style="2225" customWidth="1"/>
    <col min="2318" max="2318" width="23.90625" style="2225" customWidth="1"/>
    <col min="2319" max="2319" width="2.81640625" style="2225" bestFit="1" customWidth="1"/>
    <col min="2320" max="2558" width="8.90625" style="2225"/>
    <col min="2559" max="2560" width="8.90625" style="2225" customWidth="1"/>
    <col min="2561" max="2561" width="10.1796875" style="2225" customWidth="1"/>
    <col min="2562" max="2562" width="2.1796875" style="2225" customWidth="1"/>
    <col min="2563" max="2563" width="50.453125" style="2225" customWidth="1"/>
    <col min="2564" max="2564" width="8.90625" style="2225"/>
    <col min="2565" max="2565" width="2.08984375" style="2225" customWidth="1"/>
    <col min="2566" max="2566" width="23.90625" style="2225" customWidth="1"/>
    <col min="2567" max="2567" width="2.08984375" style="2225" customWidth="1"/>
    <col min="2568" max="2568" width="23.90625" style="2225" customWidth="1"/>
    <col min="2569" max="2569" width="2.08984375" style="2225" customWidth="1"/>
    <col min="2570" max="2570" width="23.90625" style="2225" customWidth="1"/>
    <col min="2571" max="2571" width="2.08984375" style="2225" customWidth="1"/>
    <col min="2572" max="2572" width="23.90625" style="2225" customWidth="1"/>
    <col min="2573" max="2573" width="2.08984375" style="2225" customWidth="1"/>
    <col min="2574" max="2574" width="23.90625" style="2225" customWidth="1"/>
    <col min="2575" max="2575" width="2.81640625" style="2225" bestFit="1" customWidth="1"/>
    <col min="2576" max="2814" width="8.90625" style="2225"/>
    <col min="2815" max="2816" width="8.90625" style="2225" customWidth="1"/>
    <col min="2817" max="2817" width="10.1796875" style="2225" customWidth="1"/>
    <col min="2818" max="2818" width="2.1796875" style="2225" customWidth="1"/>
    <col min="2819" max="2819" width="50.453125" style="2225" customWidth="1"/>
    <col min="2820" max="2820" width="8.90625" style="2225"/>
    <col min="2821" max="2821" width="2.08984375" style="2225" customWidth="1"/>
    <col min="2822" max="2822" width="23.90625" style="2225" customWidth="1"/>
    <col min="2823" max="2823" width="2.08984375" style="2225" customWidth="1"/>
    <col min="2824" max="2824" width="23.90625" style="2225" customWidth="1"/>
    <col min="2825" max="2825" width="2.08984375" style="2225" customWidth="1"/>
    <col min="2826" max="2826" width="23.90625" style="2225" customWidth="1"/>
    <col min="2827" max="2827" width="2.08984375" style="2225" customWidth="1"/>
    <col min="2828" max="2828" width="23.90625" style="2225" customWidth="1"/>
    <col min="2829" max="2829" width="2.08984375" style="2225" customWidth="1"/>
    <col min="2830" max="2830" width="23.90625" style="2225" customWidth="1"/>
    <col min="2831" max="2831" width="2.81640625" style="2225" bestFit="1" customWidth="1"/>
    <col min="2832" max="3070" width="8.90625" style="2225"/>
    <col min="3071" max="3072" width="8.90625" style="2225" customWidth="1"/>
    <col min="3073" max="3073" width="10.1796875" style="2225" customWidth="1"/>
    <col min="3074" max="3074" width="2.1796875" style="2225" customWidth="1"/>
    <col min="3075" max="3075" width="50.453125" style="2225" customWidth="1"/>
    <col min="3076" max="3076" width="8.90625" style="2225"/>
    <col min="3077" max="3077" width="2.08984375" style="2225" customWidth="1"/>
    <col min="3078" max="3078" width="23.90625" style="2225" customWidth="1"/>
    <col min="3079" max="3079" width="2.08984375" style="2225" customWidth="1"/>
    <col min="3080" max="3080" width="23.90625" style="2225" customWidth="1"/>
    <col min="3081" max="3081" width="2.08984375" style="2225" customWidth="1"/>
    <col min="3082" max="3082" width="23.90625" style="2225" customWidth="1"/>
    <col min="3083" max="3083" width="2.08984375" style="2225" customWidth="1"/>
    <col min="3084" max="3084" width="23.90625" style="2225" customWidth="1"/>
    <col min="3085" max="3085" width="2.08984375" style="2225" customWidth="1"/>
    <col min="3086" max="3086" width="23.90625" style="2225" customWidth="1"/>
    <col min="3087" max="3087" width="2.81640625" style="2225" bestFit="1" customWidth="1"/>
    <col min="3088" max="3326" width="8.90625" style="2225"/>
    <col min="3327" max="3328" width="8.90625" style="2225" customWidth="1"/>
    <col min="3329" max="3329" width="10.1796875" style="2225" customWidth="1"/>
    <col min="3330" max="3330" width="2.1796875" style="2225" customWidth="1"/>
    <col min="3331" max="3331" width="50.453125" style="2225" customWidth="1"/>
    <col min="3332" max="3332" width="8.90625" style="2225"/>
    <col min="3333" max="3333" width="2.08984375" style="2225" customWidth="1"/>
    <col min="3334" max="3334" width="23.90625" style="2225" customWidth="1"/>
    <col min="3335" max="3335" width="2.08984375" style="2225" customWidth="1"/>
    <col min="3336" max="3336" width="23.90625" style="2225" customWidth="1"/>
    <col min="3337" max="3337" width="2.08984375" style="2225" customWidth="1"/>
    <col min="3338" max="3338" width="23.90625" style="2225" customWidth="1"/>
    <col min="3339" max="3339" width="2.08984375" style="2225" customWidth="1"/>
    <col min="3340" max="3340" width="23.90625" style="2225" customWidth="1"/>
    <col min="3341" max="3341" width="2.08984375" style="2225" customWidth="1"/>
    <col min="3342" max="3342" width="23.90625" style="2225" customWidth="1"/>
    <col min="3343" max="3343" width="2.81640625" style="2225" bestFit="1" customWidth="1"/>
    <col min="3344" max="3582" width="8.90625" style="2225"/>
    <col min="3583" max="3584" width="8.90625" style="2225" customWidth="1"/>
    <col min="3585" max="3585" width="10.1796875" style="2225" customWidth="1"/>
    <col min="3586" max="3586" width="2.1796875" style="2225" customWidth="1"/>
    <col min="3587" max="3587" width="50.453125" style="2225" customWidth="1"/>
    <col min="3588" max="3588" width="8.90625" style="2225"/>
    <col min="3589" max="3589" width="2.08984375" style="2225" customWidth="1"/>
    <col min="3590" max="3590" width="23.90625" style="2225" customWidth="1"/>
    <col min="3591" max="3591" width="2.08984375" style="2225" customWidth="1"/>
    <col min="3592" max="3592" width="23.90625" style="2225" customWidth="1"/>
    <col min="3593" max="3593" width="2.08984375" style="2225" customWidth="1"/>
    <col min="3594" max="3594" width="23.90625" style="2225" customWidth="1"/>
    <col min="3595" max="3595" width="2.08984375" style="2225" customWidth="1"/>
    <col min="3596" max="3596" width="23.90625" style="2225" customWidth="1"/>
    <col min="3597" max="3597" width="2.08984375" style="2225" customWidth="1"/>
    <col min="3598" max="3598" width="23.90625" style="2225" customWidth="1"/>
    <col min="3599" max="3599" width="2.81640625" style="2225" bestFit="1" customWidth="1"/>
    <col min="3600" max="3838" width="8.90625" style="2225"/>
    <col min="3839" max="3840" width="8.90625" style="2225" customWidth="1"/>
    <col min="3841" max="3841" width="10.1796875" style="2225" customWidth="1"/>
    <col min="3842" max="3842" width="2.1796875" style="2225" customWidth="1"/>
    <col min="3843" max="3843" width="50.453125" style="2225" customWidth="1"/>
    <col min="3844" max="3844" width="8.90625" style="2225"/>
    <col min="3845" max="3845" width="2.08984375" style="2225" customWidth="1"/>
    <col min="3846" max="3846" width="23.90625" style="2225" customWidth="1"/>
    <col min="3847" max="3847" width="2.08984375" style="2225" customWidth="1"/>
    <col min="3848" max="3848" width="23.90625" style="2225" customWidth="1"/>
    <col min="3849" max="3849" width="2.08984375" style="2225" customWidth="1"/>
    <col min="3850" max="3850" width="23.90625" style="2225" customWidth="1"/>
    <col min="3851" max="3851" width="2.08984375" style="2225" customWidth="1"/>
    <col min="3852" max="3852" width="23.90625" style="2225" customWidth="1"/>
    <col min="3853" max="3853" width="2.08984375" style="2225" customWidth="1"/>
    <col min="3854" max="3854" width="23.90625" style="2225" customWidth="1"/>
    <col min="3855" max="3855" width="2.81640625" style="2225" bestFit="1" customWidth="1"/>
    <col min="3856" max="4094" width="8.90625" style="2225"/>
    <col min="4095" max="4096" width="8.90625" style="2225" customWidth="1"/>
    <col min="4097" max="4097" width="10.1796875" style="2225" customWidth="1"/>
    <col min="4098" max="4098" width="2.1796875" style="2225" customWidth="1"/>
    <col min="4099" max="4099" width="50.453125" style="2225" customWidth="1"/>
    <col min="4100" max="4100" width="8.90625" style="2225"/>
    <col min="4101" max="4101" width="2.08984375" style="2225" customWidth="1"/>
    <col min="4102" max="4102" width="23.90625" style="2225" customWidth="1"/>
    <col min="4103" max="4103" width="2.08984375" style="2225" customWidth="1"/>
    <col min="4104" max="4104" width="23.90625" style="2225" customWidth="1"/>
    <col min="4105" max="4105" width="2.08984375" style="2225" customWidth="1"/>
    <col min="4106" max="4106" width="23.90625" style="2225" customWidth="1"/>
    <col min="4107" max="4107" width="2.08984375" style="2225" customWidth="1"/>
    <col min="4108" max="4108" width="23.90625" style="2225" customWidth="1"/>
    <col min="4109" max="4109" width="2.08984375" style="2225" customWidth="1"/>
    <col min="4110" max="4110" width="23.90625" style="2225" customWidth="1"/>
    <col min="4111" max="4111" width="2.81640625" style="2225" bestFit="1" customWidth="1"/>
    <col min="4112" max="4350" width="8.90625" style="2225"/>
    <col min="4351" max="4352" width="8.90625" style="2225" customWidth="1"/>
    <col min="4353" max="4353" width="10.1796875" style="2225" customWidth="1"/>
    <col min="4354" max="4354" width="2.1796875" style="2225" customWidth="1"/>
    <col min="4355" max="4355" width="50.453125" style="2225" customWidth="1"/>
    <col min="4356" max="4356" width="8.90625" style="2225"/>
    <col min="4357" max="4357" width="2.08984375" style="2225" customWidth="1"/>
    <col min="4358" max="4358" width="23.90625" style="2225" customWidth="1"/>
    <col min="4359" max="4359" width="2.08984375" style="2225" customWidth="1"/>
    <col min="4360" max="4360" width="23.90625" style="2225" customWidth="1"/>
    <col min="4361" max="4361" width="2.08984375" style="2225" customWidth="1"/>
    <col min="4362" max="4362" width="23.90625" style="2225" customWidth="1"/>
    <col min="4363" max="4363" width="2.08984375" style="2225" customWidth="1"/>
    <col min="4364" max="4364" width="23.90625" style="2225" customWidth="1"/>
    <col min="4365" max="4365" width="2.08984375" style="2225" customWidth="1"/>
    <col min="4366" max="4366" width="23.90625" style="2225" customWidth="1"/>
    <col min="4367" max="4367" width="2.81640625" style="2225" bestFit="1" customWidth="1"/>
    <col min="4368" max="4606" width="8.90625" style="2225"/>
    <col min="4607" max="4608" width="8.90625" style="2225" customWidth="1"/>
    <col min="4609" max="4609" width="10.1796875" style="2225" customWidth="1"/>
    <col min="4610" max="4610" width="2.1796875" style="2225" customWidth="1"/>
    <col min="4611" max="4611" width="50.453125" style="2225" customWidth="1"/>
    <col min="4612" max="4612" width="8.90625" style="2225"/>
    <col min="4613" max="4613" width="2.08984375" style="2225" customWidth="1"/>
    <col min="4614" max="4614" width="23.90625" style="2225" customWidth="1"/>
    <col min="4615" max="4615" width="2.08984375" style="2225" customWidth="1"/>
    <col min="4616" max="4616" width="23.90625" style="2225" customWidth="1"/>
    <col min="4617" max="4617" width="2.08984375" style="2225" customWidth="1"/>
    <col min="4618" max="4618" width="23.90625" style="2225" customWidth="1"/>
    <col min="4619" max="4619" width="2.08984375" style="2225" customWidth="1"/>
    <col min="4620" max="4620" width="23.90625" style="2225" customWidth="1"/>
    <col min="4621" max="4621" width="2.08984375" style="2225" customWidth="1"/>
    <col min="4622" max="4622" width="23.90625" style="2225" customWidth="1"/>
    <col min="4623" max="4623" width="2.81640625" style="2225" bestFit="1" customWidth="1"/>
    <col min="4624" max="4862" width="8.90625" style="2225"/>
    <col min="4863" max="4864" width="8.90625" style="2225" customWidth="1"/>
    <col min="4865" max="4865" width="10.1796875" style="2225" customWidth="1"/>
    <col min="4866" max="4866" width="2.1796875" style="2225" customWidth="1"/>
    <col min="4867" max="4867" width="50.453125" style="2225" customWidth="1"/>
    <col min="4868" max="4868" width="8.90625" style="2225"/>
    <col min="4869" max="4869" width="2.08984375" style="2225" customWidth="1"/>
    <col min="4870" max="4870" width="23.90625" style="2225" customWidth="1"/>
    <col min="4871" max="4871" width="2.08984375" style="2225" customWidth="1"/>
    <col min="4872" max="4872" width="23.90625" style="2225" customWidth="1"/>
    <col min="4873" max="4873" width="2.08984375" style="2225" customWidth="1"/>
    <col min="4874" max="4874" width="23.90625" style="2225" customWidth="1"/>
    <col min="4875" max="4875" width="2.08984375" style="2225" customWidth="1"/>
    <col min="4876" max="4876" width="23.90625" style="2225" customWidth="1"/>
    <col min="4877" max="4877" width="2.08984375" style="2225" customWidth="1"/>
    <col min="4878" max="4878" width="23.90625" style="2225" customWidth="1"/>
    <col min="4879" max="4879" width="2.81640625" style="2225" bestFit="1" customWidth="1"/>
    <col min="4880" max="5118" width="8.90625" style="2225"/>
    <col min="5119" max="5120" width="8.90625" style="2225" customWidth="1"/>
    <col min="5121" max="5121" width="10.1796875" style="2225" customWidth="1"/>
    <col min="5122" max="5122" width="2.1796875" style="2225" customWidth="1"/>
    <col min="5123" max="5123" width="50.453125" style="2225" customWidth="1"/>
    <col min="5124" max="5124" width="8.90625" style="2225"/>
    <col min="5125" max="5125" width="2.08984375" style="2225" customWidth="1"/>
    <col min="5126" max="5126" width="23.90625" style="2225" customWidth="1"/>
    <col min="5127" max="5127" width="2.08984375" style="2225" customWidth="1"/>
    <col min="5128" max="5128" width="23.90625" style="2225" customWidth="1"/>
    <col min="5129" max="5129" width="2.08984375" style="2225" customWidth="1"/>
    <col min="5130" max="5130" width="23.90625" style="2225" customWidth="1"/>
    <col min="5131" max="5131" width="2.08984375" style="2225" customWidth="1"/>
    <col min="5132" max="5132" width="23.90625" style="2225" customWidth="1"/>
    <col min="5133" max="5133" width="2.08984375" style="2225" customWidth="1"/>
    <col min="5134" max="5134" width="23.90625" style="2225" customWidth="1"/>
    <col min="5135" max="5135" width="2.81640625" style="2225" bestFit="1" customWidth="1"/>
    <col min="5136" max="5374" width="8.90625" style="2225"/>
    <col min="5375" max="5376" width="8.90625" style="2225" customWidth="1"/>
    <col min="5377" max="5377" width="10.1796875" style="2225" customWidth="1"/>
    <col min="5378" max="5378" width="2.1796875" style="2225" customWidth="1"/>
    <col min="5379" max="5379" width="50.453125" style="2225" customWidth="1"/>
    <col min="5380" max="5380" width="8.90625" style="2225"/>
    <col min="5381" max="5381" width="2.08984375" style="2225" customWidth="1"/>
    <col min="5382" max="5382" width="23.90625" style="2225" customWidth="1"/>
    <col min="5383" max="5383" width="2.08984375" style="2225" customWidth="1"/>
    <col min="5384" max="5384" width="23.90625" style="2225" customWidth="1"/>
    <col min="5385" max="5385" width="2.08984375" style="2225" customWidth="1"/>
    <col min="5386" max="5386" width="23.90625" style="2225" customWidth="1"/>
    <col min="5387" max="5387" width="2.08984375" style="2225" customWidth="1"/>
    <col min="5388" max="5388" width="23.90625" style="2225" customWidth="1"/>
    <col min="5389" max="5389" width="2.08984375" style="2225" customWidth="1"/>
    <col min="5390" max="5390" width="23.90625" style="2225" customWidth="1"/>
    <col min="5391" max="5391" width="2.81640625" style="2225" bestFit="1" customWidth="1"/>
    <col min="5392" max="5630" width="8.90625" style="2225"/>
    <col min="5631" max="5632" width="8.90625" style="2225" customWidth="1"/>
    <col min="5633" max="5633" width="10.1796875" style="2225" customWidth="1"/>
    <col min="5634" max="5634" width="2.1796875" style="2225" customWidth="1"/>
    <col min="5635" max="5635" width="50.453125" style="2225" customWidth="1"/>
    <col min="5636" max="5636" width="8.90625" style="2225"/>
    <col min="5637" max="5637" width="2.08984375" style="2225" customWidth="1"/>
    <col min="5638" max="5638" width="23.90625" style="2225" customWidth="1"/>
    <col min="5639" max="5639" width="2.08984375" style="2225" customWidth="1"/>
    <col min="5640" max="5640" width="23.90625" style="2225" customWidth="1"/>
    <col min="5641" max="5641" width="2.08984375" style="2225" customWidth="1"/>
    <col min="5642" max="5642" width="23.90625" style="2225" customWidth="1"/>
    <col min="5643" max="5643" width="2.08984375" style="2225" customWidth="1"/>
    <col min="5644" max="5644" width="23.90625" style="2225" customWidth="1"/>
    <col min="5645" max="5645" width="2.08984375" style="2225" customWidth="1"/>
    <col min="5646" max="5646" width="23.90625" style="2225" customWidth="1"/>
    <col min="5647" max="5647" width="2.81640625" style="2225" bestFit="1" customWidth="1"/>
    <col min="5648" max="5886" width="8.90625" style="2225"/>
    <col min="5887" max="5888" width="8.90625" style="2225" customWidth="1"/>
    <col min="5889" max="5889" width="10.1796875" style="2225" customWidth="1"/>
    <col min="5890" max="5890" width="2.1796875" style="2225" customWidth="1"/>
    <col min="5891" max="5891" width="50.453125" style="2225" customWidth="1"/>
    <col min="5892" max="5892" width="8.90625" style="2225"/>
    <col min="5893" max="5893" width="2.08984375" style="2225" customWidth="1"/>
    <col min="5894" max="5894" width="23.90625" style="2225" customWidth="1"/>
    <col min="5895" max="5895" width="2.08984375" style="2225" customWidth="1"/>
    <col min="5896" max="5896" width="23.90625" style="2225" customWidth="1"/>
    <col min="5897" max="5897" width="2.08984375" style="2225" customWidth="1"/>
    <col min="5898" max="5898" width="23.90625" style="2225" customWidth="1"/>
    <col min="5899" max="5899" width="2.08984375" style="2225" customWidth="1"/>
    <col min="5900" max="5900" width="23.90625" style="2225" customWidth="1"/>
    <col min="5901" max="5901" width="2.08984375" style="2225" customWidth="1"/>
    <col min="5902" max="5902" width="23.90625" style="2225" customWidth="1"/>
    <col min="5903" max="5903" width="2.81640625" style="2225" bestFit="1" customWidth="1"/>
    <col min="5904" max="6142" width="8.90625" style="2225"/>
    <col min="6143" max="6144" width="8.90625" style="2225" customWidth="1"/>
    <col min="6145" max="6145" width="10.1796875" style="2225" customWidth="1"/>
    <col min="6146" max="6146" width="2.1796875" style="2225" customWidth="1"/>
    <col min="6147" max="6147" width="50.453125" style="2225" customWidth="1"/>
    <col min="6148" max="6148" width="8.90625" style="2225"/>
    <col min="6149" max="6149" width="2.08984375" style="2225" customWidth="1"/>
    <col min="6150" max="6150" width="23.90625" style="2225" customWidth="1"/>
    <col min="6151" max="6151" width="2.08984375" style="2225" customWidth="1"/>
    <col min="6152" max="6152" width="23.90625" style="2225" customWidth="1"/>
    <col min="6153" max="6153" width="2.08984375" style="2225" customWidth="1"/>
    <col min="6154" max="6154" width="23.90625" style="2225" customWidth="1"/>
    <col min="6155" max="6155" width="2.08984375" style="2225" customWidth="1"/>
    <col min="6156" max="6156" width="23.90625" style="2225" customWidth="1"/>
    <col min="6157" max="6157" width="2.08984375" style="2225" customWidth="1"/>
    <col min="6158" max="6158" width="23.90625" style="2225" customWidth="1"/>
    <col min="6159" max="6159" width="2.81640625" style="2225" bestFit="1" customWidth="1"/>
    <col min="6160" max="6398" width="8.90625" style="2225"/>
    <col min="6399" max="6400" width="8.90625" style="2225" customWidth="1"/>
    <col min="6401" max="6401" width="10.1796875" style="2225" customWidth="1"/>
    <col min="6402" max="6402" width="2.1796875" style="2225" customWidth="1"/>
    <col min="6403" max="6403" width="50.453125" style="2225" customWidth="1"/>
    <col min="6404" max="6404" width="8.90625" style="2225"/>
    <col min="6405" max="6405" width="2.08984375" style="2225" customWidth="1"/>
    <col min="6406" max="6406" width="23.90625" style="2225" customWidth="1"/>
    <col min="6407" max="6407" width="2.08984375" style="2225" customWidth="1"/>
    <col min="6408" max="6408" width="23.90625" style="2225" customWidth="1"/>
    <col min="6409" max="6409" width="2.08984375" style="2225" customWidth="1"/>
    <col min="6410" max="6410" width="23.90625" style="2225" customWidth="1"/>
    <col min="6411" max="6411" width="2.08984375" style="2225" customWidth="1"/>
    <col min="6412" max="6412" width="23.90625" style="2225" customWidth="1"/>
    <col min="6413" max="6413" width="2.08984375" style="2225" customWidth="1"/>
    <col min="6414" max="6414" width="23.90625" style="2225" customWidth="1"/>
    <col min="6415" max="6415" width="2.81640625" style="2225" bestFit="1" customWidth="1"/>
    <col min="6416" max="6654" width="8.90625" style="2225"/>
    <col min="6655" max="6656" width="8.90625" style="2225" customWidth="1"/>
    <col min="6657" max="6657" width="10.1796875" style="2225" customWidth="1"/>
    <col min="6658" max="6658" width="2.1796875" style="2225" customWidth="1"/>
    <col min="6659" max="6659" width="50.453125" style="2225" customWidth="1"/>
    <col min="6660" max="6660" width="8.90625" style="2225"/>
    <col min="6661" max="6661" width="2.08984375" style="2225" customWidth="1"/>
    <col min="6662" max="6662" width="23.90625" style="2225" customWidth="1"/>
    <col min="6663" max="6663" width="2.08984375" style="2225" customWidth="1"/>
    <col min="6664" max="6664" width="23.90625" style="2225" customWidth="1"/>
    <col min="6665" max="6665" width="2.08984375" style="2225" customWidth="1"/>
    <col min="6666" max="6666" width="23.90625" style="2225" customWidth="1"/>
    <col min="6667" max="6667" width="2.08984375" style="2225" customWidth="1"/>
    <col min="6668" max="6668" width="23.90625" style="2225" customWidth="1"/>
    <col min="6669" max="6669" width="2.08984375" style="2225" customWidth="1"/>
    <col min="6670" max="6670" width="23.90625" style="2225" customWidth="1"/>
    <col min="6671" max="6671" width="2.81640625" style="2225" bestFit="1" customWidth="1"/>
    <col min="6672" max="6910" width="8.90625" style="2225"/>
    <col min="6911" max="6912" width="8.90625" style="2225" customWidth="1"/>
    <col min="6913" max="6913" width="10.1796875" style="2225" customWidth="1"/>
    <col min="6914" max="6914" width="2.1796875" style="2225" customWidth="1"/>
    <col min="6915" max="6915" width="50.453125" style="2225" customWidth="1"/>
    <col min="6916" max="6916" width="8.90625" style="2225"/>
    <col min="6917" max="6917" width="2.08984375" style="2225" customWidth="1"/>
    <col min="6918" max="6918" width="23.90625" style="2225" customWidth="1"/>
    <col min="6919" max="6919" width="2.08984375" style="2225" customWidth="1"/>
    <col min="6920" max="6920" width="23.90625" style="2225" customWidth="1"/>
    <col min="6921" max="6921" width="2.08984375" style="2225" customWidth="1"/>
    <col min="6922" max="6922" width="23.90625" style="2225" customWidth="1"/>
    <col min="6923" max="6923" width="2.08984375" style="2225" customWidth="1"/>
    <col min="6924" max="6924" width="23.90625" style="2225" customWidth="1"/>
    <col min="6925" max="6925" width="2.08984375" style="2225" customWidth="1"/>
    <col min="6926" max="6926" width="23.90625" style="2225" customWidth="1"/>
    <col min="6927" max="6927" width="2.81640625" style="2225" bestFit="1" customWidth="1"/>
    <col min="6928" max="7166" width="8.90625" style="2225"/>
    <col min="7167" max="7168" width="8.90625" style="2225" customWidth="1"/>
    <col min="7169" max="7169" width="10.1796875" style="2225" customWidth="1"/>
    <col min="7170" max="7170" width="2.1796875" style="2225" customWidth="1"/>
    <col min="7171" max="7171" width="50.453125" style="2225" customWidth="1"/>
    <col min="7172" max="7172" width="8.90625" style="2225"/>
    <col min="7173" max="7173" width="2.08984375" style="2225" customWidth="1"/>
    <col min="7174" max="7174" width="23.90625" style="2225" customWidth="1"/>
    <col min="7175" max="7175" width="2.08984375" style="2225" customWidth="1"/>
    <col min="7176" max="7176" width="23.90625" style="2225" customWidth="1"/>
    <col min="7177" max="7177" width="2.08984375" style="2225" customWidth="1"/>
    <col min="7178" max="7178" width="23.90625" style="2225" customWidth="1"/>
    <col min="7179" max="7179" width="2.08984375" style="2225" customWidth="1"/>
    <col min="7180" max="7180" width="23.90625" style="2225" customWidth="1"/>
    <col min="7181" max="7181" width="2.08984375" style="2225" customWidth="1"/>
    <col min="7182" max="7182" width="23.90625" style="2225" customWidth="1"/>
    <col min="7183" max="7183" width="2.81640625" style="2225" bestFit="1" customWidth="1"/>
    <col min="7184" max="7422" width="8.90625" style="2225"/>
    <col min="7423" max="7424" width="8.90625" style="2225" customWidth="1"/>
    <col min="7425" max="7425" width="10.1796875" style="2225" customWidth="1"/>
    <col min="7426" max="7426" width="2.1796875" style="2225" customWidth="1"/>
    <col min="7427" max="7427" width="50.453125" style="2225" customWidth="1"/>
    <col min="7428" max="7428" width="8.90625" style="2225"/>
    <col min="7429" max="7429" width="2.08984375" style="2225" customWidth="1"/>
    <col min="7430" max="7430" width="23.90625" style="2225" customWidth="1"/>
    <col min="7431" max="7431" width="2.08984375" style="2225" customWidth="1"/>
    <col min="7432" max="7432" width="23.90625" style="2225" customWidth="1"/>
    <col min="7433" max="7433" width="2.08984375" style="2225" customWidth="1"/>
    <col min="7434" max="7434" width="23.90625" style="2225" customWidth="1"/>
    <col min="7435" max="7435" width="2.08984375" style="2225" customWidth="1"/>
    <col min="7436" max="7436" width="23.90625" style="2225" customWidth="1"/>
    <col min="7437" max="7437" width="2.08984375" style="2225" customWidth="1"/>
    <col min="7438" max="7438" width="23.90625" style="2225" customWidth="1"/>
    <col min="7439" max="7439" width="2.81640625" style="2225" bestFit="1" customWidth="1"/>
    <col min="7440" max="7678" width="8.90625" style="2225"/>
    <col min="7679" max="7680" width="8.90625" style="2225" customWidth="1"/>
    <col min="7681" max="7681" width="10.1796875" style="2225" customWidth="1"/>
    <col min="7682" max="7682" width="2.1796875" style="2225" customWidth="1"/>
    <col min="7683" max="7683" width="50.453125" style="2225" customWidth="1"/>
    <col min="7684" max="7684" width="8.90625" style="2225"/>
    <col min="7685" max="7685" width="2.08984375" style="2225" customWidth="1"/>
    <col min="7686" max="7686" width="23.90625" style="2225" customWidth="1"/>
    <col min="7687" max="7687" width="2.08984375" style="2225" customWidth="1"/>
    <col min="7688" max="7688" width="23.90625" style="2225" customWidth="1"/>
    <col min="7689" max="7689" width="2.08984375" style="2225" customWidth="1"/>
    <col min="7690" max="7690" width="23.90625" style="2225" customWidth="1"/>
    <col min="7691" max="7691" width="2.08984375" style="2225" customWidth="1"/>
    <col min="7692" max="7692" width="23.90625" style="2225" customWidth="1"/>
    <col min="7693" max="7693" width="2.08984375" style="2225" customWidth="1"/>
    <col min="7694" max="7694" width="23.90625" style="2225" customWidth="1"/>
    <col min="7695" max="7695" width="2.81640625" style="2225" bestFit="1" customWidth="1"/>
    <col min="7696" max="7934" width="8.90625" style="2225"/>
    <col min="7935" max="7936" width="8.90625" style="2225" customWidth="1"/>
    <col min="7937" max="7937" width="10.1796875" style="2225" customWidth="1"/>
    <col min="7938" max="7938" width="2.1796875" style="2225" customWidth="1"/>
    <col min="7939" max="7939" width="50.453125" style="2225" customWidth="1"/>
    <col min="7940" max="7940" width="8.90625" style="2225"/>
    <col min="7941" max="7941" width="2.08984375" style="2225" customWidth="1"/>
    <col min="7942" max="7942" width="23.90625" style="2225" customWidth="1"/>
    <col min="7943" max="7943" width="2.08984375" style="2225" customWidth="1"/>
    <col min="7944" max="7944" width="23.90625" style="2225" customWidth="1"/>
    <col min="7945" max="7945" width="2.08984375" style="2225" customWidth="1"/>
    <col min="7946" max="7946" width="23.90625" style="2225" customWidth="1"/>
    <col min="7947" max="7947" width="2.08984375" style="2225" customWidth="1"/>
    <col min="7948" max="7948" width="23.90625" style="2225" customWidth="1"/>
    <col min="7949" max="7949" width="2.08984375" style="2225" customWidth="1"/>
    <col min="7950" max="7950" width="23.90625" style="2225" customWidth="1"/>
    <col min="7951" max="7951" width="2.81640625" style="2225" bestFit="1" customWidth="1"/>
    <col min="7952" max="8190" width="8.90625" style="2225"/>
    <col min="8191" max="8192" width="8.90625" style="2225" customWidth="1"/>
    <col min="8193" max="8193" width="10.1796875" style="2225" customWidth="1"/>
    <col min="8194" max="8194" width="2.1796875" style="2225" customWidth="1"/>
    <col min="8195" max="8195" width="50.453125" style="2225" customWidth="1"/>
    <col min="8196" max="8196" width="8.90625" style="2225"/>
    <col min="8197" max="8197" width="2.08984375" style="2225" customWidth="1"/>
    <col min="8198" max="8198" width="23.90625" style="2225" customWidth="1"/>
    <col min="8199" max="8199" width="2.08984375" style="2225" customWidth="1"/>
    <col min="8200" max="8200" width="23.90625" style="2225" customWidth="1"/>
    <col min="8201" max="8201" width="2.08984375" style="2225" customWidth="1"/>
    <col min="8202" max="8202" width="23.90625" style="2225" customWidth="1"/>
    <col min="8203" max="8203" width="2.08984375" style="2225" customWidth="1"/>
    <col min="8204" max="8204" width="23.90625" style="2225" customWidth="1"/>
    <col min="8205" max="8205" width="2.08984375" style="2225" customWidth="1"/>
    <col min="8206" max="8206" width="23.90625" style="2225" customWidth="1"/>
    <col min="8207" max="8207" width="2.81640625" style="2225" bestFit="1" customWidth="1"/>
    <col min="8208" max="8446" width="8.90625" style="2225"/>
    <col min="8447" max="8448" width="8.90625" style="2225" customWidth="1"/>
    <col min="8449" max="8449" width="10.1796875" style="2225" customWidth="1"/>
    <col min="8450" max="8450" width="2.1796875" style="2225" customWidth="1"/>
    <col min="8451" max="8451" width="50.453125" style="2225" customWidth="1"/>
    <col min="8452" max="8452" width="8.90625" style="2225"/>
    <col min="8453" max="8453" width="2.08984375" style="2225" customWidth="1"/>
    <col min="8454" max="8454" width="23.90625" style="2225" customWidth="1"/>
    <col min="8455" max="8455" width="2.08984375" style="2225" customWidth="1"/>
    <col min="8456" max="8456" width="23.90625" style="2225" customWidth="1"/>
    <col min="8457" max="8457" width="2.08984375" style="2225" customWidth="1"/>
    <col min="8458" max="8458" width="23.90625" style="2225" customWidth="1"/>
    <col min="8459" max="8459" width="2.08984375" style="2225" customWidth="1"/>
    <col min="8460" max="8460" width="23.90625" style="2225" customWidth="1"/>
    <col min="8461" max="8461" width="2.08984375" style="2225" customWidth="1"/>
    <col min="8462" max="8462" width="23.90625" style="2225" customWidth="1"/>
    <col min="8463" max="8463" width="2.81640625" style="2225" bestFit="1" customWidth="1"/>
    <col min="8464" max="8702" width="8.90625" style="2225"/>
    <col min="8703" max="8704" width="8.90625" style="2225" customWidth="1"/>
    <col min="8705" max="8705" width="10.1796875" style="2225" customWidth="1"/>
    <col min="8706" max="8706" width="2.1796875" style="2225" customWidth="1"/>
    <col min="8707" max="8707" width="50.453125" style="2225" customWidth="1"/>
    <col min="8708" max="8708" width="8.90625" style="2225"/>
    <col min="8709" max="8709" width="2.08984375" style="2225" customWidth="1"/>
    <col min="8710" max="8710" width="23.90625" style="2225" customWidth="1"/>
    <col min="8711" max="8711" width="2.08984375" style="2225" customWidth="1"/>
    <col min="8712" max="8712" width="23.90625" style="2225" customWidth="1"/>
    <col min="8713" max="8713" width="2.08984375" style="2225" customWidth="1"/>
    <col min="8714" max="8714" width="23.90625" style="2225" customWidth="1"/>
    <col min="8715" max="8715" width="2.08984375" style="2225" customWidth="1"/>
    <col min="8716" max="8716" width="23.90625" style="2225" customWidth="1"/>
    <col min="8717" max="8717" width="2.08984375" style="2225" customWidth="1"/>
    <col min="8718" max="8718" width="23.90625" style="2225" customWidth="1"/>
    <col min="8719" max="8719" width="2.81640625" style="2225" bestFit="1" customWidth="1"/>
    <col min="8720" max="8958" width="8.90625" style="2225"/>
    <col min="8959" max="8960" width="8.90625" style="2225" customWidth="1"/>
    <col min="8961" max="8961" width="10.1796875" style="2225" customWidth="1"/>
    <col min="8962" max="8962" width="2.1796875" style="2225" customWidth="1"/>
    <col min="8963" max="8963" width="50.453125" style="2225" customWidth="1"/>
    <col min="8964" max="8964" width="8.90625" style="2225"/>
    <col min="8965" max="8965" width="2.08984375" style="2225" customWidth="1"/>
    <col min="8966" max="8966" width="23.90625" style="2225" customWidth="1"/>
    <col min="8967" max="8967" width="2.08984375" style="2225" customWidth="1"/>
    <col min="8968" max="8968" width="23.90625" style="2225" customWidth="1"/>
    <col min="8969" max="8969" width="2.08984375" style="2225" customWidth="1"/>
    <col min="8970" max="8970" width="23.90625" style="2225" customWidth="1"/>
    <col min="8971" max="8971" width="2.08984375" style="2225" customWidth="1"/>
    <col min="8972" max="8972" width="23.90625" style="2225" customWidth="1"/>
    <col min="8973" max="8973" width="2.08984375" style="2225" customWidth="1"/>
    <col min="8974" max="8974" width="23.90625" style="2225" customWidth="1"/>
    <col min="8975" max="8975" width="2.81640625" style="2225" bestFit="1" customWidth="1"/>
    <col min="8976" max="9214" width="8.90625" style="2225"/>
    <col min="9215" max="9216" width="8.90625" style="2225" customWidth="1"/>
    <col min="9217" max="9217" width="10.1796875" style="2225" customWidth="1"/>
    <col min="9218" max="9218" width="2.1796875" style="2225" customWidth="1"/>
    <col min="9219" max="9219" width="50.453125" style="2225" customWidth="1"/>
    <col min="9220" max="9220" width="8.90625" style="2225"/>
    <col min="9221" max="9221" width="2.08984375" style="2225" customWidth="1"/>
    <col min="9222" max="9222" width="23.90625" style="2225" customWidth="1"/>
    <col min="9223" max="9223" width="2.08984375" style="2225" customWidth="1"/>
    <col min="9224" max="9224" width="23.90625" style="2225" customWidth="1"/>
    <col min="9225" max="9225" width="2.08984375" style="2225" customWidth="1"/>
    <col min="9226" max="9226" width="23.90625" style="2225" customWidth="1"/>
    <col min="9227" max="9227" width="2.08984375" style="2225" customWidth="1"/>
    <col min="9228" max="9228" width="23.90625" style="2225" customWidth="1"/>
    <col min="9229" max="9229" width="2.08984375" style="2225" customWidth="1"/>
    <col min="9230" max="9230" width="23.90625" style="2225" customWidth="1"/>
    <col min="9231" max="9231" width="2.81640625" style="2225" bestFit="1" customWidth="1"/>
    <col min="9232" max="9470" width="8.90625" style="2225"/>
    <col min="9471" max="9472" width="8.90625" style="2225" customWidth="1"/>
    <col min="9473" max="9473" width="10.1796875" style="2225" customWidth="1"/>
    <col min="9474" max="9474" width="2.1796875" style="2225" customWidth="1"/>
    <col min="9475" max="9475" width="50.453125" style="2225" customWidth="1"/>
    <col min="9476" max="9476" width="8.90625" style="2225"/>
    <col min="9477" max="9477" width="2.08984375" style="2225" customWidth="1"/>
    <col min="9478" max="9478" width="23.90625" style="2225" customWidth="1"/>
    <col min="9479" max="9479" width="2.08984375" style="2225" customWidth="1"/>
    <col min="9480" max="9480" width="23.90625" style="2225" customWidth="1"/>
    <col min="9481" max="9481" width="2.08984375" style="2225" customWidth="1"/>
    <col min="9482" max="9482" width="23.90625" style="2225" customWidth="1"/>
    <col min="9483" max="9483" width="2.08984375" style="2225" customWidth="1"/>
    <col min="9484" max="9484" width="23.90625" style="2225" customWidth="1"/>
    <col min="9485" max="9485" width="2.08984375" style="2225" customWidth="1"/>
    <col min="9486" max="9486" width="23.90625" style="2225" customWidth="1"/>
    <col min="9487" max="9487" width="2.81640625" style="2225" bestFit="1" customWidth="1"/>
    <col min="9488" max="9726" width="8.90625" style="2225"/>
    <col min="9727" max="9728" width="8.90625" style="2225" customWidth="1"/>
    <col min="9729" max="9729" width="10.1796875" style="2225" customWidth="1"/>
    <col min="9730" max="9730" width="2.1796875" style="2225" customWidth="1"/>
    <col min="9731" max="9731" width="50.453125" style="2225" customWidth="1"/>
    <col min="9732" max="9732" width="8.90625" style="2225"/>
    <col min="9733" max="9733" width="2.08984375" style="2225" customWidth="1"/>
    <col min="9734" max="9734" width="23.90625" style="2225" customWidth="1"/>
    <col min="9735" max="9735" width="2.08984375" style="2225" customWidth="1"/>
    <col min="9736" max="9736" width="23.90625" style="2225" customWidth="1"/>
    <col min="9737" max="9737" width="2.08984375" style="2225" customWidth="1"/>
    <col min="9738" max="9738" width="23.90625" style="2225" customWidth="1"/>
    <col min="9739" max="9739" width="2.08984375" style="2225" customWidth="1"/>
    <col min="9740" max="9740" width="23.90625" style="2225" customWidth="1"/>
    <col min="9741" max="9741" width="2.08984375" style="2225" customWidth="1"/>
    <col min="9742" max="9742" width="23.90625" style="2225" customWidth="1"/>
    <col min="9743" max="9743" width="2.81640625" style="2225" bestFit="1" customWidth="1"/>
    <col min="9744" max="9982" width="8.90625" style="2225"/>
    <col min="9983" max="9984" width="8.90625" style="2225" customWidth="1"/>
    <col min="9985" max="9985" width="10.1796875" style="2225" customWidth="1"/>
    <col min="9986" max="9986" width="2.1796875" style="2225" customWidth="1"/>
    <col min="9987" max="9987" width="50.453125" style="2225" customWidth="1"/>
    <col min="9988" max="9988" width="8.90625" style="2225"/>
    <col min="9989" max="9989" width="2.08984375" style="2225" customWidth="1"/>
    <col min="9990" max="9990" width="23.90625" style="2225" customWidth="1"/>
    <col min="9991" max="9991" width="2.08984375" style="2225" customWidth="1"/>
    <col min="9992" max="9992" width="23.90625" style="2225" customWidth="1"/>
    <col min="9993" max="9993" width="2.08984375" style="2225" customWidth="1"/>
    <col min="9994" max="9994" width="23.90625" style="2225" customWidth="1"/>
    <col min="9995" max="9995" width="2.08984375" style="2225" customWidth="1"/>
    <col min="9996" max="9996" width="23.90625" style="2225" customWidth="1"/>
    <col min="9997" max="9997" width="2.08984375" style="2225" customWidth="1"/>
    <col min="9998" max="9998" width="23.90625" style="2225" customWidth="1"/>
    <col min="9999" max="9999" width="2.81640625" style="2225" bestFit="1" customWidth="1"/>
    <col min="10000" max="10238" width="8.90625" style="2225"/>
    <col min="10239" max="10240" width="8.90625" style="2225" customWidth="1"/>
    <col min="10241" max="10241" width="10.1796875" style="2225" customWidth="1"/>
    <col min="10242" max="10242" width="2.1796875" style="2225" customWidth="1"/>
    <col min="10243" max="10243" width="50.453125" style="2225" customWidth="1"/>
    <col min="10244" max="10244" width="8.90625" style="2225"/>
    <col min="10245" max="10245" width="2.08984375" style="2225" customWidth="1"/>
    <col min="10246" max="10246" width="23.90625" style="2225" customWidth="1"/>
    <col min="10247" max="10247" width="2.08984375" style="2225" customWidth="1"/>
    <col min="10248" max="10248" width="23.90625" style="2225" customWidth="1"/>
    <col min="10249" max="10249" width="2.08984375" style="2225" customWidth="1"/>
    <col min="10250" max="10250" width="23.90625" style="2225" customWidth="1"/>
    <col min="10251" max="10251" width="2.08984375" style="2225" customWidth="1"/>
    <col min="10252" max="10252" width="23.90625" style="2225" customWidth="1"/>
    <col min="10253" max="10253" width="2.08984375" style="2225" customWidth="1"/>
    <col min="10254" max="10254" width="23.90625" style="2225" customWidth="1"/>
    <col min="10255" max="10255" width="2.81640625" style="2225" bestFit="1" customWidth="1"/>
    <col min="10256" max="10494" width="8.90625" style="2225"/>
    <col min="10495" max="10496" width="8.90625" style="2225" customWidth="1"/>
    <col min="10497" max="10497" width="10.1796875" style="2225" customWidth="1"/>
    <col min="10498" max="10498" width="2.1796875" style="2225" customWidth="1"/>
    <col min="10499" max="10499" width="50.453125" style="2225" customWidth="1"/>
    <col min="10500" max="10500" width="8.90625" style="2225"/>
    <col min="10501" max="10501" width="2.08984375" style="2225" customWidth="1"/>
    <col min="10502" max="10502" width="23.90625" style="2225" customWidth="1"/>
    <col min="10503" max="10503" width="2.08984375" style="2225" customWidth="1"/>
    <col min="10504" max="10504" width="23.90625" style="2225" customWidth="1"/>
    <col min="10505" max="10505" width="2.08984375" style="2225" customWidth="1"/>
    <col min="10506" max="10506" width="23.90625" style="2225" customWidth="1"/>
    <col min="10507" max="10507" width="2.08984375" style="2225" customWidth="1"/>
    <col min="10508" max="10508" width="23.90625" style="2225" customWidth="1"/>
    <col min="10509" max="10509" width="2.08984375" style="2225" customWidth="1"/>
    <col min="10510" max="10510" width="23.90625" style="2225" customWidth="1"/>
    <col min="10511" max="10511" width="2.81640625" style="2225" bestFit="1" customWidth="1"/>
    <col min="10512" max="10750" width="8.90625" style="2225"/>
    <col min="10751" max="10752" width="8.90625" style="2225" customWidth="1"/>
    <col min="10753" max="10753" width="10.1796875" style="2225" customWidth="1"/>
    <col min="10754" max="10754" width="2.1796875" style="2225" customWidth="1"/>
    <col min="10755" max="10755" width="50.453125" style="2225" customWidth="1"/>
    <col min="10756" max="10756" width="8.90625" style="2225"/>
    <col min="10757" max="10757" width="2.08984375" style="2225" customWidth="1"/>
    <col min="10758" max="10758" width="23.90625" style="2225" customWidth="1"/>
    <col min="10759" max="10759" width="2.08984375" style="2225" customWidth="1"/>
    <col min="10760" max="10760" width="23.90625" style="2225" customWidth="1"/>
    <col min="10761" max="10761" width="2.08984375" style="2225" customWidth="1"/>
    <col min="10762" max="10762" width="23.90625" style="2225" customWidth="1"/>
    <col min="10763" max="10763" width="2.08984375" style="2225" customWidth="1"/>
    <col min="10764" max="10764" width="23.90625" style="2225" customWidth="1"/>
    <col min="10765" max="10765" width="2.08984375" style="2225" customWidth="1"/>
    <col min="10766" max="10766" width="23.90625" style="2225" customWidth="1"/>
    <col min="10767" max="10767" width="2.81640625" style="2225" bestFit="1" customWidth="1"/>
    <col min="10768" max="11006" width="8.90625" style="2225"/>
    <col min="11007" max="11008" width="8.90625" style="2225" customWidth="1"/>
    <col min="11009" max="11009" width="10.1796875" style="2225" customWidth="1"/>
    <col min="11010" max="11010" width="2.1796875" style="2225" customWidth="1"/>
    <col min="11011" max="11011" width="50.453125" style="2225" customWidth="1"/>
    <col min="11012" max="11012" width="8.90625" style="2225"/>
    <col min="11013" max="11013" width="2.08984375" style="2225" customWidth="1"/>
    <col min="11014" max="11014" width="23.90625" style="2225" customWidth="1"/>
    <col min="11015" max="11015" width="2.08984375" style="2225" customWidth="1"/>
    <col min="11016" max="11016" width="23.90625" style="2225" customWidth="1"/>
    <col min="11017" max="11017" width="2.08984375" style="2225" customWidth="1"/>
    <col min="11018" max="11018" width="23.90625" style="2225" customWidth="1"/>
    <col min="11019" max="11019" width="2.08984375" style="2225" customWidth="1"/>
    <col min="11020" max="11020" width="23.90625" style="2225" customWidth="1"/>
    <col min="11021" max="11021" width="2.08984375" style="2225" customWidth="1"/>
    <col min="11022" max="11022" width="23.90625" style="2225" customWidth="1"/>
    <col min="11023" max="11023" width="2.81640625" style="2225" bestFit="1" customWidth="1"/>
    <col min="11024" max="11262" width="8.90625" style="2225"/>
    <col min="11263" max="11264" width="8.90625" style="2225" customWidth="1"/>
    <col min="11265" max="11265" width="10.1796875" style="2225" customWidth="1"/>
    <col min="11266" max="11266" width="2.1796875" style="2225" customWidth="1"/>
    <col min="11267" max="11267" width="50.453125" style="2225" customWidth="1"/>
    <col min="11268" max="11268" width="8.90625" style="2225"/>
    <col min="11269" max="11269" width="2.08984375" style="2225" customWidth="1"/>
    <col min="11270" max="11270" width="23.90625" style="2225" customWidth="1"/>
    <col min="11271" max="11271" width="2.08984375" style="2225" customWidth="1"/>
    <col min="11272" max="11272" width="23.90625" style="2225" customWidth="1"/>
    <col min="11273" max="11273" width="2.08984375" style="2225" customWidth="1"/>
    <col min="11274" max="11274" width="23.90625" style="2225" customWidth="1"/>
    <col min="11275" max="11275" width="2.08984375" style="2225" customWidth="1"/>
    <col min="11276" max="11276" width="23.90625" style="2225" customWidth="1"/>
    <col min="11277" max="11277" width="2.08984375" style="2225" customWidth="1"/>
    <col min="11278" max="11278" width="23.90625" style="2225" customWidth="1"/>
    <col min="11279" max="11279" width="2.81640625" style="2225" bestFit="1" customWidth="1"/>
    <col min="11280" max="11518" width="8.90625" style="2225"/>
    <col min="11519" max="11520" width="8.90625" style="2225" customWidth="1"/>
    <col min="11521" max="11521" width="10.1796875" style="2225" customWidth="1"/>
    <col min="11522" max="11522" width="2.1796875" style="2225" customWidth="1"/>
    <col min="11523" max="11523" width="50.453125" style="2225" customWidth="1"/>
    <col min="11524" max="11524" width="8.90625" style="2225"/>
    <col min="11525" max="11525" width="2.08984375" style="2225" customWidth="1"/>
    <col min="11526" max="11526" width="23.90625" style="2225" customWidth="1"/>
    <col min="11527" max="11527" width="2.08984375" style="2225" customWidth="1"/>
    <col min="11528" max="11528" width="23.90625" style="2225" customWidth="1"/>
    <col min="11529" max="11529" width="2.08984375" style="2225" customWidth="1"/>
    <col min="11530" max="11530" width="23.90625" style="2225" customWidth="1"/>
    <col min="11531" max="11531" width="2.08984375" style="2225" customWidth="1"/>
    <col min="11532" max="11532" width="23.90625" style="2225" customWidth="1"/>
    <col min="11533" max="11533" width="2.08984375" style="2225" customWidth="1"/>
    <col min="11534" max="11534" width="23.90625" style="2225" customWidth="1"/>
    <col min="11535" max="11535" width="2.81640625" style="2225" bestFit="1" customWidth="1"/>
    <col min="11536" max="11774" width="8.90625" style="2225"/>
    <col min="11775" max="11776" width="8.90625" style="2225" customWidth="1"/>
    <col min="11777" max="11777" width="10.1796875" style="2225" customWidth="1"/>
    <col min="11778" max="11778" width="2.1796875" style="2225" customWidth="1"/>
    <col min="11779" max="11779" width="50.453125" style="2225" customWidth="1"/>
    <col min="11780" max="11780" width="8.90625" style="2225"/>
    <col min="11781" max="11781" width="2.08984375" style="2225" customWidth="1"/>
    <col min="11782" max="11782" width="23.90625" style="2225" customWidth="1"/>
    <col min="11783" max="11783" width="2.08984375" style="2225" customWidth="1"/>
    <col min="11784" max="11784" width="23.90625" style="2225" customWidth="1"/>
    <col min="11785" max="11785" width="2.08984375" style="2225" customWidth="1"/>
    <col min="11786" max="11786" width="23.90625" style="2225" customWidth="1"/>
    <col min="11787" max="11787" width="2.08984375" style="2225" customWidth="1"/>
    <col min="11788" max="11788" width="23.90625" style="2225" customWidth="1"/>
    <col min="11789" max="11789" width="2.08984375" style="2225" customWidth="1"/>
    <col min="11790" max="11790" width="23.90625" style="2225" customWidth="1"/>
    <col min="11791" max="11791" width="2.81640625" style="2225" bestFit="1" customWidth="1"/>
    <col min="11792" max="12030" width="8.90625" style="2225"/>
    <col min="12031" max="12032" width="8.90625" style="2225" customWidth="1"/>
    <col min="12033" max="12033" width="10.1796875" style="2225" customWidth="1"/>
    <col min="12034" max="12034" width="2.1796875" style="2225" customWidth="1"/>
    <col min="12035" max="12035" width="50.453125" style="2225" customWidth="1"/>
    <col min="12036" max="12036" width="8.90625" style="2225"/>
    <col min="12037" max="12037" width="2.08984375" style="2225" customWidth="1"/>
    <col min="12038" max="12038" width="23.90625" style="2225" customWidth="1"/>
    <col min="12039" max="12039" width="2.08984375" style="2225" customWidth="1"/>
    <col min="12040" max="12040" width="23.90625" style="2225" customWidth="1"/>
    <col min="12041" max="12041" width="2.08984375" style="2225" customWidth="1"/>
    <col min="12042" max="12042" width="23.90625" style="2225" customWidth="1"/>
    <col min="12043" max="12043" width="2.08984375" style="2225" customWidth="1"/>
    <col min="12044" max="12044" width="23.90625" style="2225" customWidth="1"/>
    <col min="12045" max="12045" width="2.08984375" style="2225" customWidth="1"/>
    <col min="12046" max="12046" width="23.90625" style="2225" customWidth="1"/>
    <col min="12047" max="12047" width="2.81640625" style="2225" bestFit="1" customWidth="1"/>
    <col min="12048" max="12286" width="8.90625" style="2225"/>
    <col min="12287" max="12288" width="8.90625" style="2225" customWidth="1"/>
    <col min="12289" max="12289" width="10.1796875" style="2225" customWidth="1"/>
    <col min="12290" max="12290" width="2.1796875" style="2225" customWidth="1"/>
    <col min="12291" max="12291" width="50.453125" style="2225" customWidth="1"/>
    <col min="12292" max="12292" width="8.90625" style="2225"/>
    <col min="12293" max="12293" width="2.08984375" style="2225" customWidth="1"/>
    <col min="12294" max="12294" width="23.90625" style="2225" customWidth="1"/>
    <col min="12295" max="12295" width="2.08984375" style="2225" customWidth="1"/>
    <col min="12296" max="12296" width="23.90625" style="2225" customWidth="1"/>
    <col min="12297" max="12297" width="2.08984375" style="2225" customWidth="1"/>
    <col min="12298" max="12298" width="23.90625" style="2225" customWidth="1"/>
    <col min="12299" max="12299" width="2.08984375" style="2225" customWidth="1"/>
    <col min="12300" max="12300" width="23.90625" style="2225" customWidth="1"/>
    <col min="12301" max="12301" width="2.08984375" style="2225" customWidth="1"/>
    <col min="12302" max="12302" width="23.90625" style="2225" customWidth="1"/>
    <col min="12303" max="12303" width="2.81640625" style="2225" bestFit="1" customWidth="1"/>
    <col min="12304" max="12542" width="8.90625" style="2225"/>
    <col min="12543" max="12544" width="8.90625" style="2225" customWidth="1"/>
    <col min="12545" max="12545" width="10.1796875" style="2225" customWidth="1"/>
    <col min="12546" max="12546" width="2.1796875" style="2225" customWidth="1"/>
    <col min="12547" max="12547" width="50.453125" style="2225" customWidth="1"/>
    <col min="12548" max="12548" width="8.90625" style="2225"/>
    <col min="12549" max="12549" width="2.08984375" style="2225" customWidth="1"/>
    <col min="12550" max="12550" width="23.90625" style="2225" customWidth="1"/>
    <col min="12551" max="12551" width="2.08984375" style="2225" customWidth="1"/>
    <col min="12552" max="12552" width="23.90625" style="2225" customWidth="1"/>
    <col min="12553" max="12553" width="2.08984375" style="2225" customWidth="1"/>
    <col min="12554" max="12554" width="23.90625" style="2225" customWidth="1"/>
    <col min="12555" max="12555" width="2.08984375" style="2225" customWidth="1"/>
    <col min="12556" max="12556" width="23.90625" style="2225" customWidth="1"/>
    <col min="12557" max="12557" width="2.08984375" style="2225" customWidth="1"/>
    <col min="12558" max="12558" width="23.90625" style="2225" customWidth="1"/>
    <col min="12559" max="12559" width="2.81640625" style="2225" bestFit="1" customWidth="1"/>
    <col min="12560" max="12798" width="8.90625" style="2225"/>
    <col min="12799" max="12800" width="8.90625" style="2225" customWidth="1"/>
    <col min="12801" max="12801" width="10.1796875" style="2225" customWidth="1"/>
    <col min="12802" max="12802" width="2.1796875" style="2225" customWidth="1"/>
    <col min="12803" max="12803" width="50.453125" style="2225" customWidth="1"/>
    <col min="12804" max="12804" width="8.90625" style="2225"/>
    <col min="12805" max="12805" width="2.08984375" style="2225" customWidth="1"/>
    <col min="12806" max="12806" width="23.90625" style="2225" customWidth="1"/>
    <col min="12807" max="12807" width="2.08984375" style="2225" customWidth="1"/>
    <col min="12808" max="12808" width="23.90625" style="2225" customWidth="1"/>
    <col min="12809" max="12809" width="2.08984375" style="2225" customWidth="1"/>
    <col min="12810" max="12810" width="23.90625" style="2225" customWidth="1"/>
    <col min="12811" max="12811" width="2.08984375" style="2225" customWidth="1"/>
    <col min="12812" max="12812" width="23.90625" style="2225" customWidth="1"/>
    <col min="12813" max="12813" width="2.08984375" style="2225" customWidth="1"/>
    <col min="12814" max="12814" width="23.90625" style="2225" customWidth="1"/>
    <col min="12815" max="12815" width="2.81640625" style="2225" bestFit="1" customWidth="1"/>
    <col min="12816" max="13054" width="8.90625" style="2225"/>
    <col min="13055" max="13056" width="8.90625" style="2225" customWidth="1"/>
    <col min="13057" max="13057" width="10.1796875" style="2225" customWidth="1"/>
    <col min="13058" max="13058" width="2.1796875" style="2225" customWidth="1"/>
    <col min="13059" max="13059" width="50.453125" style="2225" customWidth="1"/>
    <col min="13060" max="13060" width="8.90625" style="2225"/>
    <col min="13061" max="13061" width="2.08984375" style="2225" customWidth="1"/>
    <col min="13062" max="13062" width="23.90625" style="2225" customWidth="1"/>
    <col min="13063" max="13063" width="2.08984375" style="2225" customWidth="1"/>
    <col min="13064" max="13064" width="23.90625" style="2225" customWidth="1"/>
    <col min="13065" max="13065" width="2.08984375" style="2225" customWidth="1"/>
    <col min="13066" max="13066" width="23.90625" style="2225" customWidth="1"/>
    <col min="13067" max="13067" width="2.08984375" style="2225" customWidth="1"/>
    <col min="13068" max="13068" width="23.90625" style="2225" customWidth="1"/>
    <col min="13069" max="13069" width="2.08984375" style="2225" customWidth="1"/>
    <col min="13070" max="13070" width="23.90625" style="2225" customWidth="1"/>
    <col min="13071" max="13071" width="2.81640625" style="2225" bestFit="1" customWidth="1"/>
    <col min="13072" max="13310" width="8.90625" style="2225"/>
    <col min="13311" max="13312" width="8.90625" style="2225" customWidth="1"/>
    <col min="13313" max="13313" width="10.1796875" style="2225" customWidth="1"/>
    <col min="13314" max="13314" width="2.1796875" style="2225" customWidth="1"/>
    <col min="13315" max="13315" width="50.453125" style="2225" customWidth="1"/>
    <col min="13316" max="13316" width="8.90625" style="2225"/>
    <col min="13317" max="13317" width="2.08984375" style="2225" customWidth="1"/>
    <col min="13318" max="13318" width="23.90625" style="2225" customWidth="1"/>
    <col min="13319" max="13319" width="2.08984375" style="2225" customWidth="1"/>
    <col min="13320" max="13320" width="23.90625" style="2225" customWidth="1"/>
    <col min="13321" max="13321" width="2.08984375" style="2225" customWidth="1"/>
    <col min="13322" max="13322" width="23.90625" style="2225" customWidth="1"/>
    <col min="13323" max="13323" width="2.08984375" style="2225" customWidth="1"/>
    <col min="13324" max="13324" width="23.90625" style="2225" customWidth="1"/>
    <col min="13325" max="13325" width="2.08984375" style="2225" customWidth="1"/>
    <col min="13326" max="13326" width="23.90625" style="2225" customWidth="1"/>
    <col min="13327" max="13327" width="2.81640625" style="2225" bestFit="1" customWidth="1"/>
    <col min="13328" max="13566" width="8.90625" style="2225"/>
    <col min="13567" max="13568" width="8.90625" style="2225" customWidth="1"/>
    <col min="13569" max="13569" width="10.1796875" style="2225" customWidth="1"/>
    <col min="13570" max="13570" width="2.1796875" style="2225" customWidth="1"/>
    <col min="13571" max="13571" width="50.453125" style="2225" customWidth="1"/>
    <col min="13572" max="13572" width="8.90625" style="2225"/>
    <col min="13573" max="13573" width="2.08984375" style="2225" customWidth="1"/>
    <col min="13574" max="13574" width="23.90625" style="2225" customWidth="1"/>
    <col min="13575" max="13575" width="2.08984375" style="2225" customWidth="1"/>
    <col min="13576" max="13576" width="23.90625" style="2225" customWidth="1"/>
    <col min="13577" max="13577" width="2.08984375" style="2225" customWidth="1"/>
    <col min="13578" max="13578" width="23.90625" style="2225" customWidth="1"/>
    <col min="13579" max="13579" width="2.08984375" style="2225" customWidth="1"/>
    <col min="13580" max="13580" width="23.90625" style="2225" customWidth="1"/>
    <col min="13581" max="13581" width="2.08984375" style="2225" customWidth="1"/>
    <col min="13582" max="13582" width="23.90625" style="2225" customWidth="1"/>
    <col min="13583" max="13583" width="2.81640625" style="2225" bestFit="1" customWidth="1"/>
    <col min="13584" max="13822" width="8.90625" style="2225"/>
    <col min="13823" max="13824" width="8.90625" style="2225" customWidth="1"/>
    <col min="13825" max="13825" width="10.1796875" style="2225" customWidth="1"/>
    <col min="13826" max="13826" width="2.1796875" style="2225" customWidth="1"/>
    <col min="13827" max="13827" width="50.453125" style="2225" customWidth="1"/>
    <col min="13828" max="13828" width="8.90625" style="2225"/>
    <col min="13829" max="13829" width="2.08984375" style="2225" customWidth="1"/>
    <col min="13830" max="13830" width="23.90625" style="2225" customWidth="1"/>
    <col min="13831" max="13831" width="2.08984375" style="2225" customWidth="1"/>
    <col min="13832" max="13832" width="23.90625" style="2225" customWidth="1"/>
    <col min="13833" max="13833" width="2.08984375" style="2225" customWidth="1"/>
    <col min="13834" max="13834" width="23.90625" style="2225" customWidth="1"/>
    <col min="13835" max="13835" width="2.08984375" style="2225" customWidth="1"/>
    <col min="13836" max="13836" width="23.90625" style="2225" customWidth="1"/>
    <col min="13837" max="13837" width="2.08984375" style="2225" customWidth="1"/>
    <col min="13838" max="13838" width="23.90625" style="2225" customWidth="1"/>
    <col min="13839" max="13839" width="2.81640625" style="2225" bestFit="1" customWidth="1"/>
    <col min="13840" max="14078" width="8.90625" style="2225"/>
    <col min="14079" max="14080" width="8.90625" style="2225" customWidth="1"/>
    <col min="14081" max="14081" width="10.1796875" style="2225" customWidth="1"/>
    <col min="14082" max="14082" width="2.1796875" style="2225" customWidth="1"/>
    <col min="14083" max="14083" width="50.453125" style="2225" customWidth="1"/>
    <col min="14084" max="14084" width="8.90625" style="2225"/>
    <col min="14085" max="14085" width="2.08984375" style="2225" customWidth="1"/>
    <col min="14086" max="14086" width="23.90625" style="2225" customWidth="1"/>
    <col min="14087" max="14087" width="2.08984375" style="2225" customWidth="1"/>
    <col min="14088" max="14088" width="23.90625" style="2225" customWidth="1"/>
    <col min="14089" max="14089" width="2.08984375" style="2225" customWidth="1"/>
    <col min="14090" max="14090" width="23.90625" style="2225" customWidth="1"/>
    <col min="14091" max="14091" width="2.08984375" style="2225" customWidth="1"/>
    <col min="14092" max="14092" width="23.90625" style="2225" customWidth="1"/>
    <col min="14093" max="14093" width="2.08984375" style="2225" customWidth="1"/>
    <col min="14094" max="14094" width="23.90625" style="2225" customWidth="1"/>
    <col min="14095" max="14095" width="2.81640625" style="2225" bestFit="1" customWidth="1"/>
    <col min="14096" max="14334" width="8.90625" style="2225"/>
    <col min="14335" max="14336" width="8.90625" style="2225" customWidth="1"/>
    <col min="14337" max="14337" width="10.1796875" style="2225" customWidth="1"/>
    <col min="14338" max="14338" width="2.1796875" style="2225" customWidth="1"/>
    <col min="14339" max="14339" width="50.453125" style="2225" customWidth="1"/>
    <col min="14340" max="14340" width="8.90625" style="2225"/>
    <col min="14341" max="14341" width="2.08984375" style="2225" customWidth="1"/>
    <col min="14342" max="14342" width="23.90625" style="2225" customWidth="1"/>
    <col min="14343" max="14343" width="2.08984375" style="2225" customWidth="1"/>
    <col min="14344" max="14344" width="23.90625" style="2225" customWidth="1"/>
    <col min="14345" max="14345" width="2.08984375" style="2225" customWidth="1"/>
    <col min="14346" max="14346" width="23.90625" style="2225" customWidth="1"/>
    <col min="14347" max="14347" width="2.08984375" style="2225" customWidth="1"/>
    <col min="14348" max="14348" width="23.90625" style="2225" customWidth="1"/>
    <col min="14349" max="14349" width="2.08984375" style="2225" customWidth="1"/>
    <col min="14350" max="14350" width="23.90625" style="2225" customWidth="1"/>
    <col min="14351" max="14351" width="2.81640625" style="2225" bestFit="1" customWidth="1"/>
    <col min="14352" max="14590" width="8.90625" style="2225"/>
    <col min="14591" max="14592" width="8.90625" style="2225" customWidth="1"/>
    <col min="14593" max="14593" width="10.1796875" style="2225" customWidth="1"/>
    <col min="14594" max="14594" width="2.1796875" style="2225" customWidth="1"/>
    <col min="14595" max="14595" width="50.453125" style="2225" customWidth="1"/>
    <col min="14596" max="14596" width="8.90625" style="2225"/>
    <col min="14597" max="14597" width="2.08984375" style="2225" customWidth="1"/>
    <col min="14598" max="14598" width="23.90625" style="2225" customWidth="1"/>
    <col min="14599" max="14599" width="2.08984375" style="2225" customWidth="1"/>
    <col min="14600" max="14600" width="23.90625" style="2225" customWidth="1"/>
    <col min="14601" max="14601" width="2.08984375" style="2225" customWidth="1"/>
    <col min="14602" max="14602" width="23.90625" style="2225" customWidth="1"/>
    <col min="14603" max="14603" width="2.08984375" style="2225" customWidth="1"/>
    <col min="14604" max="14604" width="23.90625" style="2225" customWidth="1"/>
    <col min="14605" max="14605" width="2.08984375" style="2225" customWidth="1"/>
    <col min="14606" max="14606" width="23.90625" style="2225" customWidth="1"/>
    <col min="14607" max="14607" width="2.81640625" style="2225" bestFit="1" customWidth="1"/>
    <col min="14608" max="14846" width="8.90625" style="2225"/>
    <col min="14847" max="14848" width="8.90625" style="2225" customWidth="1"/>
    <col min="14849" max="14849" width="10.1796875" style="2225" customWidth="1"/>
    <col min="14850" max="14850" width="2.1796875" style="2225" customWidth="1"/>
    <col min="14851" max="14851" width="50.453125" style="2225" customWidth="1"/>
    <col min="14852" max="14852" width="8.90625" style="2225"/>
    <col min="14853" max="14853" width="2.08984375" style="2225" customWidth="1"/>
    <col min="14854" max="14854" width="23.90625" style="2225" customWidth="1"/>
    <col min="14855" max="14855" width="2.08984375" style="2225" customWidth="1"/>
    <col min="14856" max="14856" width="23.90625" style="2225" customWidth="1"/>
    <col min="14857" max="14857" width="2.08984375" style="2225" customWidth="1"/>
    <col min="14858" max="14858" width="23.90625" style="2225" customWidth="1"/>
    <col min="14859" max="14859" width="2.08984375" style="2225" customWidth="1"/>
    <col min="14860" max="14860" width="23.90625" style="2225" customWidth="1"/>
    <col min="14861" max="14861" width="2.08984375" style="2225" customWidth="1"/>
    <col min="14862" max="14862" width="23.90625" style="2225" customWidth="1"/>
    <col min="14863" max="14863" width="2.81640625" style="2225" bestFit="1" customWidth="1"/>
    <col min="14864" max="15102" width="8.90625" style="2225"/>
    <col min="15103" max="15104" width="8.90625" style="2225" customWidth="1"/>
    <col min="15105" max="15105" width="10.1796875" style="2225" customWidth="1"/>
    <col min="15106" max="15106" width="2.1796875" style="2225" customWidth="1"/>
    <col min="15107" max="15107" width="50.453125" style="2225" customWidth="1"/>
    <col min="15108" max="15108" width="8.90625" style="2225"/>
    <col min="15109" max="15109" width="2.08984375" style="2225" customWidth="1"/>
    <col min="15110" max="15110" width="23.90625" style="2225" customWidth="1"/>
    <col min="15111" max="15111" width="2.08984375" style="2225" customWidth="1"/>
    <col min="15112" max="15112" width="23.90625" style="2225" customWidth="1"/>
    <col min="15113" max="15113" width="2.08984375" style="2225" customWidth="1"/>
    <col min="15114" max="15114" width="23.90625" style="2225" customWidth="1"/>
    <col min="15115" max="15115" width="2.08984375" style="2225" customWidth="1"/>
    <col min="15116" max="15116" width="23.90625" style="2225" customWidth="1"/>
    <col min="15117" max="15117" width="2.08984375" style="2225" customWidth="1"/>
    <col min="15118" max="15118" width="23.90625" style="2225" customWidth="1"/>
    <col min="15119" max="15119" width="2.81640625" style="2225" bestFit="1" customWidth="1"/>
    <col min="15120" max="15358" width="8.90625" style="2225"/>
    <col min="15359" max="15360" width="8.90625" style="2225" customWidth="1"/>
    <col min="15361" max="15361" width="10.1796875" style="2225" customWidth="1"/>
    <col min="15362" max="15362" width="2.1796875" style="2225" customWidth="1"/>
    <col min="15363" max="15363" width="50.453125" style="2225" customWidth="1"/>
    <col min="15364" max="15364" width="8.90625" style="2225"/>
    <col min="15365" max="15365" width="2.08984375" style="2225" customWidth="1"/>
    <col min="15366" max="15366" width="23.90625" style="2225" customWidth="1"/>
    <col min="15367" max="15367" width="2.08984375" style="2225" customWidth="1"/>
    <col min="15368" max="15368" width="23.90625" style="2225" customWidth="1"/>
    <col min="15369" max="15369" width="2.08984375" style="2225" customWidth="1"/>
    <col min="15370" max="15370" width="23.90625" style="2225" customWidth="1"/>
    <col min="15371" max="15371" width="2.08984375" style="2225" customWidth="1"/>
    <col min="15372" max="15372" width="23.90625" style="2225" customWidth="1"/>
    <col min="15373" max="15373" width="2.08984375" style="2225" customWidth="1"/>
    <col min="15374" max="15374" width="23.90625" style="2225" customWidth="1"/>
    <col min="15375" max="15375" width="2.81640625" style="2225" bestFit="1" customWidth="1"/>
    <col min="15376" max="15614" width="8.90625" style="2225"/>
    <col min="15615" max="15616" width="8.90625" style="2225" customWidth="1"/>
    <col min="15617" max="15617" width="10.1796875" style="2225" customWidth="1"/>
    <col min="15618" max="15618" width="2.1796875" style="2225" customWidth="1"/>
    <col min="15619" max="15619" width="50.453125" style="2225" customWidth="1"/>
    <col min="15620" max="15620" width="8.90625" style="2225"/>
    <col min="15621" max="15621" width="2.08984375" style="2225" customWidth="1"/>
    <col min="15622" max="15622" width="23.90625" style="2225" customWidth="1"/>
    <col min="15623" max="15623" width="2.08984375" style="2225" customWidth="1"/>
    <col min="15624" max="15624" width="23.90625" style="2225" customWidth="1"/>
    <col min="15625" max="15625" width="2.08984375" style="2225" customWidth="1"/>
    <col min="15626" max="15626" width="23.90625" style="2225" customWidth="1"/>
    <col min="15627" max="15627" width="2.08984375" style="2225" customWidth="1"/>
    <col min="15628" max="15628" width="23.90625" style="2225" customWidth="1"/>
    <col min="15629" max="15629" width="2.08984375" style="2225" customWidth="1"/>
    <col min="15630" max="15630" width="23.90625" style="2225" customWidth="1"/>
    <col min="15631" max="15631" width="2.81640625" style="2225" bestFit="1" customWidth="1"/>
    <col min="15632" max="15870" width="8.90625" style="2225"/>
    <col min="15871" max="15872" width="8.90625" style="2225" customWidth="1"/>
    <col min="15873" max="15873" width="10.1796875" style="2225" customWidth="1"/>
    <col min="15874" max="15874" width="2.1796875" style="2225" customWidth="1"/>
    <col min="15875" max="15875" width="50.453125" style="2225" customWidth="1"/>
    <col min="15876" max="15876" width="8.90625" style="2225"/>
    <col min="15877" max="15877" width="2.08984375" style="2225" customWidth="1"/>
    <col min="15878" max="15878" width="23.90625" style="2225" customWidth="1"/>
    <col min="15879" max="15879" width="2.08984375" style="2225" customWidth="1"/>
    <col min="15880" max="15880" width="23.90625" style="2225" customWidth="1"/>
    <col min="15881" max="15881" width="2.08984375" style="2225" customWidth="1"/>
    <col min="15882" max="15882" width="23.90625" style="2225" customWidth="1"/>
    <col min="15883" max="15883" width="2.08984375" style="2225" customWidth="1"/>
    <col min="15884" max="15884" width="23.90625" style="2225" customWidth="1"/>
    <col min="15885" max="15885" width="2.08984375" style="2225" customWidth="1"/>
    <col min="15886" max="15886" width="23.90625" style="2225" customWidth="1"/>
    <col min="15887" max="15887" width="2.81640625" style="2225" bestFit="1" customWidth="1"/>
    <col min="15888" max="16126" width="8.90625" style="2225"/>
    <col min="16127" max="16128" width="8.90625" style="2225" customWidth="1"/>
    <col min="16129" max="16129" width="10.1796875" style="2225" customWidth="1"/>
    <col min="16130" max="16130" width="2.1796875" style="2225" customWidth="1"/>
    <col min="16131" max="16131" width="50.453125" style="2225" customWidth="1"/>
    <col min="16132" max="16132" width="8.90625" style="2225"/>
    <col min="16133" max="16133" width="2.08984375" style="2225" customWidth="1"/>
    <col min="16134" max="16134" width="23.90625" style="2225" customWidth="1"/>
    <col min="16135" max="16135" width="2.08984375" style="2225" customWidth="1"/>
    <col min="16136" max="16136" width="23.90625" style="2225" customWidth="1"/>
    <col min="16137" max="16137" width="2.08984375" style="2225" customWidth="1"/>
    <col min="16138" max="16138" width="23.90625" style="2225" customWidth="1"/>
    <col min="16139" max="16139" width="2.08984375" style="2225" customWidth="1"/>
    <col min="16140" max="16140" width="23.90625" style="2225" customWidth="1"/>
    <col min="16141" max="16141" width="2.08984375" style="2225" customWidth="1"/>
    <col min="16142" max="16142" width="23.90625" style="2225" customWidth="1"/>
    <col min="16143" max="16143" width="2.81640625" style="2225" bestFit="1" customWidth="1"/>
    <col min="16144" max="16384" width="8.90625" style="2225"/>
  </cols>
  <sheetData>
    <row r="1" spans="2:16" ht="15.6">
      <c r="B1" s="1710"/>
      <c r="C1" s="2223"/>
      <c r="D1" s="1124" t="s">
        <v>1066</v>
      </c>
      <c r="E1" s="2223"/>
      <c r="F1" s="2224"/>
      <c r="H1" s="2223"/>
      <c r="J1" s="2223"/>
      <c r="L1" s="2223"/>
      <c r="M1" s="1710"/>
      <c r="N1" s="2223"/>
      <c r="P1" s="1226"/>
    </row>
    <row r="2" spans="2:16" ht="15.6">
      <c r="B2" s="1710"/>
      <c r="C2" s="2223"/>
      <c r="D2" s="1710"/>
      <c r="E2" s="2223"/>
      <c r="F2" s="2224"/>
      <c r="G2" s="2446"/>
      <c r="H2" s="2223"/>
      <c r="I2" s="2446"/>
      <c r="J2" s="2223"/>
      <c r="K2" s="2446"/>
      <c r="L2" s="2223"/>
      <c r="M2" s="1710"/>
      <c r="N2" s="2223"/>
      <c r="O2" s="2446" t="s">
        <v>619</v>
      </c>
      <c r="P2" s="1226"/>
    </row>
    <row r="3" spans="2:16" ht="15.6">
      <c r="B3" s="1710"/>
      <c r="C3" s="2223"/>
      <c r="D3" s="1710"/>
      <c r="E3" s="2223"/>
      <c r="F3" s="2224"/>
      <c r="G3" s="1227"/>
      <c r="H3" s="2223"/>
      <c r="I3" s="1227"/>
      <c r="J3" s="2223"/>
      <c r="K3" s="1227"/>
      <c r="L3" s="2223"/>
      <c r="M3" s="1710"/>
      <c r="N3" s="2223"/>
      <c r="O3" s="1227"/>
      <c r="P3" s="1228"/>
    </row>
    <row r="4" spans="2:16" ht="17.399999999999999">
      <c r="B4" s="1151"/>
      <c r="C4" s="1229"/>
      <c r="D4" s="1157" t="s">
        <v>0</v>
      </c>
      <c r="E4" s="1229"/>
      <c r="F4" s="1229"/>
      <c r="G4" s="2447"/>
      <c r="H4" s="1153"/>
      <c r="I4" s="2447"/>
      <c r="J4" s="1153"/>
      <c r="K4" s="2447"/>
      <c r="L4" s="1230"/>
      <c r="M4" s="1153"/>
      <c r="N4" s="1153"/>
      <c r="O4" s="2447"/>
      <c r="P4" s="1231"/>
    </row>
    <row r="5" spans="2:16" ht="17.399999999999999">
      <c r="B5" s="1151"/>
      <c r="C5" s="1229"/>
      <c r="D5" s="1157" t="s">
        <v>1384</v>
      </c>
      <c r="E5" s="1229"/>
      <c r="F5" s="1229"/>
      <c r="G5" s="1154"/>
      <c r="H5" s="1154"/>
      <c r="I5" s="1154"/>
      <c r="J5" s="1154"/>
      <c r="K5" s="1154"/>
      <c r="L5" s="1230"/>
      <c r="M5" s="1154"/>
      <c r="N5" s="1154"/>
      <c r="O5" s="1154"/>
      <c r="P5" s="1232"/>
    </row>
    <row r="6" spans="2:16" ht="15.6">
      <c r="B6" s="1151"/>
      <c r="C6" s="1229"/>
      <c r="D6" s="1152"/>
      <c r="E6" s="1229"/>
      <c r="F6" s="1229"/>
      <c r="G6" s="1155"/>
      <c r="H6" s="1155"/>
      <c r="I6" s="1155"/>
      <c r="J6" s="1155"/>
      <c r="K6" s="1155"/>
      <c r="L6" s="1230"/>
      <c r="M6" s="1155"/>
      <c r="N6" s="1155"/>
      <c r="O6" s="1155"/>
      <c r="P6" s="1233"/>
    </row>
    <row r="7" spans="2:16" ht="15.6">
      <c r="B7" s="1151"/>
      <c r="C7" s="1234"/>
      <c r="D7" s="1150"/>
      <c r="E7" s="1235"/>
      <c r="F7" s="1235"/>
      <c r="G7" s="1156"/>
      <c r="H7" s="1156"/>
      <c r="I7" s="1156"/>
      <c r="J7" s="1156"/>
      <c r="K7" s="1156"/>
      <c r="L7" s="1230"/>
      <c r="M7" s="1156"/>
      <c r="N7" s="1156"/>
      <c r="O7" s="1156"/>
      <c r="P7" s="1236"/>
    </row>
    <row r="8" spans="2:16" s="960" customFormat="1" ht="16.2" thickBot="1">
      <c r="B8" s="1158" t="s">
        <v>642</v>
      </c>
      <c r="C8" s="1503"/>
      <c r="D8" s="1159" t="s">
        <v>643</v>
      </c>
      <c r="E8" s="1159"/>
      <c r="F8" s="1159"/>
      <c r="G8" s="3478">
        <v>43039</v>
      </c>
      <c r="H8" s="3478"/>
      <c r="I8" s="3478">
        <v>43069</v>
      </c>
      <c r="J8" s="3478"/>
      <c r="K8" s="3478">
        <v>43100</v>
      </c>
      <c r="L8" s="1504"/>
      <c r="M8" s="1504" t="s">
        <v>644</v>
      </c>
      <c r="N8" s="1505"/>
      <c r="O8" s="3478">
        <v>43131</v>
      </c>
      <c r="P8" s="1238"/>
    </row>
    <row r="9" spans="2:16" s="960" customFormat="1" ht="15.6">
      <c r="B9" s="1321"/>
      <c r="C9" s="1240"/>
      <c r="D9" s="2971" t="s">
        <v>149</v>
      </c>
      <c r="E9" s="1237"/>
      <c r="F9" s="1237"/>
      <c r="G9" s="3479"/>
      <c r="H9" s="3486"/>
      <c r="I9" s="3479"/>
      <c r="J9" s="3486"/>
      <c r="K9" s="3479"/>
      <c r="L9" s="1506"/>
      <c r="M9" s="1507"/>
      <c r="N9" s="1507"/>
      <c r="O9" s="3479"/>
      <c r="P9" s="1242"/>
    </row>
    <row r="10" spans="2:16" s="960" customFormat="1" ht="15.6">
      <c r="B10" s="2622">
        <v>10050</v>
      </c>
      <c r="C10" s="1321"/>
      <c r="D10" s="1161" t="s">
        <v>1067</v>
      </c>
      <c r="E10"/>
      <c r="F10" s="1508"/>
      <c r="G10" s="3497">
        <v>0</v>
      </c>
      <c r="H10" s="3487"/>
      <c r="I10" s="3497">
        <v>0</v>
      </c>
      <c r="J10" s="3487"/>
      <c r="K10" s="3497">
        <v>0</v>
      </c>
      <c r="L10" s="1509"/>
      <c r="M10" s="2226">
        <v>0</v>
      </c>
      <c r="N10" s="1509"/>
      <c r="O10" s="3497">
        <v>0</v>
      </c>
      <c r="P10" s="1243" t="s">
        <v>942</v>
      </c>
    </row>
    <row r="11" spans="2:16" s="960" customFormat="1" ht="16.2" thickBot="1">
      <c r="B11" s="1163"/>
      <c r="C11" s="1240"/>
      <c r="D11" s="2972" t="s">
        <v>645</v>
      </c>
      <c r="E11" s="1237"/>
      <c r="F11" s="1237"/>
      <c r="G11" s="2625">
        <f>ROUND(SUM(G10),2)</f>
        <v>0</v>
      </c>
      <c r="H11" s="3481"/>
      <c r="I11" s="2625">
        <f>ROUND(SUM(I10),2)</f>
        <v>0</v>
      </c>
      <c r="J11" s="3481"/>
      <c r="K11" s="2625">
        <f>ROUND(SUM(K10),2)</f>
        <v>0</v>
      </c>
      <c r="L11" s="2626"/>
      <c r="M11" s="2625">
        <f>ROUND(SUM(M10),2)</f>
        <v>0</v>
      </c>
      <c r="N11" s="2626"/>
      <c r="O11" s="2625">
        <f>ROUND(SUM(O10),2)</f>
        <v>0</v>
      </c>
      <c r="P11" s="1243"/>
    </row>
    <row r="12" spans="2:16" s="960" customFormat="1" ht="16.2" thickTop="1">
      <c r="B12" s="1163"/>
      <c r="C12" s="1244"/>
      <c r="D12" s="1165"/>
      <c r="E12" s="1185"/>
      <c r="F12" s="1185"/>
      <c r="G12" s="3481"/>
      <c r="H12" s="2626"/>
      <c r="I12" s="3481"/>
      <c r="J12" s="2626"/>
      <c r="K12" s="3481"/>
      <c r="L12" s="1510"/>
      <c r="M12" s="1184"/>
      <c r="N12" s="1184"/>
      <c r="O12" s="3481"/>
      <c r="P12" s="1177"/>
    </row>
    <row r="13" spans="2:16" s="960" customFormat="1" ht="15.6">
      <c r="B13" s="1163"/>
      <c r="C13" s="1240"/>
      <c r="D13" s="2971" t="s">
        <v>646</v>
      </c>
      <c r="E13" s="1237"/>
      <c r="F13" s="1237"/>
      <c r="G13" s="3482"/>
      <c r="H13" s="3488"/>
      <c r="I13" s="3482"/>
      <c r="J13" s="3488"/>
      <c r="K13" s="3482"/>
      <c r="L13" s="1511"/>
      <c r="M13" s="1512"/>
      <c r="N13" s="1512"/>
      <c r="O13" s="3482"/>
      <c r="P13" s="1177"/>
    </row>
    <row r="14" spans="2:16" s="960" customFormat="1" ht="15.6">
      <c r="B14" s="2622">
        <v>30051</v>
      </c>
      <c r="C14" s="1710"/>
      <c r="D14" s="1161" t="s">
        <v>647</v>
      </c>
      <c r="E14" s="1710"/>
      <c r="F14" s="1711">
        <v>227042324.13</v>
      </c>
      <c r="G14" s="3480">
        <v>250965598.15000001</v>
      </c>
      <c r="H14" s="2227"/>
      <c r="I14" s="3480">
        <v>265663123.72</v>
      </c>
      <c r="J14" s="2227"/>
      <c r="K14" s="3480">
        <v>239196090.78</v>
      </c>
      <c r="L14" s="1711"/>
      <c r="M14" s="2227">
        <f>ROUND(SUM(O14)-SUM(K14),2)</f>
        <v>-51425489.509999998</v>
      </c>
      <c r="N14" s="1711"/>
      <c r="O14" s="3480">
        <v>187770601.27000001</v>
      </c>
      <c r="P14" s="1243"/>
    </row>
    <row r="15" spans="2:16" s="960" customFormat="1" ht="15.6">
      <c r="B15" s="2622">
        <v>30053</v>
      </c>
      <c r="C15" s="1710"/>
      <c r="D15" s="1161" t="s">
        <v>1446</v>
      </c>
      <c r="E15" s="1710"/>
      <c r="F15" s="1711"/>
      <c r="G15" s="3480">
        <v>2449602.58</v>
      </c>
      <c r="H15" s="2227"/>
      <c r="I15" s="3480">
        <v>2604450.35</v>
      </c>
      <c r="J15" s="2227"/>
      <c r="K15" s="3480">
        <v>2801362.05</v>
      </c>
      <c r="L15" s="1711"/>
      <c r="M15" s="2227">
        <f t="shared" ref="M15:M79" si="0">ROUND(SUM(O15)-SUM(K15),2)</f>
        <v>569013.18000000005</v>
      </c>
      <c r="N15" s="1711"/>
      <c r="O15" s="3480">
        <v>3370375.23</v>
      </c>
      <c r="P15" s="1243"/>
    </row>
    <row r="16" spans="2:16" s="960" customFormat="1" ht="15.6">
      <c r="B16" s="2622">
        <v>30101</v>
      </c>
      <c r="C16" s="1710"/>
      <c r="D16" s="1161" t="s">
        <v>648</v>
      </c>
      <c r="E16" s="1710"/>
      <c r="F16" s="1711">
        <v>0</v>
      </c>
      <c r="G16" s="3480">
        <v>0</v>
      </c>
      <c r="H16" s="2227"/>
      <c r="I16" s="3480">
        <v>0</v>
      </c>
      <c r="J16" s="2227"/>
      <c r="K16" s="3480">
        <v>0</v>
      </c>
      <c r="L16" s="1711"/>
      <c r="M16" s="2227">
        <f t="shared" si="0"/>
        <v>0</v>
      </c>
      <c r="N16" s="1711"/>
      <c r="O16" s="3480">
        <v>0</v>
      </c>
      <c r="P16" s="1177"/>
    </row>
    <row r="17" spans="2:16" s="960" customFormat="1" ht="15.6">
      <c r="B17" s="2622">
        <v>30102</v>
      </c>
      <c r="C17" s="1710"/>
      <c r="D17" s="1161" t="s">
        <v>649</v>
      </c>
      <c r="E17" s="1710"/>
      <c r="F17" s="1711">
        <v>0</v>
      </c>
      <c r="G17" s="3480">
        <v>0</v>
      </c>
      <c r="H17" s="2227"/>
      <c r="I17" s="3480">
        <v>0</v>
      </c>
      <c r="J17" s="2227"/>
      <c r="K17" s="3480">
        <v>0</v>
      </c>
      <c r="L17" s="1711"/>
      <c r="M17" s="2227">
        <f t="shared" si="0"/>
        <v>0</v>
      </c>
      <c r="N17" s="1711"/>
      <c r="O17" s="3480">
        <v>0</v>
      </c>
      <c r="P17" s="1177"/>
    </row>
    <row r="18" spans="2:16" s="960" customFormat="1" ht="15.6">
      <c r="B18" s="2622">
        <v>30103</v>
      </c>
      <c r="C18" s="1710"/>
      <c r="D18" s="1161" t="s">
        <v>650</v>
      </c>
      <c r="E18" s="1710"/>
      <c r="F18" s="1711">
        <v>0</v>
      </c>
      <c r="G18" s="3480">
        <v>0</v>
      </c>
      <c r="H18" s="2227"/>
      <c r="I18" s="3480">
        <v>0</v>
      </c>
      <c r="J18" s="2227"/>
      <c r="K18" s="3480">
        <v>0</v>
      </c>
      <c r="L18" s="1711"/>
      <c r="M18" s="2227">
        <f t="shared" si="0"/>
        <v>0</v>
      </c>
      <c r="N18" s="1711"/>
      <c r="O18" s="3480">
        <v>0</v>
      </c>
      <c r="P18" s="1177"/>
    </row>
    <row r="19" spans="2:16" s="960" customFormat="1" ht="15.6">
      <c r="B19" s="2622">
        <v>30104</v>
      </c>
      <c r="C19" s="1710"/>
      <c r="D19" s="1161" t="s">
        <v>651</v>
      </c>
      <c r="E19" s="1710"/>
      <c r="F19" s="1711">
        <v>140390.18</v>
      </c>
      <c r="G19" s="3480">
        <v>0</v>
      </c>
      <c r="H19" s="2227"/>
      <c r="I19" s="3480">
        <v>0</v>
      </c>
      <c r="J19" s="2227"/>
      <c r="K19" s="3480">
        <v>0</v>
      </c>
      <c r="L19" s="1711"/>
      <c r="M19" s="2227">
        <f t="shared" si="0"/>
        <v>0</v>
      </c>
      <c r="N19" s="1711"/>
      <c r="O19" s="3480">
        <v>0</v>
      </c>
      <c r="P19" s="1177"/>
    </row>
    <row r="20" spans="2:16" s="960" customFormat="1" ht="15.6">
      <c r="B20" s="2622">
        <v>30105</v>
      </c>
      <c r="C20" s="1710"/>
      <c r="D20" s="1161" t="s">
        <v>652</v>
      </c>
      <c r="E20" s="1710"/>
      <c r="F20" s="1711">
        <v>0</v>
      </c>
      <c r="G20" s="3480">
        <v>0</v>
      </c>
      <c r="H20" s="2227"/>
      <c r="I20" s="3480">
        <v>0</v>
      </c>
      <c r="J20" s="2227"/>
      <c r="K20" s="3480">
        <v>0</v>
      </c>
      <c r="L20" s="1711"/>
      <c r="M20" s="2227">
        <f t="shared" si="0"/>
        <v>0</v>
      </c>
      <c r="N20" s="1711"/>
      <c r="O20" s="3480">
        <v>0</v>
      </c>
      <c r="P20" s="1177"/>
    </row>
    <row r="21" spans="2:16" s="960" customFormat="1" ht="15.6">
      <c r="B21" s="2622">
        <v>30106</v>
      </c>
      <c r="C21" s="1710"/>
      <c r="D21" s="1161" t="s">
        <v>1121</v>
      </c>
      <c r="E21" s="1710"/>
      <c r="F21" s="1711">
        <v>0</v>
      </c>
      <c r="G21" s="3480">
        <v>0</v>
      </c>
      <c r="H21" s="2227"/>
      <c r="I21" s="3480">
        <v>0</v>
      </c>
      <c r="J21" s="2227"/>
      <c r="K21" s="3480">
        <v>0</v>
      </c>
      <c r="L21" s="1711"/>
      <c r="M21" s="2227">
        <f t="shared" si="0"/>
        <v>0</v>
      </c>
      <c r="N21" s="1711"/>
      <c r="O21" s="3480">
        <v>0</v>
      </c>
      <c r="P21" s="1177"/>
    </row>
    <row r="22" spans="2:16" s="960" customFormat="1" ht="15.6">
      <c r="B22" s="2622">
        <v>30107</v>
      </c>
      <c r="C22" s="1710"/>
      <c r="D22" s="1161" t="s">
        <v>653</v>
      </c>
      <c r="E22" s="1710"/>
      <c r="F22" s="1711">
        <v>0</v>
      </c>
      <c r="G22" s="3480">
        <v>0</v>
      </c>
      <c r="H22" s="2227"/>
      <c r="I22" s="3480">
        <v>0</v>
      </c>
      <c r="J22" s="2227"/>
      <c r="K22" s="3480">
        <v>0</v>
      </c>
      <c r="L22" s="1711"/>
      <c r="M22" s="2227">
        <f t="shared" si="0"/>
        <v>0</v>
      </c>
      <c r="N22" s="1711"/>
      <c r="O22" s="3480">
        <v>0</v>
      </c>
      <c r="P22" s="1177"/>
    </row>
    <row r="23" spans="2:16" s="960" customFormat="1" ht="15.6">
      <c r="B23" s="2622">
        <v>30108</v>
      </c>
      <c r="C23" s="1710"/>
      <c r="D23" s="1161" t="s">
        <v>1122</v>
      </c>
      <c r="E23" s="1710"/>
      <c r="F23" s="1711">
        <v>0</v>
      </c>
      <c r="G23" s="3480">
        <v>0</v>
      </c>
      <c r="H23" s="2227"/>
      <c r="I23" s="3480">
        <v>0</v>
      </c>
      <c r="J23" s="2227"/>
      <c r="K23" s="3480">
        <v>0</v>
      </c>
      <c r="L23" s="1711"/>
      <c r="M23" s="2227">
        <f t="shared" si="0"/>
        <v>0</v>
      </c>
      <c r="N23" s="1711"/>
      <c r="O23" s="3480">
        <v>0</v>
      </c>
      <c r="P23" s="1177"/>
    </row>
    <row r="24" spans="2:16" s="960" customFormat="1" ht="15.6">
      <c r="B24" s="2622">
        <v>30109</v>
      </c>
      <c r="C24" s="1710"/>
      <c r="D24" s="1161" t="s">
        <v>654</v>
      </c>
      <c r="E24" s="1710"/>
      <c r="F24" s="1711">
        <v>0</v>
      </c>
      <c r="G24" s="3480">
        <v>0</v>
      </c>
      <c r="H24" s="2227"/>
      <c r="I24" s="3480">
        <v>0</v>
      </c>
      <c r="J24" s="2227"/>
      <c r="K24" s="3480">
        <v>0</v>
      </c>
      <c r="L24" s="1711"/>
      <c r="M24" s="2227">
        <f t="shared" si="0"/>
        <v>0</v>
      </c>
      <c r="N24" s="1711"/>
      <c r="O24" s="3480">
        <v>0</v>
      </c>
      <c r="P24" s="1177"/>
    </row>
    <row r="25" spans="2:16" s="960" customFormat="1" ht="15.6">
      <c r="B25" s="2622">
        <v>30110</v>
      </c>
      <c r="C25" s="1710"/>
      <c r="D25" s="1161" t="s">
        <v>655</v>
      </c>
      <c r="E25" s="1710"/>
      <c r="F25" s="1711">
        <v>0</v>
      </c>
      <c r="G25" s="3480">
        <v>0</v>
      </c>
      <c r="H25" s="2227"/>
      <c r="I25" s="3480">
        <v>0</v>
      </c>
      <c r="J25" s="2227"/>
      <c r="K25" s="3480">
        <v>0</v>
      </c>
      <c r="L25" s="1711"/>
      <c r="M25" s="2227">
        <f t="shared" si="0"/>
        <v>0</v>
      </c>
      <c r="N25" s="1711"/>
      <c r="O25" s="3480">
        <v>0</v>
      </c>
      <c r="P25" s="1177"/>
    </row>
    <row r="26" spans="2:16" s="960" customFormat="1" ht="15.6">
      <c r="B26" s="2622">
        <v>30111</v>
      </c>
      <c r="C26" s="1710"/>
      <c r="D26" s="1161" t="s">
        <v>656</v>
      </c>
      <c r="E26" s="1710"/>
      <c r="F26" s="1711">
        <v>0</v>
      </c>
      <c r="G26" s="3480">
        <v>0</v>
      </c>
      <c r="H26" s="2227"/>
      <c r="I26" s="3480">
        <v>0</v>
      </c>
      <c r="J26" s="2227"/>
      <c r="K26" s="3480">
        <v>0</v>
      </c>
      <c r="L26" s="1711"/>
      <c r="M26" s="2227">
        <f t="shared" si="0"/>
        <v>0</v>
      </c>
      <c r="N26" s="1711"/>
      <c r="O26" s="3480">
        <v>0</v>
      </c>
      <c r="P26" s="1177"/>
    </row>
    <row r="27" spans="2:16" s="960" customFormat="1" ht="15.6">
      <c r="B27" s="2622">
        <v>30112</v>
      </c>
      <c r="C27" s="1710"/>
      <c r="D27" s="1161" t="s">
        <v>657</v>
      </c>
      <c r="E27" s="1710"/>
      <c r="F27" s="1711">
        <v>0</v>
      </c>
      <c r="G27" s="3480">
        <v>0</v>
      </c>
      <c r="H27" s="2227"/>
      <c r="I27" s="3480">
        <v>0</v>
      </c>
      <c r="J27" s="2227"/>
      <c r="K27" s="3480">
        <v>0</v>
      </c>
      <c r="L27" s="1711"/>
      <c r="M27" s="2227">
        <f t="shared" si="0"/>
        <v>0</v>
      </c>
      <c r="N27" s="1711"/>
      <c r="O27" s="3480">
        <v>0</v>
      </c>
      <c r="P27" s="1177"/>
    </row>
    <row r="28" spans="2:16" s="960" customFormat="1" ht="15.6">
      <c r="B28" s="2622">
        <v>30113</v>
      </c>
      <c r="C28" s="1710"/>
      <c r="D28" s="1161" t="s">
        <v>658</v>
      </c>
      <c r="E28" s="1710"/>
      <c r="F28" s="1711">
        <v>0</v>
      </c>
      <c r="G28" s="3480">
        <v>0</v>
      </c>
      <c r="H28" s="2227"/>
      <c r="I28" s="3480">
        <v>0</v>
      </c>
      <c r="J28" s="2227"/>
      <c r="K28" s="3480">
        <v>0</v>
      </c>
      <c r="L28" s="1711"/>
      <c r="M28" s="2227">
        <f t="shared" si="0"/>
        <v>0</v>
      </c>
      <c r="N28" s="1711"/>
      <c r="O28" s="3480">
        <v>0</v>
      </c>
      <c r="P28" s="1177"/>
    </row>
    <row r="29" spans="2:16" s="960" customFormat="1" ht="15.6">
      <c r="B29" s="2622">
        <v>30114</v>
      </c>
      <c r="C29" s="1710"/>
      <c r="D29" s="1161" t="s">
        <v>659</v>
      </c>
      <c r="E29" s="1710"/>
      <c r="F29" s="1711">
        <v>0</v>
      </c>
      <c r="G29" s="3480">
        <v>0</v>
      </c>
      <c r="H29" s="2227"/>
      <c r="I29" s="3480">
        <v>0</v>
      </c>
      <c r="J29" s="2227"/>
      <c r="K29" s="3480">
        <v>0</v>
      </c>
      <c r="L29" s="1711"/>
      <c r="M29" s="2227">
        <f t="shared" si="0"/>
        <v>0</v>
      </c>
      <c r="N29" s="1711"/>
      <c r="O29" s="3480">
        <v>0</v>
      </c>
      <c r="P29" s="1177"/>
    </row>
    <row r="30" spans="2:16" s="960" customFormat="1" ht="15.6">
      <c r="B30" s="2622">
        <v>30115</v>
      </c>
      <c r="C30" s="1710"/>
      <c r="D30" s="1161" t="s">
        <v>660</v>
      </c>
      <c r="E30" s="1710"/>
      <c r="F30" s="1711">
        <v>0</v>
      </c>
      <c r="G30" s="3480">
        <v>0</v>
      </c>
      <c r="H30" s="2227"/>
      <c r="I30" s="3480">
        <v>0</v>
      </c>
      <c r="J30" s="2227"/>
      <c r="K30" s="3480">
        <v>0</v>
      </c>
      <c r="L30" s="1711"/>
      <c r="M30" s="2227">
        <f t="shared" si="0"/>
        <v>0</v>
      </c>
      <c r="N30" s="1711"/>
      <c r="O30" s="3480">
        <v>0</v>
      </c>
      <c r="P30" s="1177"/>
    </row>
    <row r="31" spans="2:16" s="960" customFormat="1" ht="15.6">
      <c r="B31" s="2622">
        <v>30116</v>
      </c>
      <c r="C31" s="1710"/>
      <c r="D31" s="1161" t="s">
        <v>661</v>
      </c>
      <c r="E31" s="1710"/>
      <c r="F31" s="1711">
        <v>0</v>
      </c>
      <c r="G31" s="3480">
        <v>0</v>
      </c>
      <c r="H31" s="2227"/>
      <c r="I31" s="3480">
        <v>0</v>
      </c>
      <c r="J31" s="2227"/>
      <c r="K31" s="3480">
        <v>0</v>
      </c>
      <c r="L31" s="1711"/>
      <c r="M31" s="2227">
        <f t="shared" si="0"/>
        <v>0</v>
      </c>
      <c r="N31" s="1711"/>
      <c r="O31" s="3480">
        <v>0</v>
      </c>
      <c r="P31" s="1177"/>
    </row>
    <row r="32" spans="2:16" s="960" customFormat="1" ht="15.6">
      <c r="B32" s="2622">
        <v>30117</v>
      </c>
      <c r="C32" s="1710"/>
      <c r="D32" s="1161" t="s">
        <v>662</v>
      </c>
      <c r="E32" s="1710"/>
      <c r="F32" s="1711">
        <v>0</v>
      </c>
      <c r="G32" s="3480">
        <v>0</v>
      </c>
      <c r="H32" s="2227"/>
      <c r="I32" s="3480">
        <v>0</v>
      </c>
      <c r="J32" s="2227"/>
      <c r="K32" s="3480">
        <v>0</v>
      </c>
      <c r="L32" s="1711"/>
      <c r="M32" s="2227">
        <f t="shared" si="0"/>
        <v>0</v>
      </c>
      <c r="N32" s="1711"/>
      <c r="O32" s="3480">
        <v>0</v>
      </c>
      <c r="P32" s="1177"/>
    </row>
    <row r="33" spans="2:16" s="960" customFormat="1" ht="15.6">
      <c r="B33" s="2622">
        <v>30118</v>
      </c>
      <c r="C33" s="1710"/>
      <c r="D33" s="1161" t="s">
        <v>663</v>
      </c>
      <c r="E33" s="1710"/>
      <c r="F33" s="1711">
        <v>0</v>
      </c>
      <c r="G33" s="3480">
        <v>0</v>
      </c>
      <c r="H33" s="2227"/>
      <c r="I33" s="3480">
        <v>0</v>
      </c>
      <c r="J33" s="2227"/>
      <c r="K33" s="3480">
        <v>0</v>
      </c>
      <c r="L33" s="1711"/>
      <c r="M33" s="2227">
        <f t="shared" si="0"/>
        <v>0</v>
      </c>
      <c r="N33" s="1711"/>
      <c r="O33" s="3480">
        <v>0</v>
      </c>
      <c r="P33" s="1177"/>
    </row>
    <row r="34" spans="2:16" s="960" customFormat="1" ht="15.6">
      <c r="B34" s="2622">
        <v>30119</v>
      </c>
      <c r="C34" s="1710"/>
      <c r="D34" s="1161" t="s">
        <v>664</v>
      </c>
      <c r="E34" s="1710"/>
      <c r="F34" s="1711">
        <v>0</v>
      </c>
      <c r="G34" s="3480">
        <v>0</v>
      </c>
      <c r="H34" s="2227"/>
      <c r="I34" s="3480">
        <v>0</v>
      </c>
      <c r="J34" s="2227"/>
      <c r="K34" s="3480">
        <v>0</v>
      </c>
      <c r="L34" s="1711"/>
      <c r="M34" s="2227">
        <f t="shared" si="0"/>
        <v>0</v>
      </c>
      <c r="N34" s="1711"/>
      <c r="O34" s="3480">
        <v>0</v>
      </c>
      <c r="P34" s="1177"/>
    </row>
    <row r="35" spans="2:16" s="960" customFormat="1" ht="15.6">
      <c r="B35" s="2622">
        <v>30120</v>
      </c>
      <c r="C35" s="1710"/>
      <c r="D35" s="1161" t="s">
        <v>665</v>
      </c>
      <c r="E35" s="1710"/>
      <c r="F35" s="1711">
        <v>0</v>
      </c>
      <c r="G35" s="3480">
        <v>0</v>
      </c>
      <c r="H35" s="2227"/>
      <c r="I35" s="3480">
        <v>0</v>
      </c>
      <c r="J35" s="2227"/>
      <c r="K35" s="3480">
        <v>0</v>
      </c>
      <c r="L35" s="1711"/>
      <c r="M35" s="2227">
        <f t="shared" si="0"/>
        <v>0</v>
      </c>
      <c r="N35" s="1711"/>
      <c r="O35" s="3480">
        <v>0</v>
      </c>
      <c r="P35" s="1177"/>
    </row>
    <row r="36" spans="2:16" s="960" customFormat="1" ht="15.6">
      <c r="B36" s="2622">
        <v>30121</v>
      </c>
      <c r="C36" s="1710"/>
      <c r="D36" s="1161" t="s">
        <v>666</v>
      </c>
      <c r="E36" s="1710"/>
      <c r="F36" s="1711">
        <v>0</v>
      </c>
      <c r="G36" s="3480">
        <v>0</v>
      </c>
      <c r="H36" s="2227"/>
      <c r="I36" s="3480">
        <v>0</v>
      </c>
      <c r="J36" s="2227"/>
      <c r="K36" s="3480">
        <v>0</v>
      </c>
      <c r="L36" s="1711"/>
      <c r="M36" s="2227">
        <f t="shared" si="0"/>
        <v>0</v>
      </c>
      <c r="N36" s="1711"/>
      <c r="O36" s="3480">
        <v>0</v>
      </c>
      <c r="P36" s="1177"/>
    </row>
    <row r="37" spans="2:16" s="960" customFormat="1" ht="15.6">
      <c r="B37" s="2622">
        <v>30122</v>
      </c>
      <c r="C37" s="1710"/>
      <c r="D37" s="1161" t="s">
        <v>667</v>
      </c>
      <c r="E37" s="1710"/>
      <c r="F37" s="1711">
        <v>0</v>
      </c>
      <c r="G37" s="3480">
        <v>0</v>
      </c>
      <c r="H37" s="2227"/>
      <c r="I37" s="3480">
        <v>0</v>
      </c>
      <c r="J37" s="2227"/>
      <c r="K37" s="3480">
        <v>0</v>
      </c>
      <c r="L37" s="1711"/>
      <c r="M37" s="2227">
        <f t="shared" si="0"/>
        <v>0</v>
      </c>
      <c r="N37" s="1711"/>
      <c r="O37" s="3480">
        <v>0</v>
      </c>
      <c r="P37" s="1177"/>
    </row>
    <row r="38" spans="2:16" s="960" customFormat="1" ht="15.6">
      <c r="B38" s="2622">
        <v>30123</v>
      </c>
      <c r="C38" s="1710"/>
      <c r="D38" s="1161" t="s">
        <v>668</v>
      </c>
      <c r="E38" s="1710"/>
      <c r="F38" s="1711">
        <v>0</v>
      </c>
      <c r="G38" s="3480">
        <v>0</v>
      </c>
      <c r="H38" s="2227"/>
      <c r="I38" s="3480">
        <v>0</v>
      </c>
      <c r="J38" s="2227"/>
      <c r="K38" s="3480">
        <v>0</v>
      </c>
      <c r="L38" s="1711"/>
      <c r="M38" s="2227">
        <f t="shared" si="0"/>
        <v>0</v>
      </c>
      <c r="N38" s="1711"/>
      <c r="O38" s="3480">
        <v>0</v>
      </c>
      <c r="P38" s="1177"/>
    </row>
    <row r="39" spans="2:16" s="960" customFormat="1" ht="15.6">
      <c r="B39" s="2622">
        <v>30124</v>
      </c>
      <c r="C39" s="1710"/>
      <c r="D39" s="1161" t="s">
        <v>669</v>
      </c>
      <c r="E39" s="1710"/>
      <c r="F39" s="1711">
        <v>0</v>
      </c>
      <c r="G39" s="3480">
        <v>0</v>
      </c>
      <c r="H39" s="2227"/>
      <c r="I39" s="3480">
        <v>0</v>
      </c>
      <c r="J39" s="2227"/>
      <c r="K39" s="3480">
        <v>0</v>
      </c>
      <c r="L39" s="1711"/>
      <c r="M39" s="2227">
        <f t="shared" si="0"/>
        <v>0</v>
      </c>
      <c r="N39" s="1711"/>
      <c r="O39" s="3480">
        <v>0</v>
      </c>
      <c r="P39" s="1177"/>
    </row>
    <row r="40" spans="2:16" s="960" customFormat="1" ht="15.6">
      <c r="B40" s="2622">
        <v>30125</v>
      </c>
      <c r="C40" s="1710"/>
      <c r="D40" s="1161" t="s">
        <v>670</v>
      </c>
      <c r="E40" s="1710"/>
      <c r="F40" s="1711">
        <v>0</v>
      </c>
      <c r="G40" s="3480">
        <v>0</v>
      </c>
      <c r="H40" s="2227"/>
      <c r="I40" s="3480">
        <v>0</v>
      </c>
      <c r="J40" s="2227"/>
      <c r="K40" s="3480">
        <v>0</v>
      </c>
      <c r="L40" s="1711"/>
      <c r="M40" s="2227">
        <f t="shared" si="0"/>
        <v>0</v>
      </c>
      <c r="N40" s="1711"/>
      <c r="O40" s="3480">
        <v>0</v>
      </c>
      <c r="P40" s="1177"/>
    </row>
    <row r="41" spans="2:16" s="960" customFormat="1" ht="15.6">
      <c r="B41" s="2622">
        <v>30126</v>
      </c>
      <c r="C41" s="1710"/>
      <c r="D41" s="1161" t="s">
        <v>671</v>
      </c>
      <c r="E41" s="1710"/>
      <c r="F41" s="1711">
        <v>0</v>
      </c>
      <c r="G41" s="3480">
        <v>0</v>
      </c>
      <c r="H41" s="2227"/>
      <c r="I41" s="3480">
        <v>0</v>
      </c>
      <c r="J41" s="2227"/>
      <c r="K41" s="3480">
        <v>0</v>
      </c>
      <c r="L41" s="1711"/>
      <c r="M41" s="2227">
        <f t="shared" si="0"/>
        <v>0</v>
      </c>
      <c r="N41" s="1711"/>
      <c r="O41" s="3480">
        <v>0</v>
      </c>
      <c r="P41" s="1177"/>
    </row>
    <row r="42" spans="2:16" s="960" customFormat="1" ht="15.6">
      <c r="B42" s="2622">
        <v>30127</v>
      </c>
      <c r="C42" s="1710"/>
      <c r="D42" s="1161" t="s">
        <v>672</v>
      </c>
      <c r="E42" s="1710"/>
      <c r="F42" s="1711">
        <v>0</v>
      </c>
      <c r="G42" s="3480">
        <v>0</v>
      </c>
      <c r="H42" s="2227"/>
      <c r="I42" s="3480">
        <v>0</v>
      </c>
      <c r="J42" s="2227"/>
      <c r="K42" s="3480">
        <v>0</v>
      </c>
      <c r="L42" s="1711"/>
      <c r="M42" s="2227">
        <f t="shared" si="0"/>
        <v>0</v>
      </c>
      <c r="N42" s="1711"/>
      <c r="O42" s="3480">
        <v>0</v>
      </c>
      <c r="P42" s="1177"/>
    </row>
    <row r="43" spans="2:16" s="960" customFormat="1" ht="15.6">
      <c r="B43" s="2622">
        <v>30128</v>
      </c>
      <c r="C43" s="1710"/>
      <c r="D43" s="1161" t="s">
        <v>673</v>
      </c>
      <c r="E43" s="1710"/>
      <c r="F43" s="1711">
        <v>0</v>
      </c>
      <c r="G43" s="3480">
        <v>0</v>
      </c>
      <c r="H43" s="2227"/>
      <c r="I43" s="3480">
        <v>0</v>
      </c>
      <c r="J43" s="2227"/>
      <c r="K43" s="3480">
        <v>0</v>
      </c>
      <c r="L43" s="1711"/>
      <c r="M43" s="2227">
        <f t="shared" si="0"/>
        <v>0</v>
      </c>
      <c r="N43" s="1711"/>
      <c r="O43" s="3480">
        <v>0</v>
      </c>
      <c r="P43" s="1177"/>
    </row>
    <row r="44" spans="2:16" s="960" customFormat="1" ht="15.6">
      <c r="B44" s="2622">
        <v>30129</v>
      </c>
      <c r="C44" s="1710"/>
      <c r="D44" s="1161" t="s">
        <v>674</v>
      </c>
      <c r="E44" s="1710"/>
      <c r="F44" s="1711">
        <v>0</v>
      </c>
      <c r="G44" s="3480">
        <v>0</v>
      </c>
      <c r="H44" s="2227"/>
      <c r="I44" s="3480">
        <v>0</v>
      </c>
      <c r="J44" s="2227"/>
      <c r="K44" s="3480">
        <v>0</v>
      </c>
      <c r="L44" s="1711"/>
      <c r="M44" s="2227">
        <f t="shared" si="0"/>
        <v>0</v>
      </c>
      <c r="N44" s="1711"/>
      <c r="O44" s="3480">
        <v>0</v>
      </c>
      <c r="P44" s="1177"/>
    </row>
    <row r="45" spans="2:16" s="960" customFormat="1" ht="15.6">
      <c r="B45" s="2622">
        <v>30130</v>
      </c>
      <c r="C45" s="1710"/>
      <c r="D45" s="1161" t="s">
        <v>675</v>
      </c>
      <c r="E45" s="1710"/>
      <c r="F45" s="1711">
        <v>0</v>
      </c>
      <c r="G45" s="3480">
        <v>0</v>
      </c>
      <c r="H45" s="2227"/>
      <c r="I45" s="3480">
        <v>0</v>
      </c>
      <c r="J45" s="2227"/>
      <c r="K45" s="3480">
        <v>0</v>
      </c>
      <c r="L45" s="1711"/>
      <c r="M45" s="2227">
        <f t="shared" si="0"/>
        <v>0</v>
      </c>
      <c r="N45" s="1711"/>
      <c r="O45" s="3480">
        <v>0</v>
      </c>
      <c r="P45" s="1177"/>
    </row>
    <row r="46" spans="2:16" s="960" customFormat="1" ht="15.6">
      <c r="B46" s="2622">
        <v>30131</v>
      </c>
      <c r="C46" s="1710"/>
      <c r="D46" s="1161" t="s">
        <v>676</v>
      </c>
      <c r="E46" s="1710"/>
      <c r="F46" s="1711">
        <v>0</v>
      </c>
      <c r="G46" s="3480">
        <v>0</v>
      </c>
      <c r="H46" s="2227"/>
      <c r="I46" s="3480">
        <v>0</v>
      </c>
      <c r="J46" s="2227"/>
      <c r="K46" s="3480">
        <v>0</v>
      </c>
      <c r="L46" s="1711"/>
      <c r="M46" s="2227">
        <f t="shared" si="0"/>
        <v>0</v>
      </c>
      <c r="N46" s="1711"/>
      <c r="O46" s="3480">
        <v>0</v>
      </c>
      <c r="P46" s="1177"/>
    </row>
    <row r="47" spans="2:16" s="960" customFormat="1" ht="15.6">
      <c r="B47" s="2622">
        <v>30132</v>
      </c>
      <c r="C47" s="1710"/>
      <c r="D47" s="1161" t="s">
        <v>677</v>
      </c>
      <c r="E47" s="1710"/>
      <c r="F47" s="1711">
        <v>0</v>
      </c>
      <c r="G47" s="3480">
        <v>0</v>
      </c>
      <c r="H47" s="2227"/>
      <c r="I47" s="3480">
        <v>0</v>
      </c>
      <c r="J47" s="2227"/>
      <c r="K47" s="3480">
        <v>0</v>
      </c>
      <c r="L47" s="1711"/>
      <c r="M47" s="2227">
        <f t="shared" si="0"/>
        <v>0</v>
      </c>
      <c r="N47" s="1711"/>
      <c r="O47" s="3480">
        <v>0</v>
      </c>
      <c r="P47" s="1177"/>
    </row>
    <row r="48" spans="2:16" s="960" customFormat="1" ht="15.6">
      <c r="B48" s="2622">
        <v>30133</v>
      </c>
      <c r="C48" s="1710"/>
      <c r="D48" s="1161" t="s">
        <v>678</v>
      </c>
      <c r="E48" s="1710"/>
      <c r="F48" s="1711">
        <v>0</v>
      </c>
      <c r="G48" s="3480">
        <v>0</v>
      </c>
      <c r="H48" s="2227"/>
      <c r="I48" s="3480">
        <v>0</v>
      </c>
      <c r="J48" s="2227"/>
      <c r="K48" s="3480">
        <v>0</v>
      </c>
      <c r="L48" s="1711"/>
      <c r="M48" s="2227">
        <f t="shared" si="0"/>
        <v>0</v>
      </c>
      <c r="N48" s="1711"/>
      <c r="O48" s="3480">
        <v>0</v>
      </c>
      <c r="P48" s="1177"/>
    </row>
    <row r="49" spans="2:16" s="960" customFormat="1" ht="15.6">
      <c r="B49" s="2622">
        <v>30134</v>
      </c>
      <c r="C49" s="1710"/>
      <c r="D49" s="1161" t="s">
        <v>679</v>
      </c>
      <c r="E49" s="1710"/>
      <c r="F49" s="1711">
        <v>0</v>
      </c>
      <c r="G49" s="3480">
        <v>0</v>
      </c>
      <c r="H49" s="2227"/>
      <c r="I49" s="3480">
        <v>0</v>
      </c>
      <c r="J49" s="2227"/>
      <c r="K49" s="3480">
        <v>0</v>
      </c>
      <c r="L49" s="1711"/>
      <c r="M49" s="2227">
        <f t="shared" si="0"/>
        <v>0</v>
      </c>
      <c r="N49" s="1711"/>
      <c r="O49" s="3480">
        <v>0</v>
      </c>
      <c r="P49" s="1177"/>
    </row>
    <row r="50" spans="2:16" s="960" customFormat="1" ht="15.6">
      <c r="B50" s="2622">
        <v>30135</v>
      </c>
      <c r="C50" s="1710"/>
      <c r="D50" s="1161" t="s">
        <v>680</v>
      </c>
      <c r="E50" s="1710"/>
      <c r="F50" s="1711">
        <v>0</v>
      </c>
      <c r="G50" s="3480">
        <v>0</v>
      </c>
      <c r="H50" s="2227"/>
      <c r="I50" s="3480">
        <v>0</v>
      </c>
      <c r="J50" s="2227"/>
      <c r="K50" s="3480">
        <v>0</v>
      </c>
      <c r="L50" s="1711"/>
      <c r="M50" s="2227">
        <f t="shared" si="0"/>
        <v>0</v>
      </c>
      <c r="N50" s="1711"/>
      <c r="O50" s="3480">
        <v>0</v>
      </c>
      <c r="P50" s="1177"/>
    </row>
    <row r="51" spans="2:16" s="960" customFormat="1" ht="15.6">
      <c r="B51" s="2622">
        <v>30136</v>
      </c>
      <c r="C51" s="1710"/>
      <c r="D51" s="1161" t="s">
        <v>681</v>
      </c>
      <c r="E51" s="1710"/>
      <c r="F51" s="1711">
        <v>0</v>
      </c>
      <c r="G51" s="3480">
        <v>0</v>
      </c>
      <c r="H51" s="2227"/>
      <c r="I51" s="3480">
        <v>0</v>
      </c>
      <c r="J51" s="2227"/>
      <c r="K51" s="3480">
        <v>0</v>
      </c>
      <c r="L51" s="1711"/>
      <c r="M51" s="2227">
        <f t="shared" si="0"/>
        <v>0</v>
      </c>
      <c r="N51" s="1711"/>
      <c r="O51" s="3480">
        <v>0</v>
      </c>
      <c r="P51" s="1177"/>
    </row>
    <row r="52" spans="2:16" s="960" customFormat="1" ht="15.6">
      <c r="B52" s="2622">
        <v>30137</v>
      </c>
      <c r="C52" s="1710"/>
      <c r="D52" s="1161" t="s">
        <v>682</v>
      </c>
      <c r="E52" s="1710"/>
      <c r="F52" s="1711">
        <v>2867.69</v>
      </c>
      <c r="G52" s="3480">
        <v>0</v>
      </c>
      <c r="H52" s="2227"/>
      <c r="I52" s="3480">
        <v>0</v>
      </c>
      <c r="J52" s="2227"/>
      <c r="K52" s="3480">
        <v>0</v>
      </c>
      <c r="L52" s="1711"/>
      <c r="M52" s="2227">
        <f t="shared" si="0"/>
        <v>0</v>
      </c>
      <c r="N52" s="1711"/>
      <c r="O52" s="3480">
        <v>0</v>
      </c>
      <c r="P52" s="1177"/>
    </row>
    <row r="53" spans="2:16" s="960" customFormat="1" ht="15.6">
      <c r="B53" s="2622">
        <v>30138</v>
      </c>
      <c r="C53" s="1710"/>
      <c r="D53" s="1161" t="s">
        <v>683</v>
      </c>
      <c r="E53" s="1710"/>
      <c r="F53" s="1711">
        <v>0</v>
      </c>
      <c r="G53" s="3480">
        <v>0</v>
      </c>
      <c r="H53" s="2227"/>
      <c r="I53" s="3480">
        <v>0</v>
      </c>
      <c r="J53" s="2227"/>
      <c r="K53" s="3480">
        <v>0</v>
      </c>
      <c r="L53" s="1711"/>
      <c r="M53" s="2227">
        <f t="shared" si="0"/>
        <v>0</v>
      </c>
      <c r="N53" s="1711"/>
      <c r="O53" s="3480">
        <v>0</v>
      </c>
      <c r="P53" s="1177"/>
    </row>
    <row r="54" spans="2:16" s="960" customFormat="1" ht="15.6">
      <c r="B54" s="2622">
        <v>30139</v>
      </c>
      <c r="C54" s="1710"/>
      <c r="D54" s="1161" t="s">
        <v>684</v>
      </c>
      <c r="E54" s="1710"/>
      <c r="F54" s="1711">
        <v>0</v>
      </c>
      <c r="G54" s="3480">
        <v>0</v>
      </c>
      <c r="H54" s="2227"/>
      <c r="I54" s="3480">
        <v>0</v>
      </c>
      <c r="J54" s="2227"/>
      <c r="K54" s="3480">
        <v>0</v>
      </c>
      <c r="L54" s="1711"/>
      <c r="M54" s="2227">
        <f t="shared" si="0"/>
        <v>0</v>
      </c>
      <c r="N54" s="1711"/>
      <c r="O54" s="3480">
        <v>0</v>
      </c>
      <c r="P54" s="1177"/>
    </row>
    <row r="55" spans="2:16" s="960" customFormat="1" ht="15.6">
      <c r="B55" s="2622">
        <v>30140</v>
      </c>
      <c r="C55" s="1710"/>
      <c r="D55" s="1161" t="s">
        <v>685</v>
      </c>
      <c r="E55" s="1710"/>
      <c r="F55" s="1711">
        <v>0</v>
      </c>
      <c r="G55" s="3480">
        <v>0</v>
      </c>
      <c r="H55" s="2227"/>
      <c r="I55" s="3480">
        <v>0</v>
      </c>
      <c r="J55" s="2227"/>
      <c r="K55" s="3480">
        <v>0</v>
      </c>
      <c r="L55" s="1711"/>
      <c r="M55" s="2227">
        <f t="shared" si="0"/>
        <v>0</v>
      </c>
      <c r="N55" s="1711"/>
      <c r="O55" s="3480">
        <v>0</v>
      </c>
      <c r="P55" s="1177"/>
    </row>
    <row r="56" spans="2:16" s="960" customFormat="1" ht="15.6">
      <c r="B56" s="2622">
        <v>30141</v>
      </c>
      <c r="C56" s="1710"/>
      <c r="D56" s="1161" t="s">
        <v>686</v>
      </c>
      <c r="E56" s="1710"/>
      <c r="F56" s="1711">
        <v>0</v>
      </c>
      <c r="G56" s="3480">
        <v>0</v>
      </c>
      <c r="H56" s="2227"/>
      <c r="I56" s="3480">
        <v>0</v>
      </c>
      <c r="J56" s="2227"/>
      <c r="K56" s="3480">
        <v>0</v>
      </c>
      <c r="L56" s="1711"/>
      <c r="M56" s="2227">
        <f t="shared" si="0"/>
        <v>0</v>
      </c>
      <c r="N56" s="1711"/>
      <c r="O56" s="3480">
        <v>0</v>
      </c>
      <c r="P56" s="1177"/>
    </row>
    <row r="57" spans="2:16" s="960" customFormat="1" ht="15.6">
      <c r="B57" s="2622">
        <v>30142</v>
      </c>
      <c r="C57" s="1710"/>
      <c r="D57" s="1161" t="s">
        <v>687</v>
      </c>
      <c r="E57" s="1710"/>
      <c r="F57" s="1711">
        <v>0</v>
      </c>
      <c r="G57" s="3480">
        <v>0</v>
      </c>
      <c r="H57" s="2227"/>
      <c r="I57" s="3480">
        <v>0</v>
      </c>
      <c r="J57" s="2227"/>
      <c r="K57" s="3480">
        <v>0</v>
      </c>
      <c r="L57" s="1711"/>
      <c r="M57" s="2227">
        <f t="shared" si="0"/>
        <v>0</v>
      </c>
      <c r="N57" s="1711"/>
      <c r="O57" s="3480">
        <v>0</v>
      </c>
      <c r="P57" s="1177"/>
    </row>
    <row r="58" spans="2:16" s="960" customFormat="1" ht="15.6">
      <c r="B58" s="2622">
        <v>30143</v>
      </c>
      <c r="C58" s="1710"/>
      <c r="D58" s="1161" t="s">
        <v>688</v>
      </c>
      <c r="E58" s="1710"/>
      <c r="F58" s="1711">
        <v>0</v>
      </c>
      <c r="G58" s="3480">
        <v>0</v>
      </c>
      <c r="H58" s="2227"/>
      <c r="I58" s="3480">
        <v>0</v>
      </c>
      <c r="J58" s="2227"/>
      <c r="K58" s="3480">
        <v>0</v>
      </c>
      <c r="L58" s="1711"/>
      <c r="M58" s="2227">
        <f t="shared" si="0"/>
        <v>0</v>
      </c>
      <c r="N58" s="1711"/>
      <c r="O58" s="3480">
        <v>0</v>
      </c>
      <c r="P58" s="1177"/>
    </row>
    <row r="59" spans="2:16" s="960" customFormat="1" ht="15.6">
      <c r="B59" s="2622">
        <v>30144</v>
      </c>
      <c r="C59" s="1710"/>
      <c r="D59" s="1161" t="s">
        <v>689</v>
      </c>
      <c r="E59" s="1710"/>
      <c r="F59" s="1711">
        <v>0</v>
      </c>
      <c r="G59" s="3480">
        <v>0</v>
      </c>
      <c r="H59" s="2227"/>
      <c r="I59" s="3480">
        <v>0</v>
      </c>
      <c r="J59" s="2227"/>
      <c r="K59" s="3480">
        <v>0</v>
      </c>
      <c r="L59" s="1711"/>
      <c r="M59" s="2227">
        <f t="shared" si="0"/>
        <v>0</v>
      </c>
      <c r="N59" s="1711"/>
      <c r="O59" s="3480">
        <v>0</v>
      </c>
      <c r="P59" s="1177"/>
    </row>
    <row r="60" spans="2:16" s="960" customFormat="1" ht="15.6">
      <c r="B60" s="2622">
        <v>30145</v>
      </c>
      <c r="C60" s="1710"/>
      <c r="D60" s="1161" t="s">
        <v>690</v>
      </c>
      <c r="E60" s="1710"/>
      <c r="F60" s="1711">
        <v>0</v>
      </c>
      <c r="G60" s="3480">
        <v>0</v>
      </c>
      <c r="H60" s="2227"/>
      <c r="I60" s="3480">
        <v>0</v>
      </c>
      <c r="J60" s="2227"/>
      <c r="K60" s="3480">
        <v>0</v>
      </c>
      <c r="L60" s="1711"/>
      <c r="M60" s="2227">
        <f t="shared" si="0"/>
        <v>0</v>
      </c>
      <c r="N60" s="1711"/>
      <c r="O60" s="3480">
        <v>0</v>
      </c>
      <c r="P60" s="1177"/>
    </row>
    <row r="61" spans="2:16" s="960" customFormat="1" ht="15.6">
      <c r="B61" s="2622">
        <v>30146</v>
      </c>
      <c r="C61" s="1710"/>
      <c r="D61" s="1161" t="s">
        <v>691</v>
      </c>
      <c r="E61" s="1710"/>
      <c r="F61" s="1711">
        <v>0</v>
      </c>
      <c r="G61" s="3480">
        <v>0</v>
      </c>
      <c r="H61" s="2227"/>
      <c r="I61" s="3480">
        <v>0</v>
      </c>
      <c r="J61" s="2227"/>
      <c r="K61" s="3480">
        <v>0</v>
      </c>
      <c r="L61" s="1711"/>
      <c r="M61" s="2227">
        <f t="shared" si="0"/>
        <v>0</v>
      </c>
      <c r="N61" s="1711"/>
      <c r="O61" s="3480">
        <v>0</v>
      </c>
      <c r="P61" s="1177"/>
    </row>
    <row r="62" spans="2:16" s="960" customFormat="1" ht="15.6">
      <c r="B62" s="2622">
        <v>30147</v>
      </c>
      <c r="C62" s="1710"/>
      <c r="D62" s="1161" t="s">
        <v>692</v>
      </c>
      <c r="E62" s="1710"/>
      <c r="F62" s="1711">
        <v>0</v>
      </c>
      <c r="G62" s="3480">
        <v>0</v>
      </c>
      <c r="H62" s="2227"/>
      <c r="I62" s="3480">
        <v>0</v>
      </c>
      <c r="J62" s="2227"/>
      <c r="K62" s="3480">
        <v>0</v>
      </c>
      <c r="L62" s="1711"/>
      <c r="M62" s="2227">
        <f t="shared" si="0"/>
        <v>0</v>
      </c>
      <c r="N62" s="1711"/>
      <c r="O62" s="3480">
        <v>0</v>
      </c>
      <c r="P62" s="1177"/>
    </row>
    <row r="63" spans="2:16" s="960" customFormat="1" ht="15.6">
      <c r="B63" s="2622">
        <v>30148</v>
      </c>
      <c r="C63" s="1710"/>
      <c r="D63" s="1161" t="s">
        <v>693</v>
      </c>
      <c r="E63" s="1710"/>
      <c r="F63" s="1711">
        <v>0</v>
      </c>
      <c r="G63" s="3480">
        <v>0</v>
      </c>
      <c r="H63" s="2227"/>
      <c r="I63" s="3480">
        <v>0</v>
      </c>
      <c r="J63" s="2227"/>
      <c r="K63" s="3480">
        <v>0</v>
      </c>
      <c r="L63" s="1711"/>
      <c r="M63" s="2227">
        <f t="shared" si="0"/>
        <v>0</v>
      </c>
      <c r="N63" s="1711"/>
      <c r="O63" s="3480">
        <v>0</v>
      </c>
      <c r="P63" s="1177"/>
    </row>
    <row r="64" spans="2:16" s="960" customFormat="1" ht="15.6">
      <c r="B64" s="2622">
        <v>30149</v>
      </c>
      <c r="C64" s="1710"/>
      <c r="D64" s="1161" t="s">
        <v>694</v>
      </c>
      <c r="E64" s="1710"/>
      <c r="F64" s="1711">
        <v>0</v>
      </c>
      <c r="G64" s="3480">
        <v>0</v>
      </c>
      <c r="H64" s="2227"/>
      <c r="I64" s="3480">
        <v>0</v>
      </c>
      <c r="J64" s="2227"/>
      <c r="K64" s="3480">
        <v>0</v>
      </c>
      <c r="L64" s="1711"/>
      <c r="M64" s="2227">
        <f t="shared" si="0"/>
        <v>0</v>
      </c>
      <c r="N64" s="1711"/>
      <c r="O64" s="3480">
        <v>0</v>
      </c>
      <c r="P64" s="1177"/>
    </row>
    <row r="65" spans="2:16" s="960" customFormat="1" ht="15.6">
      <c r="B65" s="2622">
        <v>30150</v>
      </c>
      <c r="C65" s="1710"/>
      <c r="D65" s="1161" t="s">
        <v>695</v>
      </c>
      <c r="E65" s="1710"/>
      <c r="F65" s="1711">
        <v>0</v>
      </c>
      <c r="G65" s="3480">
        <v>0</v>
      </c>
      <c r="H65" s="2227"/>
      <c r="I65" s="3480">
        <v>0</v>
      </c>
      <c r="J65" s="2227"/>
      <c r="K65" s="3480">
        <v>0</v>
      </c>
      <c r="L65" s="1711"/>
      <c r="M65" s="2227">
        <f t="shared" si="0"/>
        <v>0</v>
      </c>
      <c r="N65" s="1711"/>
      <c r="O65" s="3480">
        <v>0</v>
      </c>
      <c r="P65" s="1177"/>
    </row>
    <row r="66" spans="2:16" s="960" customFormat="1" ht="15.6">
      <c r="B66" s="2622">
        <v>30151</v>
      </c>
      <c r="C66" s="1710"/>
      <c r="D66" s="1161" t="s">
        <v>696</v>
      </c>
      <c r="E66" s="1710"/>
      <c r="F66" s="1711">
        <v>0</v>
      </c>
      <c r="G66" s="3480">
        <v>0</v>
      </c>
      <c r="H66" s="2227"/>
      <c r="I66" s="3480">
        <v>0</v>
      </c>
      <c r="J66" s="2227"/>
      <c r="K66" s="3480">
        <v>0</v>
      </c>
      <c r="L66" s="1711"/>
      <c r="M66" s="2227">
        <f t="shared" si="0"/>
        <v>0</v>
      </c>
      <c r="N66" s="1711"/>
      <c r="O66" s="3480">
        <v>0</v>
      </c>
      <c r="P66" s="1177"/>
    </row>
    <row r="67" spans="2:16" s="960" customFormat="1" ht="15.6">
      <c r="B67" s="2622">
        <v>30152</v>
      </c>
      <c r="C67" s="1710"/>
      <c r="D67" s="1161" t="s">
        <v>697</v>
      </c>
      <c r="E67" s="1710"/>
      <c r="F67" s="1711">
        <v>0</v>
      </c>
      <c r="G67" s="3480">
        <v>0</v>
      </c>
      <c r="H67" s="2227"/>
      <c r="I67" s="3480">
        <v>0</v>
      </c>
      <c r="J67" s="2227"/>
      <c r="K67" s="3480">
        <v>0</v>
      </c>
      <c r="L67" s="1711"/>
      <c r="M67" s="2227">
        <f t="shared" si="0"/>
        <v>0</v>
      </c>
      <c r="N67" s="1711"/>
      <c r="O67" s="3480">
        <v>0</v>
      </c>
      <c r="P67" s="1177"/>
    </row>
    <row r="68" spans="2:16" s="960" customFormat="1" ht="15.6">
      <c r="B68" s="2622">
        <v>30153</v>
      </c>
      <c r="C68" s="1710"/>
      <c r="D68" s="1161" t="s">
        <v>698</v>
      </c>
      <c r="E68" s="1710"/>
      <c r="F68" s="1711">
        <v>0</v>
      </c>
      <c r="G68" s="3480">
        <v>0</v>
      </c>
      <c r="H68" s="2227"/>
      <c r="I68" s="3480">
        <v>0</v>
      </c>
      <c r="J68" s="2227"/>
      <c r="K68" s="3480">
        <v>0</v>
      </c>
      <c r="L68" s="1711"/>
      <c r="M68" s="2227">
        <f t="shared" si="0"/>
        <v>0</v>
      </c>
      <c r="N68" s="1711"/>
      <c r="O68" s="3480">
        <v>0</v>
      </c>
      <c r="P68" s="1177"/>
    </row>
    <row r="69" spans="2:16" s="960" customFormat="1" ht="15.6">
      <c r="B69" s="2622">
        <v>30154</v>
      </c>
      <c r="C69" s="1710"/>
      <c r="D69" s="1161" t="s">
        <v>699</v>
      </c>
      <c r="E69" s="1710"/>
      <c r="F69" s="1711">
        <v>0</v>
      </c>
      <c r="G69" s="3480">
        <v>0</v>
      </c>
      <c r="H69" s="2227"/>
      <c r="I69" s="3480">
        <v>0</v>
      </c>
      <c r="J69" s="2227"/>
      <c r="K69" s="3480">
        <v>0</v>
      </c>
      <c r="L69" s="1711"/>
      <c r="M69" s="2227">
        <f t="shared" si="0"/>
        <v>0</v>
      </c>
      <c r="N69" s="1711"/>
      <c r="O69" s="3480">
        <v>0</v>
      </c>
      <c r="P69" s="1177"/>
    </row>
    <row r="70" spans="2:16" s="960" customFormat="1" ht="15.6">
      <c r="B70" s="2622">
        <v>30351</v>
      </c>
      <c r="C70" s="1710"/>
      <c r="D70" s="1161" t="s">
        <v>700</v>
      </c>
      <c r="E70" s="1710"/>
      <c r="F70" s="1711">
        <v>72792259.140000001</v>
      </c>
      <c r="G70" s="3480">
        <v>45166388.869999997</v>
      </c>
      <c r="H70" s="2227"/>
      <c r="I70" s="3480">
        <v>55678186.850000001</v>
      </c>
      <c r="J70" s="2227"/>
      <c r="K70" s="3480">
        <v>63778743.240000002</v>
      </c>
      <c r="L70" s="1711"/>
      <c r="M70" s="2227">
        <f t="shared" si="0"/>
        <v>15340351.539999999</v>
      </c>
      <c r="N70" s="1711"/>
      <c r="O70" s="3480">
        <v>79119094.780000001</v>
      </c>
      <c r="P70" s="1177"/>
    </row>
    <row r="71" spans="2:16" s="960" customFormat="1" ht="15.6">
      <c r="B71" s="2622">
        <v>30501</v>
      </c>
      <c r="C71" s="1710"/>
      <c r="D71" s="1161" t="s">
        <v>701</v>
      </c>
      <c r="E71" s="1710"/>
      <c r="F71" s="1711">
        <v>169.29</v>
      </c>
      <c r="G71" s="3480">
        <v>0</v>
      </c>
      <c r="H71" s="2227"/>
      <c r="I71" s="3480">
        <v>0</v>
      </c>
      <c r="J71" s="2227"/>
      <c r="K71" s="3480">
        <v>0</v>
      </c>
      <c r="L71" s="1711"/>
      <c r="M71" s="2227">
        <f t="shared" si="0"/>
        <v>0</v>
      </c>
      <c r="N71" s="1711"/>
      <c r="O71" s="3480">
        <v>0</v>
      </c>
      <c r="P71" s="1177"/>
    </row>
    <row r="72" spans="2:16" s="960" customFormat="1" ht="15.6">
      <c r="B72" s="2622">
        <v>30502</v>
      </c>
      <c r="C72" s="1710"/>
      <c r="D72" s="1161" t="s">
        <v>702</v>
      </c>
      <c r="E72" s="1710"/>
      <c r="F72" s="1711">
        <v>0</v>
      </c>
      <c r="G72" s="3480">
        <v>0</v>
      </c>
      <c r="H72" s="2227"/>
      <c r="I72" s="3480">
        <v>0</v>
      </c>
      <c r="J72" s="2227"/>
      <c r="K72" s="3480">
        <v>0</v>
      </c>
      <c r="L72" s="1711"/>
      <c r="M72" s="2227">
        <f t="shared" si="0"/>
        <v>0</v>
      </c>
      <c r="N72" s="1711"/>
      <c r="O72" s="3480">
        <v>0</v>
      </c>
      <c r="P72" s="1177"/>
    </row>
    <row r="73" spans="2:16" s="960" customFormat="1" ht="15.6">
      <c r="B73" s="2622">
        <v>30503</v>
      </c>
      <c r="C73" s="1710"/>
      <c r="D73" s="1161" t="s">
        <v>703</v>
      </c>
      <c r="E73" s="1710"/>
      <c r="F73" s="1711">
        <v>0</v>
      </c>
      <c r="G73" s="3480">
        <v>0</v>
      </c>
      <c r="H73" s="2227"/>
      <c r="I73" s="3480">
        <v>0</v>
      </c>
      <c r="J73" s="2227"/>
      <c r="K73" s="3480">
        <v>0</v>
      </c>
      <c r="L73" s="1711"/>
      <c r="M73" s="2227">
        <f t="shared" si="0"/>
        <v>0</v>
      </c>
      <c r="N73" s="1711"/>
      <c r="O73" s="3480">
        <v>0</v>
      </c>
      <c r="P73" s="1177"/>
    </row>
    <row r="74" spans="2:16" s="960" customFormat="1" ht="15.6">
      <c r="B74" s="2622">
        <v>30504</v>
      </c>
      <c r="C74" s="1710"/>
      <c r="D74" s="1166" t="s">
        <v>704</v>
      </c>
      <c r="E74" s="1710"/>
      <c r="F74" s="1711">
        <v>0</v>
      </c>
      <c r="G74" s="3480">
        <v>0</v>
      </c>
      <c r="H74" s="2227"/>
      <c r="I74" s="3480">
        <v>0</v>
      </c>
      <c r="J74" s="2227"/>
      <c r="K74" s="3480">
        <v>0</v>
      </c>
      <c r="L74" s="1711"/>
      <c r="M74" s="2227">
        <f t="shared" si="0"/>
        <v>0</v>
      </c>
      <c r="N74" s="1711"/>
      <c r="O74" s="3480">
        <v>0</v>
      </c>
      <c r="P74" s="1177"/>
    </row>
    <row r="75" spans="2:16" s="960" customFormat="1" ht="15.6">
      <c r="B75" s="2622">
        <v>31506</v>
      </c>
      <c r="C75" s="1167"/>
      <c r="D75" s="1168" t="s">
        <v>705</v>
      </c>
      <c r="E75" s="1169"/>
      <c r="F75" s="1711">
        <v>109849194.79000001</v>
      </c>
      <c r="G75" s="3480">
        <v>130196785.87</v>
      </c>
      <c r="H75" s="2227"/>
      <c r="I75" s="3480">
        <v>141677335.80000001</v>
      </c>
      <c r="J75" s="2227"/>
      <c r="K75" s="3480">
        <v>151009009.83000001</v>
      </c>
      <c r="L75" s="1711"/>
      <c r="M75" s="2227">
        <f t="shared" si="0"/>
        <v>5432443.79</v>
      </c>
      <c r="N75" s="1711"/>
      <c r="O75" s="3480">
        <v>156441453.62</v>
      </c>
      <c r="P75" s="1177"/>
    </row>
    <row r="76" spans="2:16" s="960" customFormat="1" ht="15.6">
      <c r="B76" s="2622">
        <v>31701</v>
      </c>
      <c r="C76" s="1710"/>
      <c r="D76" s="1161" t="s">
        <v>706</v>
      </c>
      <c r="E76" s="1710"/>
      <c r="F76" s="1711">
        <v>7423246.6200000001</v>
      </c>
      <c r="G76" s="3480">
        <v>28157320.09</v>
      </c>
      <c r="H76" s="2227"/>
      <c r="I76" s="3480">
        <v>29898084.879999999</v>
      </c>
      <c r="J76" s="2227"/>
      <c r="K76" s="3480">
        <v>8270862.8600000003</v>
      </c>
      <c r="L76" s="1711"/>
      <c r="M76" s="2227">
        <f t="shared" si="0"/>
        <v>3227679</v>
      </c>
      <c r="N76" s="1711"/>
      <c r="O76" s="3480">
        <v>11498541.859999999</v>
      </c>
      <c r="P76" s="1177"/>
    </row>
    <row r="77" spans="2:16" s="960" customFormat="1" ht="15.6">
      <c r="B77" s="2622">
        <v>31801</v>
      </c>
      <c r="C77" s="1710"/>
      <c r="D77" s="1161" t="s">
        <v>707</v>
      </c>
      <c r="E77" s="1710"/>
      <c r="F77" s="1711">
        <v>13150846.050000001</v>
      </c>
      <c r="G77" s="3480">
        <v>13630607.539999999</v>
      </c>
      <c r="H77" s="2227"/>
      <c r="I77" s="3480">
        <v>13630607.539999999</v>
      </c>
      <c r="J77" s="2227"/>
      <c r="K77" s="3480">
        <v>13108506.189999999</v>
      </c>
      <c r="L77" s="1711"/>
      <c r="M77" s="2227">
        <f t="shared" si="0"/>
        <v>0</v>
      </c>
      <c r="N77" s="1711"/>
      <c r="O77" s="3480">
        <v>13108506.189999999</v>
      </c>
      <c r="P77" s="1177"/>
    </row>
    <row r="78" spans="2:16" s="960" customFormat="1" ht="15.6">
      <c r="B78" s="2622">
        <v>31851</v>
      </c>
      <c r="C78" s="1710"/>
      <c r="D78" s="1166" t="s">
        <v>708</v>
      </c>
      <c r="E78" s="1710"/>
      <c r="F78" s="1711">
        <v>0</v>
      </c>
      <c r="G78" s="3480">
        <v>0</v>
      </c>
      <c r="H78" s="2227"/>
      <c r="I78" s="3480">
        <v>51356581.829999998</v>
      </c>
      <c r="J78" s="2227"/>
      <c r="K78" s="3480">
        <v>7406736.2999999998</v>
      </c>
      <c r="L78" s="1711"/>
      <c r="M78" s="2227">
        <f t="shared" si="0"/>
        <v>0</v>
      </c>
      <c r="N78" s="1711"/>
      <c r="O78" s="3480">
        <v>7406736.2999999998</v>
      </c>
      <c r="P78" s="1177"/>
    </row>
    <row r="79" spans="2:16" s="960" customFormat="1" ht="15.6">
      <c r="B79" s="2622">
        <v>31852</v>
      </c>
      <c r="C79" s="1710"/>
      <c r="D79" s="1161" t="s">
        <v>709</v>
      </c>
      <c r="E79" s="1710"/>
      <c r="F79" s="1711">
        <v>40679225.310000002</v>
      </c>
      <c r="G79" s="3480">
        <v>47746088.539999999</v>
      </c>
      <c r="H79" s="2227"/>
      <c r="I79" s="3480">
        <v>57022859.770000003</v>
      </c>
      <c r="J79" s="2227"/>
      <c r="K79" s="3480">
        <v>40798634.659999996</v>
      </c>
      <c r="L79" s="1711"/>
      <c r="M79" s="2227">
        <f t="shared" si="0"/>
        <v>4747467.33</v>
      </c>
      <c r="N79" s="1711"/>
      <c r="O79" s="3480">
        <v>45546101.990000002</v>
      </c>
      <c r="P79" s="1177"/>
    </row>
    <row r="80" spans="2:16" s="960" customFormat="1" ht="15.6">
      <c r="B80" s="2622">
        <v>31853</v>
      </c>
      <c r="C80" s="1710"/>
      <c r="D80" s="1166" t="s">
        <v>710</v>
      </c>
      <c r="E80" s="1710"/>
      <c r="F80" s="1711">
        <v>76297899.909999996</v>
      </c>
      <c r="G80" s="3480">
        <v>123810546.17</v>
      </c>
      <c r="H80" s="2227"/>
      <c r="I80" s="3480">
        <v>123810546.17</v>
      </c>
      <c r="J80" s="2227"/>
      <c r="K80" s="3480">
        <v>102763306.94</v>
      </c>
      <c r="L80" s="1711"/>
      <c r="M80" s="2227">
        <f t="shared" ref="M80:M99" si="1">ROUND(SUM(O80)-SUM(K80),2)</f>
        <v>0</v>
      </c>
      <c r="N80" s="1711"/>
      <c r="O80" s="3480">
        <v>102763306.94</v>
      </c>
      <c r="P80" s="1177"/>
    </row>
    <row r="81" spans="2:16" s="960" customFormat="1" ht="15.6">
      <c r="B81" s="2622">
        <v>31854</v>
      </c>
      <c r="C81" s="1710"/>
      <c r="D81" s="1161" t="s">
        <v>711</v>
      </c>
      <c r="E81" s="1710"/>
      <c r="F81" s="1711">
        <v>0</v>
      </c>
      <c r="G81" s="3480">
        <v>0</v>
      </c>
      <c r="H81" s="2227"/>
      <c r="I81" s="3480">
        <v>0</v>
      </c>
      <c r="J81" s="2227"/>
      <c r="K81" s="3480">
        <v>0</v>
      </c>
      <c r="L81" s="1711"/>
      <c r="M81" s="2227">
        <f t="shared" si="1"/>
        <v>0</v>
      </c>
      <c r="N81" s="1711"/>
      <c r="O81" s="3480">
        <v>0</v>
      </c>
      <c r="P81" s="1177"/>
    </row>
    <row r="82" spans="2:16" s="960" customFormat="1" ht="15.6">
      <c r="B82" s="2622">
        <v>31951</v>
      </c>
      <c r="C82" s="1710"/>
      <c r="D82" s="1166" t="s">
        <v>712</v>
      </c>
      <c r="E82" s="1710"/>
      <c r="F82" s="1711">
        <v>12348115.710000001</v>
      </c>
      <c r="G82" s="3480">
        <v>12479389.369999999</v>
      </c>
      <c r="H82" s="2227"/>
      <c r="I82" s="3480">
        <v>12479389.369999999</v>
      </c>
      <c r="J82" s="2227"/>
      <c r="K82" s="3480">
        <v>12480245.17</v>
      </c>
      <c r="L82" s="1711"/>
      <c r="M82" s="2227">
        <f t="shared" si="1"/>
        <v>0</v>
      </c>
      <c r="N82" s="1711"/>
      <c r="O82" s="3480">
        <v>12480245.17</v>
      </c>
      <c r="P82" s="1177"/>
    </row>
    <row r="83" spans="2:16" s="960" customFormat="1" ht="15.6">
      <c r="B83" s="2622">
        <v>32213</v>
      </c>
      <c r="C83" s="1710"/>
      <c r="D83" s="1161" t="s">
        <v>713</v>
      </c>
      <c r="E83" s="1710"/>
      <c r="F83" s="1711">
        <v>153750</v>
      </c>
      <c r="G83" s="3480">
        <v>153750</v>
      </c>
      <c r="H83" s="2227"/>
      <c r="I83" s="3480">
        <v>153750</v>
      </c>
      <c r="J83" s="2227"/>
      <c r="K83" s="3480">
        <v>153750</v>
      </c>
      <c r="L83" s="1711"/>
      <c r="M83" s="2227">
        <f t="shared" si="1"/>
        <v>0</v>
      </c>
      <c r="N83" s="1711"/>
      <c r="O83" s="3480">
        <v>153750</v>
      </c>
      <c r="P83" s="1177"/>
    </row>
    <row r="84" spans="2:16" s="960" customFormat="1" ht="15.6">
      <c r="B84" s="2622">
        <v>32214</v>
      </c>
      <c r="C84" s="1710"/>
      <c r="D84" s="1161" t="s">
        <v>1451</v>
      </c>
      <c r="E84" s="1710"/>
      <c r="F84" s="1711"/>
      <c r="G84" s="3480">
        <v>0</v>
      </c>
      <c r="H84" s="2227"/>
      <c r="I84" s="3480">
        <v>0</v>
      </c>
      <c r="J84" s="2227"/>
      <c r="K84" s="3480">
        <v>0</v>
      </c>
      <c r="L84" s="1711"/>
      <c r="M84" s="2227">
        <f t="shared" si="1"/>
        <v>0</v>
      </c>
      <c r="N84" s="1711"/>
      <c r="O84" s="3480">
        <v>0</v>
      </c>
      <c r="P84" s="1177"/>
    </row>
    <row r="85" spans="2:16" s="960" customFormat="1" ht="15.6">
      <c r="B85" s="2622">
        <v>32215</v>
      </c>
      <c r="C85" s="1710"/>
      <c r="D85" s="1161" t="s">
        <v>1364</v>
      </c>
      <c r="E85" s="1710"/>
      <c r="F85" s="1711"/>
      <c r="G85" s="3480">
        <v>4692163.29</v>
      </c>
      <c r="H85" s="2227"/>
      <c r="I85" s="3480">
        <v>4931363.24</v>
      </c>
      <c r="J85" s="2227"/>
      <c r="K85" s="3480">
        <v>4913233.04</v>
      </c>
      <c r="L85" s="1711"/>
      <c r="M85" s="2227">
        <f t="shared" si="1"/>
        <v>5393.5</v>
      </c>
      <c r="N85" s="1711"/>
      <c r="O85" s="3480">
        <v>4918626.54</v>
      </c>
      <c r="P85" s="1177"/>
    </row>
    <row r="86" spans="2:16" s="960" customFormat="1" ht="15.6">
      <c r="B86" s="2622">
        <v>32301</v>
      </c>
      <c r="C86" s="1710"/>
      <c r="D86" s="1166" t="s">
        <v>714</v>
      </c>
      <c r="E86" s="1169"/>
      <c r="F86" s="1711">
        <v>0</v>
      </c>
      <c r="G86" s="3480">
        <v>0</v>
      </c>
      <c r="H86" s="2227"/>
      <c r="I86" s="3480">
        <v>0</v>
      </c>
      <c r="J86" s="2227"/>
      <c r="K86" s="3480">
        <v>0</v>
      </c>
      <c r="L86" s="1711"/>
      <c r="M86" s="2227">
        <f t="shared" si="1"/>
        <v>0</v>
      </c>
      <c r="N86" s="1711"/>
      <c r="O86" s="3480">
        <v>0</v>
      </c>
      <c r="P86" s="1177"/>
    </row>
    <row r="87" spans="2:16" s="960" customFormat="1" ht="15.6">
      <c r="B87" s="2622">
        <v>32302</v>
      </c>
      <c r="C87" s="1710"/>
      <c r="D87" s="1166" t="s">
        <v>1123</v>
      </c>
      <c r="E87" s="1169"/>
      <c r="F87" s="1711">
        <v>0</v>
      </c>
      <c r="G87" s="3480">
        <v>0</v>
      </c>
      <c r="H87" s="2227"/>
      <c r="I87" s="3480">
        <v>0</v>
      </c>
      <c r="J87" s="2227"/>
      <c r="K87" s="3480">
        <v>0</v>
      </c>
      <c r="L87" s="1711"/>
      <c r="M87" s="2227">
        <f t="shared" si="1"/>
        <v>0</v>
      </c>
      <c r="N87" s="1711"/>
      <c r="O87" s="3480">
        <v>0</v>
      </c>
      <c r="P87" s="1177"/>
    </row>
    <row r="88" spans="2:16" s="960" customFormat="1" ht="15.6">
      <c r="B88" s="2622">
        <v>32303</v>
      </c>
      <c r="C88" s="1710"/>
      <c r="D88" s="1161" t="s">
        <v>715</v>
      </c>
      <c r="E88" s="1169"/>
      <c r="F88" s="1711">
        <v>87723047.260000005</v>
      </c>
      <c r="G88" s="3480">
        <v>180956459.16</v>
      </c>
      <c r="H88" s="2227"/>
      <c r="I88" s="3480">
        <v>180245336.55000001</v>
      </c>
      <c r="J88" s="2227"/>
      <c r="K88" s="3480">
        <v>182770800.97999999</v>
      </c>
      <c r="L88" s="1711"/>
      <c r="M88" s="2227">
        <f t="shared" si="1"/>
        <v>-5386306.2999999998</v>
      </c>
      <c r="N88" s="1711"/>
      <c r="O88" s="3480">
        <v>177384494.68000001</v>
      </c>
      <c r="P88" s="1177"/>
    </row>
    <row r="89" spans="2:16" s="960" customFormat="1" ht="15.6">
      <c r="B89" s="2622">
        <v>32304</v>
      </c>
      <c r="C89" s="1710"/>
      <c r="D89" s="1161" t="s">
        <v>716</v>
      </c>
      <c r="E89" s="1169"/>
      <c r="F89" s="1711">
        <v>0</v>
      </c>
      <c r="G89" s="3480">
        <v>0</v>
      </c>
      <c r="H89" s="2227"/>
      <c r="I89" s="3480">
        <v>0</v>
      </c>
      <c r="J89" s="2227"/>
      <c r="K89" s="3480">
        <v>0</v>
      </c>
      <c r="L89" s="1711"/>
      <c r="M89" s="2227">
        <f t="shared" si="1"/>
        <v>0</v>
      </c>
      <c r="N89" s="1711"/>
      <c r="O89" s="3480">
        <v>0</v>
      </c>
      <c r="P89" s="1177"/>
    </row>
    <row r="90" spans="2:16" s="960" customFormat="1" ht="15.6">
      <c r="B90" s="2622">
        <v>32305</v>
      </c>
      <c r="C90" s="1710"/>
      <c r="D90" s="1161" t="s">
        <v>1124</v>
      </c>
      <c r="E90" s="1169"/>
      <c r="F90" s="1711">
        <v>172362230.61000001</v>
      </c>
      <c r="G90" s="3480">
        <v>258641336.09</v>
      </c>
      <c r="H90" s="2227"/>
      <c r="I90" s="3480">
        <v>254079704.41999999</v>
      </c>
      <c r="J90" s="2227"/>
      <c r="K90" s="3480">
        <v>255482204.41999999</v>
      </c>
      <c r="L90" s="1711"/>
      <c r="M90" s="2227">
        <f t="shared" si="1"/>
        <v>168449.49</v>
      </c>
      <c r="N90" s="1711"/>
      <c r="O90" s="3480">
        <v>255650653.91</v>
      </c>
      <c r="P90" s="1177"/>
    </row>
    <row r="91" spans="2:16" s="960" customFormat="1" ht="15.6">
      <c r="B91" s="2622">
        <v>32306</v>
      </c>
      <c r="C91" s="1710"/>
      <c r="D91" s="1166" t="s">
        <v>717</v>
      </c>
      <c r="E91" s="1169"/>
      <c r="F91" s="1711">
        <v>26767629.280000001</v>
      </c>
      <c r="G91" s="3480">
        <v>19122565.710000001</v>
      </c>
      <c r="H91" s="2227"/>
      <c r="I91" s="3480">
        <v>19122565.710000001</v>
      </c>
      <c r="J91" s="2227"/>
      <c r="K91" s="3480">
        <v>19122565.710000001</v>
      </c>
      <c r="L91" s="1711"/>
      <c r="M91" s="2227">
        <f t="shared" si="1"/>
        <v>0</v>
      </c>
      <c r="N91" s="1711"/>
      <c r="O91" s="3480">
        <v>19122565.710000001</v>
      </c>
      <c r="P91" s="1177"/>
    </row>
    <row r="92" spans="2:16" s="960" customFormat="1" ht="15.6">
      <c r="B92" s="2622">
        <v>32307</v>
      </c>
      <c r="C92" s="1710"/>
      <c r="D92" s="1166" t="s">
        <v>718</v>
      </c>
      <c r="E92" s="1169"/>
      <c r="F92" s="1711">
        <v>5430710.0300000003</v>
      </c>
      <c r="G92" s="3480">
        <v>6260978.1100000003</v>
      </c>
      <c r="H92" s="2227"/>
      <c r="I92" s="3480">
        <v>7660978.1100000003</v>
      </c>
      <c r="J92" s="2227"/>
      <c r="K92" s="3480">
        <v>7660978.1100000003</v>
      </c>
      <c r="L92" s="1711"/>
      <c r="M92" s="2227">
        <f t="shared" si="1"/>
        <v>0</v>
      </c>
      <c r="N92" s="1711"/>
      <c r="O92" s="3480">
        <v>7660978.1100000003</v>
      </c>
      <c r="P92" s="1177"/>
    </row>
    <row r="93" spans="2:16" s="960" customFormat="1" ht="15.6">
      <c r="B93" s="2622">
        <v>32308</v>
      </c>
      <c r="C93" s="1710"/>
      <c r="D93" s="1166" t="s">
        <v>719</v>
      </c>
      <c r="E93" s="1169"/>
      <c r="F93" s="1711">
        <v>539890.44999999995</v>
      </c>
      <c r="G93" s="3480">
        <v>1431583.9</v>
      </c>
      <c r="H93" s="2227"/>
      <c r="I93" s="3480">
        <v>1431583.9</v>
      </c>
      <c r="J93" s="2227"/>
      <c r="K93" s="3480">
        <v>1431583.9</v>
      </c>
      <c r="L93" s="1711"/>
      <c r="M93" s="2227">
        <f t="shared" si="1"/>
        <v>0</v>
      </c>
      <c r="N93" s="1711"/>
      <c r="O93" s="3480">
        <v>1431583.9</v>
      </c>
      <c r="P93" s="1177"/>
    </row>
    <row r="94" spans="2:16" s="960" customFormat="1" ht="15.6">
      <c r="B94" s="2622">
        <v>32309</v>
      </c>
      <c r="C94" s="1710"/>
      <c r="D94" s="1166" t="s">
        <v>720</v>
      </c>
      <c r="E94" s="1169"/>
      <c r="F94" s="1711">
        <v>104401100.42</v>
      </c>
      <c r="G94" s="3480">
        <v>100752020.09999999</v>
      </c>
      <c r="H94" s="2227"/>
      <c r="I94" s="3480">
        <v>116882897.83</v>
      </c>
      <c r="J94" s="2227"/>
      <c r="K94" s="3480">
        <v>126384595.91</v>
      </c>
      <c r="L94" s="1711"/>
      <c r="M94" s="2227">
        <f t="shared" si="1"/>
        <v>8852895.75</v>
      </c>
      <c r="N94" s="1711"/>
      <c r="O94" s="3480">
        <v>135237491.66</v>
      </c>
      <c r="P94" s="1177"/>
    </row>
    <row r="95" spans="2:16" s="960" customFormat="1" ht="15.6">
      <c r="B95" s="2622">
        <v>32310</v>
      </c>
      <c r="C95" s="1710"/>
      <c r="D95" s="1166" t="s">
        <v>721</v>
      </c>
      <c r="E95" s="1169"/>
      <c r="F95" s="1711">
        <v>0</v>
      </c>
      <c r="G95" s="3480">
        <v>0</v>
      </c>
      <c r="H95" s="2227"/>
      <c r="I95" s="3480">
        <v>0</v>
      </c>
      <c r="J95" s="2227"/>
      <c r="K95" s="3480">
        <v>0</v>
      </c>
      <c r="L95" s="1711"/>
      <c r="M95" s="2227">
        <f t="shared" si="1"/>
        <v>0</v>
      </c>
      <c r="N95" s="1711"/>
      <c r="O95" s="3480">
        <v>0</v>
      </c>
      <c r="P95" s="1177"/>
    </row>
    <row r="96" spans="2:16" s="960" customFormat="1" ht="16.8">
      <c r="B96" s="2622">
        <v>32311</v>
      </c>
      <c r="C96" s="1710"/>
      <c r="D96" s="1712" t="s">
        <v>722</v>
      </c>
      <c r="E96" s="1169"/>
      <c r="F96" s="1711">
        <v>2486315.4700000002</v>
      </c>
      <c r="G96" s="3480">
        <v>854937.15</v>
      </c>
      <c r="H96" s="2227"/>
      <c r="I96" s="3480">
        <v>483862.29</v>
      </c>
      <c r="J96" s="2227"/>
      <c r="K96" s="3480">
        <v>490667.29</v>
      </c>
      <c r="L96" s="1711"/>
      <c r="M96" s="2227">
        <f t="shared" si="1"/>
        <v>0</v>
      </c>
      <c r="N96" s="1711"/>
      <c r="O96" s="3480">
        <v>490667.29</v>
      </c>
      <c r="P96" s="1177"/>
    </row>
    <row r="97" spans="2:16" s="960" customFormat="1" ht="15.6">
      <c r="B97" s="2622">
        <v>32351</v>
      </c>
      <c r="C97" s="1710"/>
      <c r="D97" s="1166" t="s">
        <v>723</v>
      </c>
      <c r="E97" s="1169"/>
      <c r="F97" s="1711">
        <v>11110.01</v>
      </c>
      <c r="G97" s="3480">
        <v>0</v>
      </c>
      <c r="H97" s="2227"/>
      <c r="I97" s="3480">
        <v>0</v>
      </c>
      <c r="J97" s="2227"/>
      <c r="K97" s="3480">
        <v>0</v>
      </c>
      <c r="L97" s="1711"/>
      <c r="M97" s="2227">
        <f t="shared" si="1"/>
        <v>0</v>
      </c>
      <c r="N97" s="1711"/>
      <c r="O97" s="3480">
        <v>0</v>
      </c>
      <c r="P97" s="1177"/>
    </row>
    <row r="98" spans="2:16" s="960" customFormat="1" ht="15.6">
      <c r="B98" s="2622">
        <v>32352</v>
      </c>
      <c r="C98" s="1710"/>
      <c r="D98" s="1161" t="s">
        <v>724</v>
      </c>
      <c r="E98" s="1169"/>
      <c r="F98" s="1711">
        <v>65245293.57</v>
      </c>
      <c r="G98" s="3480">
        <v>348444654.55000001</v>
      </c>
      <c r="H98" s="2227"/>
      <c r="I98" s="3480">
        <v>381033387.55000001</v>
      </c>
      <c r="J98" s="2227"/>
      <c r="K98" s="3480">
        <v>162347995.58000001</v>
      </c>
      <c r="L98" s="1711"/>
      <c r="M98" s="2227">
        <f t="shared" si="1"/>
        <v>37525752.850000001</v>
      </c>
      <c r="N98" s="1711"/>
      <c r="O98" s="3480">
        <v>199873748.43000001</v>
      </c>
      <c r="P98" s="1247"/>
    </row>
    <row r="99" spans="2:16" s="960" customFormat="1" ht="15.6">
      <c r="B99" s="2622">
        <v>33001</v>
      </c>
      <c r="C99" s="1710"/>
      <c r="D99" s="1161" t="s">
        <v>725</v>
      </c>
      <c r="E99" s="1169"/>
      <c r="F99" s="1711">
        <v>10000000</v>
      </c>
      <c r="G99" s="3480">
        <v>62835709.5</v>
      </c>
      <c r="H99" s="2227"/>
      <c r="I99" s="3480">
        <v>65085723.060000002</v>
      </c>
      <c r="J99" s="2227"/>
      <c r="K99" s="3480">
        <v>66775454.420000002</v>
      </c>
      <c r="L99" s="1711"/>
      <c r="M99" s="2227">
        <f t="shared" si="1"/>
        <v>4459106.57</v>
      </c>
      <c r="N99" s="1711"/>
      <c r="O99" s="3480">
        <v>71234560.989999995</v>
      </c>
      <c r="P99" s="1177"/>
    </row>
    <row r="100" spans="2:16" s="960" customFormat="1" ht="16.2" thickBot="1">
      <c r="B100" s="1515"/>
      <c r="C100" s="1516"/>
      <c r="D100" s="2972" t="s">
        <v>726</v>
      </c>
      <c r="E100" s="1237"/>
      <c r="F100" s="1237"/>
      <c r="G100" s="2229">
        <f>ROUND(SUM(G14:G99),2)</f>
        <v>1638748484.74</v>
      </c>
      <c r="H100" s="3489"/>
      <c r="I100" s="2229">
        <f>ROUND(SUM(I14:I99),2)</f>
        <v>1784932318.9400001</v>
      </c>
      <c r="J100" s="3489"/>
      <c r="K100" s="2229">
        <f>ROUND(SUM(K14:K99),2)</f>
        <v>1469147327.3800001</v>
      </c>
      <c r="L100"/>
      <c r="M100" s="2229">
        <f>ROUND(SUM(M14:M99),2)</f>
        <v>23516757.190000001</v>
      </c>
      <c r="N100"/>
      <c r="O100" s="2229">
        <f>ROUND(SUM(O14:O99),2)</f>
        <v>1492664084.5699999</v>
      </c>
      <c r="P100" s="1177"/>
    </row>
    <row r="101" spans="2:16" s="960" customFormat="1" ht="16.2" thickTop="1">
      <c r="B101" s="1517"/>
      <c r="C101" s="1517"/>
      <c r="D101" s="1518"/>
      <c r="E101" s="1242"/>
      <c r="F101" s="1242"/>
      <c r="G101" s="3483"/>
      <c r="H101" s="1519"/>
      <c r="I101" s="3483"/>
      <c r="J101" s="1519"/>
      <c r="K101" s="3483"/>
      <c r="L101" s="1135"/>
      <c r="M101" s="1519"/>
      <c r="N101" s="1520"/>
      <c r="O101" s="3483"/>
      <c r="P101" s="1248"/>
    </row>
    <row r="102" spans="2:16" s="960" customFormat="1" ht="15.6">
      <c r="B102" s="1321"/>
      <c r="C102" s="1516"/>
      <c r="D102" s="2973" t="s">
        <v>727</v>
      </c>
      <c r="E102" s="1521"/>
      <c r="F102" s="1521"/>
      <c r="G102" s="3484"/>
      <c r="H102" s="3490"/>
      <c r="I102" s="3484"/>
      <c r="J102" s="3490"/>
      <c r="K102" s="3484"/>
      <c r="L102" s="1513"/>
      <c r="M102" s="2656"/>
      <c r="N102" s="1522"/>
      <c r="O102" s="3484"/>
      <c r="P102" s="1242"/>
    </row>
    <row r="103" spans="2:16" s="960" customFormat="1" ht="15.6">
      <c r="B103" s="2622">
        <v>20452</v>
      </c>
      <c r="C103" s="1321"/>
      <c r="D103" s="1161" t="s">
        <v>728</v>
      </c>
      <c r="E103"/>
      <c r="F103" s="1321"/>
      <c r="G103" s="3480">
        <v>0</v>
      </c>
      <c r="H103" s="2227"/>
      <c r="I103" s="3480">
        <v>0</v>
      </c>
      <c r="J103" s="2227"/>
      <c r="K103" s="3480">
        <v>0</v>
      </c>
      <c r="L103" s="1513"/>
      <c r="M103" s="2227">
        <f t="shared" ref="M103:M166" si="2">ROUND(SUM(O103)-SUM(K103),2)</f>
        <v>0</v>
      </c>
      <c r="N103" s="1513"/>
      <c r="O103" s="3480">
        <v>0</v>
      </c>
      <c r="P103" s="1177"/>
    </row>
    <row r="104" spans="2:16" s="960" customFormat="1" ht="15.6">
      <c r="B104" s="2622">
        <v>20501</v>
      </c>
      <c r="C104" s="1524"/>
      <c r="D104" s="1161" t="s">
        <v>729</v>
      </c>
      <c r="E104" s="1514"/>
      <c r="F104" s="1514"/>
      <c r="G104" s="3480">
        <v>0</v>
      </c>
      <c r="H104" s="2227"/>
      <c r="I104" s="3480">
        <v>0</v>
      </c>
      <c r="J104" s="2227"/>
      <c r="K104" s="3480">
        <v>0</v>
      </c>
      <c r="L104" s="1513"/>
      <c r="M104" s="2227">
        <f t="shared" si="2"/>
        <v>0</v>
      </c>
      <c r="N104" s="1513"/>
      <c r="O104" s="3480">
        <v>0</v>
      </c>
      <c r="P104" s="1177"/>
    </row>
    <row r="105" spans="2:16" s="960" customFormat="1" ht="15.6">
      <c r="B105" s="2622">
        <v>20810</v>
      </c>
      <c r="C105" s="1167"/>
      <c r="D105" s="1171" t="s">
        <v>730</v>
      </c>
      <c r="E105" s="1169"/>
      <c r="F105" s="1169"/>
      <c r="G105" s="3480">
        <v>38701295.020000003</v>
      </c>
      <c r="H105" s="2227"/>
      <c r="I105" s="3480">
        <v>0</v>
      </c>
      <c r="J105" s="2227"/>
      <c r="K105" s="3480">
        <v>16949561.050000001</v>
      </c>
      <c r="L105" s="1513"/>
      <c r="M105" s="2227">
        <f t="shared" si="2"/>
        <v>-16949561.050000001</v>
      </c>
      <c r="N105" s="1513"/>
      <c r="O105" s="3480">
        <v>0</v>
      </c>
      <c r="P105" s="1177"/>
    </row>
    <row r="106" spans="2:16" s="960" customFormat="1" ht="15.6">
      <c r="B106" s="2622">
        <v>20818</v>
      </c>
      <c r="C106" s="1167"/>
      <c r="D106" s="1171" t="s">
        <v>731</v>
      </c>
      <c r="E106" s="1169"/>
      <c r="F106" s="1169"/>
      <c r="G106" s="3480">
        <v>11591012.619999999</v>
      </c>
      <c r="H106" s="2227"/>
      <c r="I106" s="3480">
        <v>0</v>
      </c>
      <c r="J106" s="2227"/>
      <c r="K106" s="3480">
        <v>6284780.1699999999</v>
      </c>
      <c r="L106" s="1513"/>
      <c r="M106" s="2227">
        <f t="shared" si="2"/>
        <v>-6284780.1699999999</v>
      </c>
      <c r="N106" s="1513"/>
      <c r="O106" s="3480">
        <v>0</v>
      </c>
      <c r="P106" s="1177"/>
    </row>
    <row r="107" spans="2:16" s="960" customFormat="1" ht="15.6">
      <c r="B107" s="2622">
        <v>20901</v>
      </c>
      <c r="C107" s="1167"/>
      <c r="D107" s="1171" t="s">
        <v>732</v>
      </c>
      <c r="E107" s="1169"/>
      <c r="F107" s="1169"/>
      <c r="G107" s="3480">
        <v>1206586358.1900001</v>
      </c>
      <c r="H107" s="2227"/>
      <c r="I107" s="3480">
        <v>1035512256.13</v>
      </c>
      <c r="J107" s="2227"/>
      <c r="K107" s="3480">
        <v>885208097.57000005</v>
      </c>
      <c r="L107" s="1513"/>
      <c r="M107" s="2227">
        <f t="shared" si="2"/>
        <v>-190506935.88999999</v>
      </c>
      <c r="N107" s="1513"/>
      <c r="O107" s="3480">
        <v>694701161.67999995</v>
      </c>
      <c r="P107" s="1177"/>
    </row>
    <row r="108" spans="2:16" s="960" customFormat="1" ht="15.6">
      <c r="B108" s="2622">
        <v>20904</v>
      </c>
      <c r="C108" s="1164"/>
      <c r="D108" s="1172" t="s">
        <v>733</v>
      </c>
      <c r="E108" s="1176"/>
      <c r="F108" s="1176"/>
      <c r="G108" s="3480">
        <v>0</v>
      </c>
      <c r="H108" s="2227"/>
      <c r="I108" s="3480">
        <v>0</v>
      </c>
      <c r="J108" s="2227"/>
      <c r="K108" s="3480">
        <v>0</v>
      </c>
      <c r="L108" s="1513"/>
      <c r="M108" s="2227">
        <f t="shared" si="2"/>
        <v>0</v>
      </c>
      <c r="N108" s="1513"/>
      <c r="O108" s="3480">
        <v>0</v>
      </c>
      <c r="P108" s="1177"/>
    </row>
    <row r="109" spans="2:16" s="960" customFormat="1" ht="15.6">
      <c r="B109" s="2622">
        <v>21001</v>
      </c>
      <c r="C109" s="1167"/>
      <c r="D109" s="1173" t="s">
        <v>734</v>
      </c>
      <c r="E109" s="1169"/>
      <c r="F109" s="1169"/>
      <c r="G109" s="3480">
        <v>0</v>
      </c>
      <c r="H109" s="2227"/>
      <c r="I109" s="3480">
        <v>0</v>
      </c>
      <c r="J109" s="2227"/>
      <c r="K109" s="3480">
        <v>0</v>
      </c>
      <c r="L109" s="1513"/>
      <c r="M109" s="2227">
        <f t="shared" si="2"/>
        <v>0</v>
      </c>
      <c r="N109" s="1513"/>
      <c r="O109" s="3480">
        <v>0</v>
      </c>
      <c r="P109" s="1177"/>
    </row>
    <row r="110" spans="2:16" s="960" customFormat="1" ht="15.6">
      <c r="B110" s="2622">
        <v>21002</v>
      </c>
      <c r="C110" s="1167"/>
      <c r="D110" s="1171" t="s">
        <v>735</v>
      </c>
      <c r="E110" s="1169"/>
      <c r="F110" s="1169"/>
      <c r="G110" s="3480">
        <v>3938392.41</v>
      </c>
      <c r="H110" s="2227"/>
      <c r="I110" s="3480">
        <v>3985560.12</v>
      </c>
      <c r="J110" s="2227"/>
      <c r="K110" s="3480">
        <v>4021679.6</v>
      </c>
      <c r="L110" s="1513"/>
      <c r="M110" s="2227">
        <f t="shared" si="2"/>
        <v>97170.57</v>
      </c>
      <c r="N110" s="1513"/>
      <c r="O110" s="3480">
        <v>4118850.17</v>
      </c>
      <c r="P110" s="1177"/>
    </row>
    <row r="111" spans="2:16" s="960" customFormat="1" ht="15.6">
      <c r="B111" s="2622">
        <v>21061</v>
      </c>
      <c r="C111" s="1167"/>
      <c r="D111" s="1171" t="s">
        <v>736</v>
      </c>
      <c r="E111" s="1169"/>
      <c r="F111" s="1169"/>
      <c r="G111" s="3480">
        <v>0</v>
      </c>
      <c r="H111" s="2227"/>
      <c r="I111" s="3480">
        <v>0</v>
      </c>
      <c r="J111" s="2227"/>
      <c r="K111" s="3480">
        <v>0</v>
      </c>
      <c r="L111" s="1513"/>
      <c r="M111" s="2227">
        <f t="shared" si="2"/>
        <v>0</v>
      </c>
      <c r="N111" s="1513"/>
      <c r="O111" s="3480">
        <v>0</v>
      </c>
      <c r="P111" s="1177"/>
    </row>
    <row r="112" spans="2:16" s="960" customFormat="1" ht="15.6">
      <c r="B112" s="2622">
        <v>21065</v>
      </c>
      <c r="C112" s="1167"/>
      <c r="D112" s="1171" t="s">
        <v>737</v>
      </c>
      <c r="E112" s="1169"/>
      <c r="F112" s="1169"/>
      <c r="G112" s="3480">
        <v>1663431.27</v>
      </c>
      <c r="H112" s="2227"/>
      <c r="I112" s="3480">
        <v>2675895.87</v>
      </c>
      <c r="J112" s="2227"/>
      <c r="K112" s="3480">
        <v>4443396.37</v>
      </c>
      <c r="L112" s="1513"/>
      <c r="M112" s="2227">
        <f t="shared" si="2"/>
        <v>-2839222.21</v>
      </c>
      <c r="N112" s="1513"/>
      <c r="O112" s="3480">
        <v>1604174.16</v>
      </c>
      <c r="P112" s="1177"/>
    </row>
    <row r="113" spans="2:16" s="960" customFormat="1" ht="15.6">
      <c r="B113" s="2622">
        <v>21066</v>
      </c>
      <c r="C113" s="1167"/>
      <c r="D113" s="1168" t="s">
        <v>738</v>
      </c>
      <c r="E113" s="1169"/>
      <c r="F113" s="1169"/>
      <c r="G113" s="3480">
        <v>4102280.55</v>
      </c>
      <c r="H113" s="2227"/>
      <c r="I113" s="3480">
        <v>4248114.4800000004</v>
      </c>
      <c r="J113" s="2227"/>
      <c r="K113" s="3480">
        <v>4817478.74</v>
      </c>
      <c r="L113" s="1513"/>
      <c r="M113" s="2227">
        <f t="shared" si="2"/>
        <v>-280740.40000000002</v>
      </c>
      <c r="N113" s="1513"/>
      <c r="O113" s="3480">
        <v>4536738.34</v>
      </c>
      <c r="P113" s="1177"/>
    </row>
    <row r="114" spans="2:16" s="960" customFormat="1" ht="15.6">
      <c r="B114" s="2622">
        <v>21067</v>
      </c>
      <c r="C114" s="1167"/>
      <c r="D114" s="1168" t="s">
        <v>739</v>
      </c>
      <c r="E114" s="1169"/>
      <c r="F114" s="1169"/>
      <c r="G114" s="3480">
        <v>3669415.26</v>
      </c>
      <c r="H114" s="2227"/>
      <c r="I114" s="3480">
        <v>2774569.02</v>
      </c>
      <c r="J114" s="2227"/>
      <c r="K114" s="3480">
        <v>2624800.7000000002</v>
      </c>
      <c r="L114" s="1513"/>
      <c r="M114" s="2227">
        <f t="shared" si="2"/>
        <v>-66715</v>
      </c>
      <c r="N114" s="1513"/>
      <c r="O114" s="3480">
        <v>2558085.7000000002</v>
      </c>
      <c r="P114" s="1177"/>
    </row>
    <row r="115" spans="2:16" s="960" customFormat="1" ht="15.6">
      <c r="B115" s="2622">
        <v>21077</v>
      </c>
      <c r="C115" s="1167"/>
      <c r="D115" s="1171" t="s">
        <v>740</v>
      </c>
      <c r="E115" s="1169"/>
      <c r="F115" s="1169"/>
      <c r="G115" s="3480">
        <v>0</v>
      </c>
      <c r="H115" s="2227"/>
      <c r="I115" s="3480">
        <v>0</v>
      </c>
      <c r="J115" s="2227"/>
      <c r="K115" s="3480">
        <v>0</v>
      </c>
      <c r="L115" s="1513"/>
      <c r="M115" s="2227">
        <f t="shared" si="2"/>
        <v>0</v>
      </c>
      <c r="N115" s="1513"/>
      <c r="O115" s="3480">
        <v>0</v>
      </c>
      <c r="P115" s="1177"/>
    </row>
    <row r="116" spans="2:16" s="960" customFormat="1" ht="15.6">
      <c r="B116" s="2622">
        <v>21081</v>
      </c>
      <c r="C116" s="1167"/>
      <c r="D116" s="1168" t="s">
        <v>741</v>
      </c>
      <c r="E116" s="1169"/>
      <c r="F116" s="1169"/>
      <c r="G116" s="3480">
        <v>35068552.140000001</v>
      </c>
      <c r="H116" s="2227"/>
      <c r="I116" s="3480">
        <v>34142322.939999998</v>
      </c>
      <c r="J116" s="2227"/>
      <c r="K116" s="3480">
        <v>36388101.310000002</v>
      </c>
      <c r="L116" s="1513"/>
      <c r="M116" s="2227">
        <f t="shared" si="2"/>
        <v>1922238.79</v>
      </c>
      <c r="N116" s="1513"/>
      <c r="O116" s="3480">
        <v>38310340.100000001</v>
      </c>
      <c r="P116" s="1177"/>
    </row>
    <row r="117" spans="2:16" s="960" customFormat="1" ht="15.6">
      <c r="B117" s="2622">
        <v>21082</v>
      </c>
      <c r="C117" s="1167"/>
      <c r="D117" s="1171" t="s">
        <v>742</v>
      </c>
      <c r="E117" s="1169"/>
      <c r="F117" s="1169"/>
      <c r="G117" s="3480">
        <v>15755559.17</v>
      </c>
      <c r="H117" s="2227"/>
      <c r="I117" s="3480">
        <v>15473848.25</v>
      </c>
      <c r="J117" s="2227"/>
      <c r="K117" s="3480">
        <v>15514378.710000001</v>
      </c>
      <c r="L117" s="1513"/>
      <c r="M117" s="2227">
        <f t="shared" si="2"/>
        <v>198894.36</v>
      </c>
      <c r="N117" s="1513"/>
      <c r="O117" s="3480">
        <v>15713273.07</v>
      </c>
      <c r="P117" s="1177"/>
    </row>
    <row r="118" spans="2:16" s="960" customFormat="1" ht="15.6">
      <c r="B118" s="2622">
        <v>21084</v>
      </c>
      <c r="C118" s="1167"/>
      <c r="D118" s="1171" t="s">
        <v>743</v>
      </c>
      <c r="E118" s="1169"/>
      <c r="F118" s="1169"/>
      <c r="G118" s="3480">
        <v>0</v>
      </c>
      <c r="H118" s="2227"/>
      <c r="I118" s="3480">
        <v>0</v>
      </c>
      <c r="J118" s="2227"/>
      <c r="K118" s="3480">
        <v>0</v>
      </c>
      <c r="L118" s="1513"/>
      <c r="M118" s="2227">
        <f t="shared" si="2"/>
        <v>0</v>
      </c>
      <c r="N118" s="1513"/>
      <c r="O118" s="3480">
        <v>0</v>
      </c>
      <c r="P118" s="1177"/>
    </row>
    <row r="119" spans="2:16" s="960" customFormat="1" ht="15.6">
      <c r="B119" s="2622">
        <v>21087</v>
      </c>
      <c r="C119" s="1167"/>
      <c r="D119" s="1171" t="s">
        <v>744</v>
      </c>
      <c r="E119" s="1169"/>
      <c r="F119" s="1169"/>
      <c r="G119" s="3480">
        <v>0</v>
      </c>
      <c r="H119" s="2227"/>
      <c r="I119" s="3480">
        <v>0</v>
      </c>
      <c r="J119" s="2227"/>
      <c r="K119" s="3480">
        <v>0</v>
      </c>
      <c r="L119" s="1513"/>
      <c r="M119" s="2227">
        <f t="shared" si="2"/>
        <v>0</v>
      </c>
      <c r="N119" s="1513"/>
      <c r="O119" s="3480">
        <v>0</v>
      </c>
      <c r="P119" s="1177"/>
    </row>
    <row r="120" spans="2:16" s="960" customFormat="1" ht="15.6">
      <c r="B120" s="2622">
        <v>21201</v>
      </c>
      <c r="C120" s="1167"/>
      <c r="D120" s="1171" t="s">
        <v>745</v>
      </c>
      <c r="E120" s="1169"/>
      <c r="F120" s="1169"/>
      <c r="G120" s="3480">
        <v>500892.09</v>
      </c>
      <c r="H120" s="2227"/>
      <c r="I120" s="3480">
        <v>570732.96</v>
      </c>
      <c r="J120" s="2227"/>
      <c r="K120" s="3480">
        <v>699202.88</v>
      </c>
      <c r="L120" s="1513"/>
      <c r="M120" s="2227">
        <f t="shared" si="2"/>
        <v>153023.94</v>
      </c>
      <c r="N120" s="1513"/>
      <c r="O120" s="3480">
        <v>852226.82</v>
      </c>
      <c r="P120" s="1177"/>
    </row>
    <row r="121" spans="2:16" s="960" customFormat="1" ht="15.6">
      <c r="B121" s="2622">
        <v>21202</v>
      </c>
      <c r="C121" s="1167"/>
      <c r="D121" s="1171" t="s">
        <v>746</v>
      </c>
      <c r="E121" s="1169"/>
      <c r="F121" s="1169"/>
      <c r="G121" s="3480">
        <v>201955.35</v>
      </c>
      <c r="H121" s="2227"/>
      <c r="I121" s="3480">
        <v>224341.26</v>
      </c>
      <c r="J121" s="2227"/>
      <c r="K121" s="3480">
        <v>239386.29</v>
      </c>
      <c r="L121" s="1513"/>
      <c r="M121" s="2227">
        <f t="shared" si="2"/>
        <v>19556.05</v>
      </c>
      <c r="N121" s="1513"/>
      <c r="O121" s="3480">
        <v>258942.34</v>
      </c>
      <c r="P121" s="1177"/>
    </row>
    <row r="122" spans="2:16" s="960" customFormat="1" ht="15.6">
      <c r="B122" s="2622">
        <v>21203</v>
      </c>
      <c r="C122" s="1167"/>
      <c r="D122" s="1171" t="s">
        <v>747</v>
      </c>
      <c r="E122" s="1169"/>
      <c r="F122" s="1169"/>
      <c r="G122" s="3480">
        <v>12128249.58</v>
      </c>
      <c r="H122" s="2227"/>
      <c r="I122" s="3480">
        <v>13456551.83</v>
      </c>
      <c r="J122" s="2227"/>
      <c r="K122" s="3480">
        <v>14385638.98</v>
      </c>
      <c r="L122" s="1513"/>
      <c r="M122" s="2227">
        <f t="shared" si="2"/>
        <v>2818202.11</v>
      </c>
      <c r="N122" s="1513"/>
      <c r="O122" s="3480">
        <v>17203841.09</v>
      </c>
      <c r="P122" s="1177"/>
    </row>
    <row r="123" spans="2:16" s="960" customFormat="1" ht="15.6">
      <c r="B123" s="2622">
        <v>21204</v>
      </c>
      <c r="C123" s="1167"/>
      <c r="D123" s="1171" t="s">
        <v>748</v>
      </c>
      <c r="E123" s="1169"/>
      <c r="F123" s="1169"/>
      <c r="G123" s="3480">
        <v>0</v>
      </c>
      <c r="H123" s="2227"/>
      <c r="I123" s="3480">
        <v>0</v>
      </c>
      <c r="J123" s="2227"/>
      <c r="K123" s="3480">
        <v>0</v>
      </c>
      <c r="L123" s="1513"/>
      <c r="M123" s="2227">
        <f t="shared" si="2"/>
        <v>0</v>
      </c>
      <c r="N123" s="1513"/>
      <c r="O123" s="3480">
        <v>0</v>
      </c>
      <c r="P123" s="1177"/>
    </row>
    <row r="124" spans="2:16" s="960" customFormat="1" ht="15.6">
      <c r="B124" s="2622">
        <v>21205</v>
      </c>
      <c r="C124" s="1167"/>
      <c r="D124" s="1171" t="s">
        <v>749</v>
      </c>
      <c r="E124" s="1169"/>
      <c r="F124" s="1169"/>
      <c r="G124" s="3480">
        <v>0</v>
      </c>
      <c r="H124" s="2227"/>
      <c r="I124" s="3480">
        <v>0</v>
      </c>
      <c r="J124" s="2227"/>
      <c r="K124" s="3480">
        <v>0</v>
      </c>
      <c r="L124" s="1513"/>
      <c r="M124" s="2227">
        <f t="shared" si="2"/>
        <v>0</v>
      </c>
      <c r="N124" s="1513"/>
      <c r="O124" s="3480">
        <v>0</v>
      </c>
      <c r="P124" s="1177"/>
    </row>
    <row r="125" spans="2:16" s="960" customFormat="1" ht="15.6">
      <c r="B125" s="2622">
        <v>21401</v>
      </c>
      <c r="C125" s="1167"/>
      <c r="D125" s="1168" t="s">
        <v>750</v>
      </c>
      <c r="E125" s="1169"/>
      <c r="F125" s="1169"/>
      <c r="G125" s="3480">
        <v>0</v>
      </c>
      <c r="H125" s="2227"/>
      <c r="I125" s="3480">
        <v>0</v>
      </c>
      <c r="J125" s="2227"/>
      <c r="K125" s="3480">
        <v>0</v>
      </c>
      <c r="L125" s="1513"/>
      <c r="M125" s="2227">
        <f t="shared" si="2"/>
        <v>0</v>
      </c>
      <c r="N125" s="1513"/>
      <c r="O125" s="3480">
        <v>0</v>
      </c>
      <c r="P125" s="1177"/>
    </row>
    <row r="126" spans="2:16" s="960" customFormat="1" ht="15.6">
      <c r="B126" s="2622">
        <v>21402</v>
      </c>
      <c r="C126" s="1167"/>
      <c r="D126" s="1168" t="s">
        <v>751</v>
      </c>
      <c r="E126" s="1169"/>
      <c r="F126" s="1169"/>
      <c r="G126" s="3480">
        <v>106262076.3</v>
      </c>
      <c r="H126" s="2227"/>
      <c r="I126" s="3480">
        <v>317089146.52999997</v>
      </c>
      <c r="J126" s="2227"/>
      <c r="K126" s="3480">
        <v>660031170.16999996</v>
      </c>
      <c r="L126" s="1513"/>
      <c r="M126" s="2227">
        <f t="shared" si="2"/>
        <v>-243796374.47999999</v>
      </c>
      <c r="N126" s="1513"/>
      <c r="O126" s="3480">
        <v>416234795.69</v>
      </c>
      <c r="P126" s="1177"/>
    </row>
    <row r="127" spans="2:16" s="960" customFormat="1" ht="15.6">
      <c r="B127" s="2622">
        <v>21451</v>
      </c>
      <c r="C127" s="1167"/>
      <c r="D127" s="1168" t="s">
        <v>752</v>
      </c>
      <c r="E127" s="1169"/>
      <c r="F127" s="1169"/>
      <c r="G127" s="3480">
        <v>20268041.030000001</v>
      </c>
      <c r="H127" s="2227"/>
      <c r="I127" s="3480">
        <v>20442741.399999999</v>
      </c>
      <c r="J127" s="2227"/>
      <c r="K127" s="3480">
        <v>20769800.940000001</v>
      </c>
      <c r="L127" s="1513"/>
      <c r="M127" s="2227">
        <f t="shared" si="2"/>
        <v>1067156.1000000001</v>
      </c>
      <c r="N127" s="1513"/>
      <c r="O127" s="3480">
        <v>21836957.039999999</v>
      </c>
      <c r="P127" s="1177"/>
    </row>
    <row r="128" spans="2:16" s="960" customFormat="1" ht="15.6">
      <c r="B128" s="2622">
        <v>21452</v>
      </c>
      <c r="C128" s="1167"/>
      <c r="D128" s="1171" t="s">
        <v>753</v>
      </c>
      <c r="E128" s="1169"/>
      <c r="F128" s="1169"/>
      <c r="G128" s="3480">
        <v>0</v>
      </c>
      <c r="H128" s="2227"/>
      <c r="I128" s="3480">
        <v>0</v>
      </c>
      <c r="J128" s="2227"/>
      <c r="K128" s="3480">
        <v>558808.21</v>
      </c>
      <c r="L128" s="1513"/>
      <c r="M128" s="2227">
        <f t="shared" si="2"/>
        <v>-180947.6</v>
      </c>
      <c r="N128" s="1513"/>
      <c r="O128" s="3480">
        <v>377860.61</v>
      </c>
      <c r="P128" s="1177"/>
    </row>
    <row r="129" spans="2:16" s="960" customFormat="1" ht="15.6">
      <c r="B129" s="2622">
        <v>21902</v>
      </c>
      <c r="C129" s="1167"/>
      <c r="D129" s="1168" t="s">
        <v>1365</v>
      </c>
      <c r="E129" s="1169"/>
      <c r="F129" s="1169"/>
      <c r="G129" s="3480">
        <v>0</v>
      </c>
      <c r="H129" s="2227"/>
      <c r="I129" s="3480">
        <v>0</v>
      </c>
      <c r="J129" s="2227"/>
      <c r="K129" s="3480">
        <v>0</v>
      </c>
      <c r="L129" s="1513"/>
      <c r="M129" s="2227">
        <f t="shared" si="2"/>
        <v>0</v>
      </c>
      <c r="N129" s="1513"/>
      <c r="O129" s="3480">
        <v>0</v>
      </c>
      <c r="P129" s="1177"/>
    </row>
    <row r="130" spans="2:16" s="960" customFormat="1" ht="16.8">
      <c r="B130" s="2622">
        <v>21905</v>
      </c>
      <c r="C130" s="1167"/>
      <c r="D130" s="1525" t="s">
        <v>1368</v>
      </c>
      <c r="E130" s="1169"/>
      <c r="F130" s="1169"/>
      <c r="G130" s="3480">
        <v>0</v>
      </c>
      <c r="H130" s="2227"/>
      <c r="I130" s="3480">
        <v>0</v>
      </c>
      <c r="J130" s="2227"/>
      <c r="K130" s="3480">
        <v>301499.59000000003</v>
      </c>
      <c r="L130" s="1513"/>
      <c r="M130" s="2227">
        <f t="shared" si="2"/>
        <v>-301499.59000000003</v>
      </c>
      <c r="N130" s="1513"/>
      <c r="O130" s="3480">
        <v>0</v>
      </c>
      <c r="P130" s="1177"/>
    </row>
    <row r="131" spans="2:16" s="960" customFormat="1" ht="15.6">
      <c r="B131" s="2622">
        <v>21907</v>
      </c>
      <c r="C131" s="1167"/>
      <c r="D131" s="1171" t="s">
        <v>754</v>
      </c>
      <c r="E131" s="1169"/>
      <c r="F131" s="1169"/>
      <c r="G131" s="3480">
        <v>235093045.15000001</v>
      </c>
      <c r="H131" s="2227"/>
      <c r="I131" s="3480">
        <v>0</v>
      </c>
      <c r="J131" s="2227"/>
      <c r="K131" s="3480">
        <v>96374954.469999999</v>
      </c>
      <c r="L131" s="1513"/>
      <c r="M131" s="2227">
        <f t="shared" si="2"/>
        <v>257721465.56</v>
      </c>
      <c r="N131" s="1513"/>
      <c r="O131" s="3480">
        <v>354096420.02999997</v>
      </c>
      <c r="P131" s="1177"/>
    </row>
    <row r="132" spans="2:16" s="960" customFormat="1" ht="15.6">
      <c r="B132" s="2622">
        <v>21909</v>
      </c>
      <c r="C132" s="1167"/>
      <c r="D132" s="1171" t="s">
        <v>755</v>
      </c>
      <c r="E132" s="1169"/>
      <c r="F132" s="1169"/>
      <c r="G132" s="3480">
        <v>0</v>
      </c>
      <c r="H132" s="2227"/>
      <c r="I132" s="3480">
        <v>0</v>
      </c>
      <c r="J132" s="2227"/>
      <c r="K132" s="3480">
        <v>0</v>
      </c>
      <c r="L132" s="1513"/>
      <c r="M132" s="2227">
        <f t="shared" si="2"/>
        <v>0</v>
      </c>
      <c r="N132" s="1513"/>
      <c r="O132" s="3480">
        <v>0</v>
      </c>
      <c r="P132" s="1177"/>
    </row>
    <row r="133" spans="2:16" s="960" customFormat="1" ht="15.6">
      <c r="B133" s="2622">
        <v>21911</v>
      </c>
      <c r="C133" s="1167"/>
      <c r="D133" s="1171" t="s">
        <v>756</v>
      </c>
      <c r="E133" s="1169"/>
      <c r="F133" s="1169"/>
      <c r="G133" s="3480">
        <v>336209.88</v>
      </c>
      <c r="H133" s="2227"/>
      <c r="I133" s="3480">
        <v>541748.68000000005</v>
      </c>
      <c r="J133" s="2227"/>
      <c r="K133" s="3480">
        <v>696131.71</v>
      </c>
      <c r="L133" s="1513"/>
      <c r="M133" s="2227">
        <f t="shared" si="2"/>
        <v>-534849.59</v>
      </c>
      <c r="N133" s="1513"/>
      <c r="O133" s="3480">
        <v>161282.12</v>
      </c>
      <c r="P133" s="1177"/>
    </row>
    <row r="134" spans="2:16" s="960" customFormat="1" ht="15.6">
      <c r="B134" s="2622">
        <v>21912</v>
      </c>
      <c r="C134" s="1167"/>
      <c r="D134" s="1168" t="s">
        <v>757</v>
      </c>
      <c r="E134" s="1169"/>
      <c r="F134" s="1169"/>
      <c r="G134" s="3480">
        <v>3987482.14</v>
      </c>
      <c r="H134" s="2227"/>
      <c r="I134" s="3480">
        <v>4297254.96</v>
      </c>
      <c r="J134" s="2227"/>
      <c r="K134" s="3480">
        <v>4058206.16</v>
      </c>
      <c r="L134" s="1513"/>
      <c r="M134" s="2227">
        <f t="shared" si="2"/>
        <v>-238806.51</v>
      </c>
      <c r="N134" s="1513"/>
      <c r="O134" s="3480">
        <v>3819399.65</v>
      </c>
      <c r="P134" s="1177"/>
    </row>
    <row r="135" spans="2:16" s="960" customFormat="1" ht="15.6">
      <c r="B135" s="2622">
        <v>21913</v>
      </c>
      <c r="C135" s="1167"/>
      <c r="D135" s="1171" t="s">
        <v>1062</v>
      </c>
      <c r="E135" s="1169"/>
      <c r="F135" s="1169"/>
      <c r="G135" s="3480">
        <v>18292577.210000001</v>
      </c>
      <c r="H135" s="2227"/>
      <c r="I135" s="3480">
        <v>18292577.210000001</v>
      </c>
      <c r="J135" s="2227"/>
      <c r="K135" s="3480">
        <v>18292577.210000001</v>
      </c>
      <c r="L135" s="1513"/>
      <c r="M135" s="2227">
        <f t="shared" si="2"/>
        <v>0</v>
      </c>
      <c r="N135" s="1513"/>
      <c r="O135" s="3480">
        <v>18292577.210000001</v>
      </c>
      <c r="P135" s="1177"/>
    </row>
    <row r="136" spans="2:16" s="960" customFormat="1" ht="15.6">
      <c r="B136" s="2622">
        <v>21937</v>
      </c>
      <c r="C136" s="1167"/>
      <c r="D136" s="1171" t="s">
        <v>758</v>
      </c>
      <c r="E136" s="1169"/>
      <c r="F136" s="1169"/>
      <c r="G136" s="3480">
        <v>0</v>
      </c>
      <c r="H136" s="2227"/>
      <c r="I136" s="3480">
        <v>687315.62</v>
      </c>
      <c r="J136" s="2227"/>
      <c r="K136" s="3480">
        <v>202900.93</v>
      </c>
      <c r="L136" s="1513"/>
      <c r="M136" s="2227">
        <f t="shared" si="2"/>
        <v>33495.31</v>
      </c>
      <c r="N136" s="1513"/>
      <c r="O136" s="3480">
        <v>236396.24</v>
      </c>
      <c r="P136" s="1177"/>
    </row>
    <row r="137" spans="2:16" s="960" customFormat="1" ht="15.6">
      <c r="B137" s="2622">
        <v>21945</v>
      </c>
      <c r="C137" s="1167"/>
      <c r="D137" s="1168" t="s">
        <v>759</v>
      </c>
      <c r="E137" s="1169"/>
      <c r="F137" s="1169"/>
      <c r="G137" s="3480">
        <v>0</v>
      </c>
      <c r="H137" s="2227"/>
      <c r="I137" s="3480">
        <v>0</v>
      </c>
      <c r="J137" s="2227"/>
      <c r="K137" s="3480">
        <v>0</v>
      </c>
      <c r="L137" s="1513"/>
      <c r="M137" s="2227">
        <f t="shared" si="2"/>
        <v>0</v>
      </c>
      <c r="N137" s="1513"/>
      <c r="O137" s="3480">
        <v>0</v>
      </c>
      <c r="P137" s="1177"/>
    </row>
    <row r="138" spans="2:16" s="960" customFormat="1" ht="15.6">
      <c r="B138" s="2622">
        <v>21959</v>
      </c>
      <c r="C138" s="1167"/>
      <c r="D138" s="1171" t="s">
        <v>760</v>
      </c>
      <c r="E138" s="1169"/>
      <c r="F138" s="1169"/>
      <c r="G138" s="3480">
        <v>0</v>
      </c>
      <c r="H138" s="2227"/>
      <c r="I138" s="3480">
        <v>0</v>
      </c>
      <c r="J138" s="2227"/>
      <c r="K138" s="3480">
        <v>0</v>
      </c>
      <c r="L138" s="1513"/>
      <c r="M138" s="2227">
        <f t="shared" si="2"/>
        <v>0</v>
      </c>
      <c r="N138" s="1513"/>
      <c r="O138" s="3480">
        <v>0</v>
      </c>
      <c r="P138" s="1177"/>
    </row>
    <row r="139" spans="2:16" s="960" customFormat="1" ht="15.6">
      <c r="B139" s="2622">
        <v>21962</v>
      </c>
      <c r="C139" s="1167"/>
      <c r="D139" s="1171" t="s">
        <v>761</v>
      </c>
      <c r="E139" s="1169"/>
      <c r="F139" s="1169"/>
      <c r="G139" s="3480">
        <v>10299417.43</v>
      </c>
      <c r="H139" s="2227"/>
      <c r="I139" s="3480">
        <v>11149678.880000001</v>
      </c>
      <c r="J139" s="2227"/>
      <c r="K139" s="3480">
        <v>11141063.42</v>
      </c>
      <c r="L139" s="1513"/>
      <c r="M139" s="2227">
        <f t="shared" si="2"/>
        <v>-1442196.67</v>
      </c>
      <c r="N139" s="1513"/>
      <c r="O139" s="3480">
        <v>9698866.75</v>
      </c>
      <c r="P139" s="1177"/>
    </row>
    <row r="140" spans="2:16" s="960" customFormat="1" ht="15.6">
      <c r="B140" s="2622">
        <v>21978</v>
      </c>
      <c r="C140" s="1167"/>
      <c r="D140" s="1168" t="s">
        <v>762</v>
      </c>
      <c r="E140" s="1169"/>
      <c r="F140" s="1169"/>
      <c r="G140" s="3480">
        <v>0</v>
      </c>
      <c r="H140" s="2227"/>
      <c r="I140" s="3480">
        <v>0</v>
      </c>
      <c r="J140" s="2227"/>
      <c r="K140" s="3480">
        <v>0</v>
      </c>
      <c r="L140" s="1513"/>
      <c r="M140" s="2227">
        <f t="shared" si="2"/>
        <v>0</v>
      </c>
      <c r="N140" s="1513"/>
      <c r="O140" s="3480">
        <v>0</v>
      </c>
      <c r="P140" s="1177"/>
    </row>
    <row r="141" spans="2:16" s="960" customFormat="1" ht="15.6">
      <c r="B141" s="2622">
        <v>21979</v>
      </c>
      <c r="C141" s="1167"/>
      <c r="D141" s="1168" t="s">
        <v>763</v>
      </c>
      <c r="E141" s="1169"/>
      <c r="F141" s="1169"/>
      <c r="G141" s="3480">
        <v>0</v>
      </c>
      <c r="H141" s="2227"/>
      <c r="I141" s="3480">
        <v>0</v>
      </c>
      <c r="J141" s="2227"/>
      <c r="K141" s="3480">
        <v>0</v>
      </c>
      <c r="L141" s="1513"/>
      <c r="M141" s="2227">
        <f t="shared" si="2"/>
        <v>0</v>
      </c>
      <c r="N141" s="1513"/>
      <c r="O141" s="3480">
        <v>0</v>
      </c>
      <c r="P141" s="1177"/>
    </row>
    <row r="142" spans="2:16" s="960" customFormat="1" ht="15.6">
      <c r="B142" s="2622">
        <v>21989</v>
      </c>
      <c r="C142" s="1167"/>
      <c r="D142" s="1168" t="s">
        <v>764</v>
      </c>
      <c r="E142" s="1169"/>
      <c r="F142" s="1169"/>
      <c r="G142" s="3480">
        <v>0</v>
      </c>
      <c r="H142" s="2227"/>
      <c r="I142" s="3480">
        <v>0</v>
      </c>
      <c r="J142" s="2227"/>
      <c r="K142" s="3480">
        <v>0</v>
      </c>
      <c r="L142" s="1513"/>
      <c r="M142" s="2227">
        <f t="shared" si="2"/>
        <v>0</v>
      </c>
      <c r="N142" s="1513"/>
      <c r="O142" s="3480">
        <v>0</v>
      </c>
      <c r="P142" s="1177"/>
    </row>
    <row r="143" spans="2:16" s="960" customFormat="1" ht="15.6">
      <c r="B143" s="2622">
        <v>22003</v>
      </c>
      <c r="C143" s="1167"/>
      <c r="D143" s="1168" t="s">
        <v>765</v>
      </c>
      <c r="E143" s="1169"/>
      <c r="F143" s="1169"/>
      <c r="G143" s="3480">
        <v>0</v>
      </c>
      <c r="H143" s="2227"/>
      <c r="I143" s="3480">
        <v>0</v>
      </c>
      <c r="J143" s="2227"/>
      <c r="K143" s="3480">
        <v>0</v>
      </c>
      <c r="L143" s="1513"/>
      <c r="M143" s="2227">
        <f t="shared" si="2"/>
        <v>0</v>
      </c>
      <c r="N143" s="1513"/>
      <c r="O143" s="3480">
        <v>0</v>
      </c>
      <c r="P143" s="1177"/>
    </row>
    <row r="144" spans="2:16" s="960" customFormat="1" ht="15.6">
      <c r="B144" s="2622">
        <v>22004</v>
      </c>
      <c r="C144" s="1167"/>
      <c r="D144" s="1171" t="s">
        <v>766</v>
      </c>
      <c r="E144" s="1169"/>
      <c r="F144" s="1169"/>
      <c r="G144" s="3480">
        <v>0</v>
      </c>
      <c r="H144" s="2227"/>
      <c r="I144" s="3480">
        <v>0</v>
      </c>
      <c r="J144" s="2227"/>
      <c r="K144" s="3480">
        <v>0</v>
      </c>
      <c r="L144" s="1513"/>
      <c r="M144" s="2227">
        <f t="shared" si="2"/>
        <v>0</v>
      </c>
      <c r="N144" s="1513"/>
      <c r="O144" s="3480">
        <v>0</v>
      </c>
      <c r="P144" s="1177"/>
    </row>
    <row r="145" spans="2:16" s="960" customFormat="1" ht="15.6">
      <c r="B145" s="2622">
        <v>22006</v>
      </c>
      <c r="C145" s="1167"/>
      <c r="D145" s="1168" t="s">
        <v>767</v>
      </c>
      <c r="E145" s="1169"/>
      <c r="F145" s="1169"/>
      <c r="G145" s="3480">
        <v>0</v>
      </c>
      <c r="H145" s="2227"/>
      <c r="I145" s="3480">
        <v>0</v>
      </c>
      <c r="J145" s="2227"/>
      <c r="K145" s="3480">
        <v>0</v>
      </c>
      <c r="L145" s="1513"/>
      <c r="M145" s="2227">
        <f t="shared" si="2"/>
        <v>0</v>
      </c>
      <c r="N145" s="1513"/>
      <c r="O145" s="3480">
        <v>0</v>
      </c>
      <c r="P145" s="1177"/>
    </row>
    <row r="146" spans="2:16" s="960" customFormat="1" ht="15.6">
      <c r="B146" s="2622">
        <v>22007</v>
      </c>
      <c r="C146" s="1167"/>
      <c r="D146" s="1171" t="s">
        <v>768</v>
      </c>
      <c r="E146" s="1169"/>
      <c r="F146" s="1169"/>
      <c r="G146" s="3480">
        <v>0</v>
      </c>
      <c r="H146" s="2227"/>
      <c r="I146" s="3480">
        <v>0</v>
      </c>
      <c r="J146" s="2227"/>
      <c r="K146" s="3480">
        <v>0</v>
      </c>
      <c r="L146" s="1513"/>
      <c r="M146" s="2227">
        <f t="shared" si="2"/>
        <v>0</v>
      </c>
      <c r="N146" s="1513"/>
      <c r="O146" s="3480">
        <v>0</v>
      </c>
      <c r="P146" s="1177"/>
    </row>
    <row r="147" spans="2:16" s="960" customFormat="1" ht="15.6">
      <c r="B147" s="2622">
        <v>22009</v>
      </c>
      <c r="C147" s="1167"/>
      <c r="D147" s="1171" t="s">
        <v>769</v>
      </c>
      <c r="E147" s="1169"/>
      <c r="F147" s="1169"/>
      <c r="G147" s="3480">
        <v>260529.2</v>
      </c>
      <c r="H147" s="2227"/>
      <c r="I147" s="3480">
        <v>248877.62</v>
      </c>
      <c r="J147" s="2227"/>
      <c r="K147" s="3480">
        <v>261749.38</v>
      </c>
      <c r="L147" s="1513"/>
      <c r="M147" s="2227">
        <f t="shared" si="2"/>
        <v>-49255.96</v>
      </c>
      <c r="N147" s="1513"/>
      <c r="O147" s="3480">
        <v>212493.42</v>
      </c>
      <c r="P147" s="1177"/>
    </row>
    <row r="148" spans="2:16" s="960" customFormat="1" ht="15.6">
      <c r="B148" s="2622">
        <v>22032</v>
      </c>
      <c r="C148" s="1167"/>
      <c r="D148" s="1171" t="s">
        <v>770</v>
      </c>
      <c r="E148" s="1169"/>
      <c r="F148" s="1169"/>
      <c r="G148" s="3480">
        <v>9474153.2200000007</v>
      </c>
      <c r="H148" s="2227"/>
      <c r="I148" s="3480">
        <v>9935263.5299999993</v>
      </c>
      <c r="J148" s="2227"/>
      <c r="K148" s="3480">
        <v>11441238.98</v>
      </c>
      <c r="L148" s="1513"/>
      <c r="M148" s="2227">
        <f t="shared" si="2"/>
        <v>720153.73</v>
      </c>
      <c r="N148" s="1513"/>
      <c r="O148" s="3480">
        <v>12161392.710000001</v>
      </c>
      <c r="P148" s="1177"/>
    </row>
    <row r="149" spans="2:16" s="960" customFormat="1" ht="15.6">
      <c r="B149" s="2622">
        <v>22034</v>
      </c>
      <c r="C149" s="1167"/>
      <c r="D149" s="1171" t="s">
        <v>771</v>
      </c>
      <c r="E149" s="1169"/>
      <c r="F149" s="1169"/>
      <c r="G149" s="3480">
        <v>0</v>
      </c>
      <c r="H149" s="2227"/>
      <c r="I149" s="3480">
        <v>0</v>
      </c>
      <c r="J149" s="2227"/>
      <c r="K149" s="3480">
        <v>0</v>
      </c>
      <c r="L149" s="1513"/>
      <c r="M149" s="2227">
        <f t="shared" si="2"/>
        <v>0</v>
      </c>
      <c r="N149" s="1513"/>
      <c r="O149" s="3480">
        <v>0</v>
      </c>
      <c r="P149" s="1177"/>
    </row>
    <row r="150" spans="2:16" s="960" customFormat="1" ht="15.6">
      <c r="B150" s="2622">
        <v>22036</v>
      </c>
      <c r="C150" s="1167"/>
      <c r="D150" s="1171" t="s">
        <v>772</v>
      </c>
      <c r="E150" s="1169"/>
      <c r="F150" s="1169"/>
      <c r="G150" s="3480">
        <v>0</v>
      </c>
      <c r="H150" s="2227"/>
      <c r="I150" s="3480">
        <v>0</v>
      </c>
      <c r="J150" s="2227"/>
      <c r="K150" s="3480">
        <v>0</v>
      </c>
      <c r="L150" s="1513"/>
      <c r="M150" s="2227">
        <f t="shared" si="2"/>
        <v>0</v>
      </c>
      <c r="N150" s="1513"/>
      <c r="O150" s="3480">
        <v>0</v>
      </c>
      <c r="P150" s="1177"/>
    </row>
    <row r="151" spans="2:16" s="960" customFormat="1" ht="15.6">
      <c r="B151" s="2622">
        <v>22039</v>
      </c>
      <c r="C151" s="1167"/>
      <c r="D151" s="1171" t="s">
        <v>773</v>
      </c>
      <c r="E151" s="1169"/>
      <c r="F151" s="1169"/>
      <c r="G151" s="3480">
        <v>175622.62</v>
      </c>
      <c r="H151" s="2227"/>
      <c r="I151" s="3480">
        <v>423598.85</v>
      </c>
      <c r="J151" s="2227"/>
      <c r="K151" s="3480">
        <v>903906.53</v>
      </c>
      <c r="L151" s="1513"/>
      <c r="M151" s="2227">
        <f t="shared" si="2"/>
        <v>-363012.25</v>
      </c>
      <c r="N151" s="1513"/>
      <c r="O151" s="3480">
        <v>540894.28</v>
      </c>
      <c r="P151" s="1177"/>
    </row>
    <row r="152" spans="2:16" s="960" customFormat="1" ht="15.6">
      <c r="B152" s="2622">
        <v>22046</v>
      </c>
      <c r="C152" s="1167"/>
      <c r="D152" s="1171" t="s">
        <v>774</v>
      </c>
      <c r="E152" s="1169"/>
      <c r="F152" s="1169"/>
      <c r="G152" s="3480">
        <v>69006847.400000006</v>
      </c>
      <c r="H152" s="2227"/>
      <c r="I152" s="3480">
        <v>70026015</v>
      </c>
      <c r="J152" s="2227"/>
      <c r="K152" s="3480">
        <v>70473086.329999998</v>
      </c>
      <c r="L152" s="1513"/>
      <c r="M152" s="2227">
        <f t="shared" si="2"/>
        <v>-9515.34</v>
      </c>
      <c r="N152" s="1513"/>
      <c r="O152" s="3480">
        <v>70463570.989999995</v>
      </c>
      <c r="P152" s="1177"/>
    </row>
    <row r="153" spans="2:16" s="960" customFormat="1" ht="15.6">
      <c r="B153" s="2622">
        <v>22053</v>
      </c>
      <c r="C153" s="1167"/>
      <c r="D153" s="1171" t="s">
        <v>775</v>
      </c>
      <c r="E153" s="1169"/>
      <c r="F153" s="1169"/>
      <c r="G153" s="3480">
        <v>2880389.45</v>
      </c>
      <c r="H153" s="2227"/>
      <c r="I153" s="3480">
        <v>3317864.24</v>
      </c>
      <c r="J153" s="2227"/>
      <c r="K153" s="3480">
        <v>4405581.74</v>
      </c>
      <c r="L153" s="1513"/>
      <c r="M153" s="2227">
        <f t="shared" si="2"/>
        <v>587226.77</v>
      </c>
      <c r="N153" s="1513"/>
      <c r="O153" s="3480">
        <v>4992808.51</v>
      </c>
      <c r="P153" s="1177"/>
    </row>
    <row r="154" spans="2:16" s="960" customFormat="1" ht="15.6">
      <c r="B154" s="2622">
        <v>22054</v>
      </c>
      <c r="C154" s="1167"/>
      <c r="D154" s="1171" t="s">
        <v>776</v>
      </c>
      <c r="E154" s="1169"/>
      <c r="F154" s="1169"/>
      <c r="G154" s="3480">
        <v>5988619.8700000001</v>
      </c>
      <c r="H154" s="2227"/>
      <c r="I154" s="3480">
        <v>5878427.3899999997</v>
      </c>
      <c r="J154" s="2227"/>
      <c r="K154" s="3480">
        <v>5832568</v>
      </c>
      <c r="L154" s="1513"/>
      <c r="M154" s="2227">
        <f t="shared" si="2"/>
        <v>-7556.94</v>
      </c>
      <c r="N154" s="1513"/>
      <c r="O154" s="3480">
        <v>5825011.0599999996</v>
      </c>
      <c r="P154" s="1177"/>
    </row>
    <row r="155" spans="2:16" s="960" customFormat="1" ht="15.6">
      <c r="B155" s="2622">
        <v>22055</v>
      </c>
      <c r="C155" s="1167"/>
      <c r="D155" s="1171" t="s">
        <v>777</v>
      </c>
      <c r="E155" s="1169"/>
      <c r="F155" s="1169"/>
      <c r="G155" s="3480">
        <v>7595440.4400000004</v>
      </c>
      <c r="H155" s="2227"/>
      <c r="I155" s="3480">
        <v>6922791.3499999996</v>
      </c>
      <c r="J155" s="2227"/>
      <c r="K155" s="3480">
        <v>10693394.25</v>
      </c>
      <c r="L155" s="1513"/>
      <c r="M155" s="2227">
        <f t="shared" si="2"/>
        <v>-1018502.51</v>
      </c>
      <c r="N155" s="1513"/>
      <c r="O155" s="3480">
        <v>9674891.7400000002</v>
      </c>
      <c r="P155" s="1177"/>
    </row>
    <row r="156" spans="2:16" s="960" customFormat="1" ht="15.6">
      <c r="B156" s="2622">
        <v>22056</v>
      </c>
      <c r="C156" s="1167"/>
      <c r="D156" s="1171" t="s">
        <v>778</v>
      </c>
      <c r="E156" s="1169"/>
      <c r="F156" s="1169"/>
      <c r="G156" s="3480">
        <v>1481319.79</v>
      </c>
      <c r="H156" s="2227"/>
      <c r="I156" s="3480">
        <v>1620956.68</v>
      </c>
      <c r="J156" s="2227"/>
      <c r="K156" s="3480">
        <v>1714047.94</v>
      </c>
      <c r="L156" s="1513"/>
      <c r="M156" s="2227">
        <f t="shared" si="2"/>
        <v>197841.26</v>
      </c>
      <c r="N156" s="1513"/>
      <c r="O156" s="3480">
        <v>1911889.2</v>
      </c>
      <c r="P156" s="1177"/>
    </row>
    <row r="157" spans="2:16" s="960" customFormat="1" ht="15.6">
      <c r="B157" s="2622">
        <v>22062</v>
      </c>
      <c r="C157" s="1167"/>
      <c r="D157" s="1171" t="s">
        <v>779</v>
      </c>
      <c r="E157" s="1169"/>
      <c r="F157" s="1169"/>
      <c r="G157" s="3480">
        <v>0</v>
      </c>
      <c r="H157" s="2227"/>
      <c r="I157" s="3480">
        <v>0</v>
      </c>
      <c r="J157" s="2227"/>
      <c r="K157" s="3480">
        <v>0</v>
      </c>
      <c r="L157" s="1513"/>
      <c r="M157" s="2227">
        <f t="shared" si="2"/>
        <v>0</v>
      </c>
      <c r="N157" s="1513"/>
      <c r="O157" s="3480">
        <v>0</v>
      </c>
      <c r="P157" s="1177"/>
    </row>
    <row r="158" spans="2:16" s="960" customFormat="1" ht="15.6">
      <c r="B158" s="2622">
        <v>22063</v>
      </c>
      <c r="C158" s="1167"/>
      <c r="D158" s="1171" t="s">
        <v>780</v>
      </c>
      <c r="E158" s="1169"/>
      <c r="F158" s="1169"/>
      <c r="G158" s="3480">
        <v>1058925.83</v>
      </c>
      <c r="H158" s="2227"/>
      <c r="I158" s="3480">
        <v>1618184.56</v>
      </c>
      <c r="J158" s="2227"/>
      <c r="K158" s="3480">
        <v>953796.76</v>
      </c>
      <c r="L158" s="1513"/>
      <c r="M158" s="2227">
        <f t="shared" si="2"/>
        <v>799115.43</v>
      </c>
      <c r="N158" s="1513"/>
      <c r="O158" s="3480">
        <v>1752912.19</v>
      </c>
      <c r="P158" s="1177"/>
    </row>
    <row r="159" spans="2:16" s="960" customFormat="1" ht="15.6">
      <c r="B159" s="2622">
        <v>22078</v>
      </c>
      <c r="C159" s="1167"/>
      <c r="D159" s="1171" t="s">
        <v>781</v>
      </c>
      <c r="E159" s="1169"/>
      <c r="F159" s="1169"/>
      <c r="G159" s="3480">
        <v>0</v>
      </c>
      <c r="H159" s="2227"/>
      <c r="I159" s="3480">
        <v>0</v>
      </c>
      <c r="J159" s="2227"/>
      <c r="K159" s="3480">
        <v>0</v>
      </c>
      <c r="L159" s="1513"/>
      <c r="M159" s="2227">
        <f t="shared" si="2"/>
        <v>0</v>
      </c>
      <c r="N159" s="1513"/>
      <c r="O159" s="3480">
        <v>0</v>
      </c>
      <c r="P159" s="1177"/>
    </row>
    <row r="160" spans="2:16" s="960" customFormat="1" ht="15.6">
      <c r="B160" s="2622">
        <v>22085</v>
      </c>
      <c r="C160" s="1167"/>
      <c r="D160" s="1171" t="s">
        <v>782</v>
      </c>
      <c r="E160" s="1169"/>
      <c r="F160" s="1169"/>
      <c r="G160" s="3480">
        <v>8202739.4400000004</v>
      </c>
      <c r="H160" s="2227"/>
      <c r="I160" s="3480">
        <v>8513601.2400000002</v>
      </c>
      <c r="J160" s="2227"/>
      <c r="K160" s="3480">
        <v>8849497.1099999994</v>
      </c>
      <c r="L160" s="1513"/>
      <c r="M160" s="2227">
        <f t="shared" si="2"/>
        <v>311791.03000000003</v>
      </c>
      <c r="N160" s="1513"/>
      <c r="O160" s="3480">
        <v>9161288.1400000006</v>
      </c>
      <c r="P160" s="1177"/>
    </row>
    <row r="161" spans="2:16" s="960" customFormat="1" ht="15.6">
      <c r="B161" s="2622">
        <v>22087</v>
      </c>
      <c r="C161" s="1167"/>
      <c r="D161" s="1168" t="s">
        <v>783</v>
      </c>
      <c r="E161" s="1169"/>
      <c r="F161" s="1169"/>
      <c r="G161" s="3480">
        <v>646762.72</v>
      </c>
      <c r="H161" s="2227"/>
      <c r="I161" s="3480">
        <v>646762.72</v>
      </c>
      <c r="J161" s="2227"/>
      <c r="K161" s="3480">
        <v>646762.72</v>
      </c>
      <c r="L161" s="1513"/>
      <c r="M161" s="2227">
        <f t="shared" si="2"/>
        <v>0</v>
      </c>
      <c r="N161" s="1513"/>
      <c r="O161" s="3480">
        <v>646762.72</v>
      </c>
      <c r="P161" s="1177"/>
    </row>
    <row r="162" spans="2:16" s="960" customFormat="1" ht="15.6">
      <c r="B162" s="2622">
        <v>22090</v>
      </c>
      <c r="C162" s="1167"/>
      <c r="D162" s="1171" t="s">
        <v>784</v>
      </c>
      <c r="E162" s="1169"/>
      <c r="F162" s="1169"/>
      <c r="G162" s="3480">
        <v>2285003.38</v>
      </c>
      <c r="H162" s="2227"/>
      <c r="I162" s="3480">
        <v>2747381.52</v>
      </c>
      <c r="J162" s="2227"/>
      <c r="K162" s="3480">
        <v>2779157.71</v>
      </c>
      <c r="L162" s="1513"/>
      <c r="M162" s="2227">
        <f t="shared" si="2"/>
        <v>264274.21999999997</v>
      </c>
      <c r="N162" s="1513"/>
      <c r="O162" s="3480">
        <v>3043431.93</v>
      </c>
      <c r="P162" s="1177"/>
    </row>
    <row r="163" spans="2:16" s="960" customFormat="1" ht="15.6">
      <c r="B163" s="2622">
        <v>22100</v>
      </c>
      <c r="C163" s="1167"/>
      <c r="D163" s="1171" t="s">
        <v>785</v>
      </c>
      <c r="E163" s="1169"/>
      <c r="F163" s="1169"/>
      <c r="G163" s="3480">
        <v>2948095.37</v>
      </c>
      <c r="H163" s="2227"/>
      <c r="I163" s="3480">
        <v>4100972.41</v>
      </c>
      <c r="J163" s="2227"/>
      <c r="K163" s="3480">
        <v>4282454.05</v>
      </c>
      <c r="L163" s="1513"/>
      <c r="M163" s="2227">
        <f t="shared" si="2"/>
        <v>-519604.63</v>
      </c>
      <c r="N163" s="1513"/>
      <c r="O163" s="3480">
        <v>3762849.42</v>
      </c>
      <c r="P163" s="1177"/>
    </row>
    <row r="164" spans="2:16" s="960" customFormat="1" ht="15.6">
      <c r="B164" s="2622">
        <v>22130</v>
      </c>
      <c r="C164" s="1167"/>
      <c r="D164" s="1168" t="s">
        <v>786</v>
      </c>
      <c r="E164" s="1169"/>
      <c r="F164" s="1169"/>
      <c r="G164" s="3480">
        <v>0</v>
      </c>
      <c r="H164" s="2227"/>
      <c r="I164" s="3480">
        <v>0</v>
      </c>
      <c r="J164" s="2227"/>
      <c r="K164" s="3480">
        <v>0</v>
      </c>
      <c r="L164" s="1513"/>
      <c r="M164" s="2227">
        <f t="shared" si="2"/>
        <v>0</v>
      </c>
      <c r="N164" s="1513"/>
      <c r="O164" s="3480">
        <v>0</v>
      </c>
      <c r="P164" s="1177"/>
    </row>
    <row r="165" spans="2:16" s="960" customFormat="1" ht="15.6">
      <c r="B165" s="2622">
        <v>22135</v>
      </c>
      <c r="C165" s="1167"/>
      <c r="D165" s="1168" t="s">
        <v>787</v>
      </c>
      <c r="E165" s="1169"/>
      <c r="F165" s="1169"/>
      <c r="G165" s="3480">
        <v>0</v>
      </c>
      <c r="H165" s="2227"/>
      <c r="I165" s="3480">
        <v>0</v>
      </c>
      <c r="J165" s="2227"/>
      <c r="K165" s="3480">
        <v>0</v>
      </c>
      <c r="L165" s="1513"/>
      <c r="M165" s="2227">
        <f t="shared" si="2"/>
        <v>0</v>
      </c>
      <c r="N165" s="1513"/>
      <c r="O165" s="3480">
        <v>0</v>
      </c>
      <c r="P165" s="1177"/>
    </row>
    <row r="166" spans="2:16" s="960" customFormat="1" ht="15.6">
      <c r="B166" s="2622">
        <v>22144</v>
      </c>
      <c r="C166" s="1167"/>
      <c r="D166" s="1171" t="s">
        <v>788</v>
      </c>
      <c r="E166" s="1169"/>
      <c r="F166" s="1169"/>
      <c r="G166" s="3480">
        <v>0</v>
      </c>
      <c r="H166" s="2227"/>
      <c r="I166" s="3480">
        <v>0</v>
      </c>
      <c r="J166" s="2227"/>
      <c r="K166" s="3480">
        <v>0</v>
      </c>
      <c r="L166" s="1513"/>
      <c r="M166" s="2227">
        <f t="shared" si="2"/>
        <v>0</v>
      </c>
      <c r="N166" s="1513"/>
      <c r="O166" s="3480">
        <v>0</v>
      </c>
      <c r="P166" s="1177"/>
    </row>
    <row r="167" spans="2:16" s="960" customFormat="1" ht="15.6">
      <c r="B167" s="2622">
        <v>22151</v>
      </c>
      <c r="C167" s="1167"/>
      <c r="D167" s="1168" t="s">
        <v>789</v>
      </c>
      <c r="E167" s="1169"/>
      <c r="F167" s="1169"/>
      <c r="G167" s="3480">
        <v>196534.49</v>
      </c>
      <c r="H167" s="2227"/>
      <c r="I167" s="3480">
        <v>83588.44</v>
      </c>
      <c r="J167" s="2227"/>
      <c r="K167" s="3480">
        <v>118019.56</v>
      </c>
      <c r="L167" s="1513"/>
      <c r="M167" s="2227">
        <f t="shared" ref="M167:M180" si="3">ROUND(SUM(O167)-SUM(K167),2)</f>
        <v>34911.379999999997</v>
      </c>
      <c r="N167" s="1513"/>
      <c r="O167" s="3480">
        <v>152930.94</v>
      </c>
      <c r="P167" s="1177"/>
    </row>
    <row r="168" spans="2:16" s="960" customFormat="1" ht="15.6">
      <c r="B168" s="2622">
        <v>22156</v>
      </c>
      <c r="C168" s="1167"/>
      <c r="D168" s="1168" t="s">
        <v>790</v>
      </c>
      <c r="E168" s="1169"/>
      <c r="F168" s="1169"/>
      <c r="G168" s="3480">
        <v>0</v>
      </c>
      <c r="H168" s="2227"/>
      <c r="I168" s="3480">
        <v>0</v>
      </c>
      <c r="J168" s="2227"/>
      <c r="K168" s="3480">
        <v>0</v>
      </c>
      <c r="L168" s="1513"/>
      <c r="M168" s="2227">
        <f t="shared" si="3"/>
        <v>0</v>
      </c>
      <c r="N168" s="1513"/>
      <c r="O168" s="3480">
        <v>0</v>
      </c>
      <c r="P168" s="1177"/>
    </row>
    <row r="169" spans="2:16" s="960" customFormat="1" ht="15.6">
      <c r="B169" s="2622">
        <v>22158</v>
      </c>
      <c r="C169" s="1167"/>
      <c r="D169" s="1171" t="s">
        <v>791</v>
      </c>
      <c r="E169" s="1169"/>
      <c r="F169" s="1169"/>
      <c r="G169" s="3480">
        <v>198492.52</v>
      </c>
      <c r="H169" s="2227"/>
      <c r="I169" s="3480">
        <v>181390.39</v>
      </c>
      <c r="J169" s="2227"/>
      <c r="K169" s="3480">
        <v>180192.31</v>
      </c>
      <c r="L169" s="1513"/>
      <c r="M169" s="2227">
        <f t="shared" si="3"/>
        <v>-4688.08</v>
      </c>
      <c r="N169" s="1513"/>
      <c r="O169" s="3480">
        <v>175504.23</v>
      </c>
      <c r="P169" s="1177"/>
    </row>
    <row r="170" spans="2:16" s="960" customFormat="1" ht="15.6">
      <c r="B170" s="2622">
        <v>22168</v>
      </c>
      <c r="C170" s="1167"/>
      <c r="D170" s="1171" t="s">
        <v>792</v>
      </c>
      <c r="E170" s="1169"/>
      <c r="F170" s="1169"/>
      <c r="G170" s="3480">
        <v>0</v>
      </c>
      <c r="H170" s="2227"/>
      <c r="I170" s="3480">
        <v>0</v>
      </c>
      <c r="J170" s="2227"/>
      <c r="K170" s="3480">
        <v>0</v>
      </c>
      <c r="L170" s="1513"/>
      <c r="M170" s="2227">
        <f t="shared" si="3"/>
        <v>0</v>
      </c>
      <c r="N170" s="1513"/>
      <c r="O170" s="3480">
        <v>0</v>
      </c>
      <c r="P170" s="1177"/>
    </row>
    <row r="171" spans="2:16" s="960" customFormat="1" ht="15.6">
      <c r="B171" s="2622">
        <v>22654</v>
      </c>
      <c r="C171" s="1167"/>
      <c r="D171" s="1168" t="s">
        <v>793</v>
      </c>
      <c r="E171" s="1169"/>
      <c r="F171" s="1169"/>
      <c r="G171" s="3480">
        <v>19657013.600000001</v>
      </c>
      <c r="H171" s="2227"/>
      <c r="I171" s="3480">
        <v>19675768.940000001</v>
      </c>
      <c r="J171" s="2227"/>
      <c r="K171" s="3480">
        <v>19694157.859999999</v>
      </c>
      <c r="L171" s="1513"/>
      <c r="M171" s="2227">
        <f t="shared" si="3"/>
        <v>20933.05</v>
      </c>
      <c r="N171" s="1513"/>
      <c r="O171" s="3480">
        <v>19715090.91</v>
      </c>
      <c r="P171" s="1177"/>
    </row>
    <row r="172" spans="2:16" s="960" customFormat="1" ht="15.6">
      <c r="B172" s="2622">
        <v>22751</v>
      </c>
      <c r="C172" s="1167"/>
      <c r="D172" s="1168" t="s">
        <v>1383</v>
      </c>
      <c r="E172" s="1169"/>
      <c r="F172" s="1169"/>
      <c r="G172" s="3480">
        <v>0</v>
      </c>
      <c r="H172" s="3480"/>
      <c r="I172" s="3480">
        <v>0</v>
      </c>
      <c r="J172" s="3480"/>
      <c r="K172" s="3480">
        <v>0</v>
      </c>
      <c r="L172" s="1513"/>
      <c r="M172" s="2227">
        <f t="shared" si="3"/>
        <v>56817.41</v>
      </c>
      <c r="N172" s="1513"/>
      <c r="O172" s="3480">
        <v>56817.41</v>
      </c>
      <c r="P172" s="1177"/>
    </row>
    <row r="173" spans="2:16" s="960" customFormat="1" ht="15.6">
      <c r="B173" s="2622">
        <v>22802</v>
      </c>
      <c r="C173" s="1167"/>
      <c r="D173" s="1171" t="s">
        <v>794</v>
      </c>
      <c r="E173" s="1169"/>
      <c r="F173" s="1169"/>
      <c r="G173" s="3480">
        <v>0</v>
      </c>
      <c r="H173" s="2227"/>
      <c r="I173" s="3480">
        <v>0</v>
      </c>
      <c r="J173" s="2227"/>
      <c r="K173" s="3480">
        <v>0</v>
      </c>
      <c r="L173" s="1513"/>
      <c r="M173" s="2227">
        <f t="shared" si="3"/>
        <v>0</v>
      </c>
      <c r="N173" s="1513"/>
      <c r="O173" s="3480">
        <v>0</v>
      </c>
      <c r="P173" s="1177"/>
    </row>
    <row r="174" spans="2:16" s="960" customFormat="1" ht="15.6">
      <c r="B174" s="2622">
        <v>23001</v>
      </c>
      <c r="C174" s="1167"/>
      <c r="D174" s="1168" t="s">
        <v>795</v>
      </c>
      <c r="E174" s="1169"/>
      <c r="F174" s="1169"/>
      <c r="G174" s="3480">
        <v>10021525.359999999</v>
      </c>
      <c r="H174" s="2227"/>
      <c r="I174" s="3480">
        <v>10404923.91</v>
      </c>
      <c r="J174" s="2227"/>
      <c r="K174" s="3480">
        <v>10411785.109999999</v>
      </c>
      <c r="L174" s="1513"/>
      <c r="M174" s="2227">
        <f t="shared" si="3"/>
        <v>72831.78</v>
      </c>
      <c r="N174" s="1513"/>
      <c r="O174" s="3480">
        <v>10484616.890000001</v>
      </c>
      <c r="P174" s="1177"/>
    </row>
    <row r="175" spans="2:16" s="960" customFormat="1" ht="15.6">
      <c r="B175" s="2622">
        <v>23102</v>
      </c>
      <c r="C175" s="1167"/>
      <c r="D175" s="1171" t="s">
        <v>796</v>
      </c>
      <c r="E175" s="1169"/>
      <c r="F175" s="1169"/>
      <c r="G175" s="3480">
        <v>5350949.7</v>
      </c>
      <c r="H175" s="2227"/>
      <c r="I175" s="3480">
        <v>5350949.7</v>
      </c>
      <c r="J175" s="2227"/>
      <c r="K175" s="3480">
        <v>5350949.7</v>
      </c>
      <c r="L175" s="1513"/>
      <c r="M175" s="2227">
        <f t="shared" si="3"/>
        <v>0</v>
      </c>
      <c r="N175" s="1513"/>
      <c r="O175" s="3480">
        <v>5350949.7</v>
      </c>
      <c r="P175" s="1177"/>
    </row>
    <row r="176" spans="2:16" s="960" customFormat="1" ht="15.6">
      <c r="B176" s="2622">
        <v>23151</v>
      </c>
      <c r="C176" s="1167"/>
      <c r="D176" s="1168" t="s">
        <v>797</v>
      </c>
      <c r="E176" s="1169"/>
      <c r="F176" s="1169"/>
      <c r="G176" s="3480">
        <v>42641814.939999998</v>
      </c>
      <c r="H176" s="2227"/>
      <c r="I176" s="3480">
        <v>45721201.18</v>
      </c>
      <c r="J176" s="2227"/>
      <c r="K176" s="3480">
        <v>48018658.590000004</v>
      </c>
      <c r="L176" s="1513"/>
      <c r="M176" s="2227">
        <f t="shared" si="3"/>
        <v>2314395.73</v>
      </c>
      <c r="N176" s="1513"/>
      <c r="O176" s="3480">
        <v>50333054.32</v>
      </c>
      <c r="P176" s="1177"/>
    </row>
    <row r="177" spans="2:16" s="960" customFormat="1" ht="15.6">
      <c r="B177" s="1160">
        <v>23701</v>
      </c>
      <c r="C177" s="1167"/>
      <c r="D177" s="1168" t="s">
        <v>1039</v>
      </c>
      <c r="E177" s="1169"/>
      <c r="F177" s="1169"/>
      <c r="G177" s="3480">
        <v>0</v>
      </c>
      <c r="H177" s="2227"/>
      <c r="I177" s="3480">
        <v>0</v>
      </c>
      <c r="J177" s="2227"/>
      <c r="K177" s="3480">
        <v>0</v>
      </c>
      <c r="L177" s="1513"/>
      <c r="M177" s="2227">
        <f t="shared" si="3"/>
        <v>0</v>
      </c>
      <c r="N177" s="1513"/>
      <c r="O177" s="3480">
        <v>0</v>
      </c>
      <c r="P177" s="1177"/>
    </row>
    <row r="178" spans="2:16" s="960" customFormat="1" ht="15.6">
      <c r="B178" s="1160">
        <v>23702</v>
      </c>
      <c r="C178" s="1167"/>
      <c r="D178" s="1171" t="s">
        <v>1040</v>
      </c>
      <c r="E178" s="1169"/>
      <c r="F178" s="1169"/>
      <c r="G178" s="3480">
        <v>6843483.2400000002</v>
      </c>
      <c r="H178" s="2227"/>
      <c r="I178" s="3480">
        <v>7096977.8200000003</v>
      </c>
      <c r="J178" s="2227"/>
      <c r="K178" s="3480">
        <v>7276817.0199999996</v>
      </c>
      <c r="L178" s="1513"/>
      <c r="M178" s="2227">
        <f t="shared" si="3"/>
        <v>216095.88</v>
      </c>
      <c r="N178" s="1513"/>
      <c r="O178" s="3480">
        <v>7492912.9000000004</v>
      </c>
      <c r="P178" s="1177"/>
    </row>
    <row r="179" spans="2:16" s="960" customFormat="1" ht="15.6">
      <c r="B179" s="1160">
        <v>23800</v>
      </c>
      <c r="C179" s="1167"/>
      <c r="D179" s="1171" t="s">
        <v>1447</v>
      </c>
      <c r="E179" s="1169"/>
      <c r="F179" s="1169"/>
      <c r="G179" s="3480">
        <v>0</v>
      </c>
      <c r="H179" s="2227"/>
      <c r="I179" s="3480">
        <v>0</v>
      </c>
      <c r="J179" s="2227"/>
      <c r="K179" s="3480">
        <v>0</v>
      </c>
      <c r="L179" s="1513"/>
      <c r="M179" s="2227">
        <f t="shared" si="3"/>
        <v>0</v>
      </c>
      <c r="N179" s="1513"/>
      <c r="O179" s="3480">
        <v>0</v>
      </c>
      <c r="P179" s="1177"/>
    </row>
    <row r="180" spans="2:16" s="960" customFormat="1" ht="15.6">
      <c r="B180" s="1160">
        <v>23801</v>
      </c>
      <c r="C180" s="1167"/>
      <c r="D180" s="1171" t="s">
        <v>1448</v>
      </c>
      <c r="E180" s="1169"/>
      <c r="F180" s="1169"/>
      <c r="G180" s="3480">
        <v>0</v>
      </c>
      <c r="H180" s="2227"/>
      <c r="I180" s="3480">
        <v>0</v>
      </c>
      <c r="J180" s="2227"/>
      <c r="K180" s="3480">
        <v>0</v>
      </c>
      <c r="L180" s="1513"/>
      <c r="M180" s="2227">
        <f t="shared" si="3"/>
        <v>0</v>
      </c>
      <c r="N180" s="1513"/>
      <c r="O180" s="3480">
        <v>0</v>
      </c>
      <c r="P180" s="1177"/>
    </row>
    <row r="181" spans="2:16" s="960" customFormat="1" ht="16.2" thickBot="1">
      <c r="B181" s="1515"/>
      <c r="C181" s="1240"/>
      <c r="D181" s="2972" t="s">
        <v>798</v>
      </c>
      <c r="E181" s="1237"/>
      <c r="F181" s="1237"/>
      <c r="G181" s="2229">
        <f>ROUND(SUM(G103:G180),2)</f>
        <v>1925360505.3699999</v>
      </c>
      <c r="H181" s="3489"/>
      <c r="I181" s="2229">
        <f>ROUND(SUM(I103:I180),2)</f>
        <v>1690080153.6300001</v>
      </c>
      <c r="J181" s="3489"/>
      <c r="K181" s="2229">
        <f>ROUND(SUM(K103:K180),2)</f>
        <v>2018291436.8299999</v>
      </c>
      <c r="L181"/>
      <c r="M181" s="2229">
        <f>ROUND(SUM(M103:M180),2)</f>
        <v>-195767174.41</v>
      </c>
      <c r="N181"/>
      <c r="O181" s="2229">
        <f>ROUND(SUM(O103:O180),2)</f>
        <v>1822524262.4200001</v>
      </c>
      <c r="P181" s="1177"/>
    </row>
    <row r="182" spans="2:16" s="960" customFormat="1" ht="16.2" thickTop="1">
      <c r="B182" s="1526"/>
      <c r="C182" s="1517"/>
      <c r="D182" s="1527"/>
      <c r="E182" s="1167"/>
      <c r="F182" s="1167"/>
      <c r="G182" s="3480"/>
      <c r="H182" s="2227"/>
      <c r="I182" s="3480"/>
      <c r="J182" s="2227"/>
      <c r="K182" s="3480"/>
      <c r="L182" s="1513"/>
      <c r="M182" s="2227"/>
      <c r="N182" s="1459"/>
      <c r="O182" s="3480"/>
      <c r="P182" s="1177"/>
    </row>
    <row r="183" spans="2:16" s="960" customFormat="1" ht="15.6">
      <c r="B183" s="1526"/>
      <c r="C183" s="1240"/>
      <c r="D183" s="2972" t="s">
        <v>799</v>
      </c>
      <c r="E183" s="1237"/>
      <c r="F183" s="1237"/>
      <c r="G183" s="3480"/>
      <c r="H183" s="2227"/>
      <c r="I183" s="3480"/>
      <c r="J183" s="2227"/>
      <c r="K183" s="3480"/>
      <c r="L183" s="1513"/>
      <c r="M183" s="2228"/>
      <c r="N183" s="1522"/>
      <c r="O183" s="3480"/>
      <c r="P183" s="1177"/>
    </row>
    <row r="184" spans="2:16" s="960" customFormat="1" ht="15.6">
      <c r="B184" s="1528" t="s">
        <v>800</v>
      </c>
      <c r="C184" s="1529"/>
      <c r="D184" s="1168" t="s">
        <v>801</v>
      </c>
      <c r="E184" s="1530"/>
      <c r="F184" s="1530"/>
      <c r="G184" s="3480">
        <v>3489219.3899999997</v>
      </c>
      <c r="H184" s="2227"/>
      <c r="I184" s="3480">
        <v>14299846.390000001</v>
      </c>
      <c r="J184" s="2227"/>
      <c r="K184" s="3480">
        <v>5489860.6100000003</v>
      </c>
      <c r="L184" s="1711"/>
      <c r="M184" s="2227">
        <f t="shared" ref="M184:M194" si="4">ROUND(SUM(O184)-SUM(K184),2)</f>
        <v>3797774.8</v>
      </c>
      <c r="N184" s="1711"/>
      <c r="O184" s="3480">
        <v>9287635.4100000001</v>
      </c>
      <c r="P184" s="1177"/>
    </row>
    <row r="185" spans="2:16" s="960" customFormat="1" ht="15.6">
      <c r="B185" s="1528" t="s">
        <v>802</v>
      </c>
      <c r="C185" s="1529"/>
      <c r="D185" s="1168" t="s">
        <v>803</v>
      </c>
      <c r="E185" s="1530"/>
      <c r="F185" s="1530"/>
      <c r="G185" s="3480">
        <v>954604945.59000015</v>
      </c>
      <c r="H185" s="2227"/>
      <c r="I185" s="3480">
        <v>246066658.78999996</v>
      </c>
      <c r="J185" s="2227"/>
      <c r="K185" s="3480">
        <v>280814357.16000009</v>
      </c>
      <c r="L185" s="1711"/>
      <c r="M185" s="2227">
        <f t="shared" si="4"/>
        <v>311916639.10000002</v>
      </c>
      <c r="N185" s="1711"/>
      <c r="O185" s="3480">
        <v>592730996.26000023</v>
      </c>
      <c r="P185" s="1177"/>
    </row>
    <row r="186" spans="2:16" s="960" customFormat="1" ht="15.6">
      <c r="B186" s="1528" t="s">
        <v>804</v>
      </c>
      <c r="C186" s="1529"/>
      <c r="D186" s="1171" t="s">
        <v>805</v>
      </c>
      <c r="E186" s="1530"/>
      <c r="F186" s="1530"/>
      <c r="G186" s="3480">
        <v>29291975.66</v>
      </c>
      <c r="H186" s="2227"/>
      <c r="I186" s="3480">
        <v>18235521.469999999</v>
      </c>
      <c r="J186" s="2227"/>
      <c r="K186" s="3480">
        <v>11251411.369999999</v>
      </c>
      <c r="L186" s="1711"/>
      <c r="M186" s="2227">
        <f t="shared" si="4"/>
        <v>-1449198.64</v>
      </c>
      <c r="N186" s="1711"/>
      <c r="O186" s="3480">
        <v>9802212.7299999986</v>
      </c>
      <c r="P186" s="1177"/>
    </row>
    <row r="187" spans="2:16" s="960" customFormat="1" ht="15.6">
      <c r="B187" s="1528" t="s">
        <v>1449</v>
      </c>
      <c r="C187" s="1529"/>
      <c r="D187" s="1171" t="s">
        <v>1450</v>
      </c>
      <c r="E187" s="1530"/>
      <c r="F187" s="1530"/>
      <c r="G187" s="3480">
        <v>0</v>
      </c>
      <c r="H187" s="2227"/>
      <c r="I187" s="3480">
        <v>0</v>
      </c>
      <c r="J187" s="2227"/>
      <c r="K187" s="3480">
        <v>0</v>
      </c>
      <c r="L187" s="1711"/>
      <c r="M187" s="2227">
        <f t="shared" si="4"/>
        <v>0</v>
      </c>
      <c r="N187" s="1711"/>
      <c r="O187" s="3480">
        <v>0</v>
      </c>
      <c r="P187" s="1177"/>
    </row>
    <row r="188" spans="2:16" s="960" customFormat="1" ht="15.6">
      <c r="B188" s="1528" t="s">
        <v>806</v>
      </c>
      <c r="C188" s="1171"/>
      <c r="D188" s="1168" t="s">
        <v>807</v>
      </c>
      <c r="E188" s="1530"/>
      <c r="F188" s="1530"/>
      <c r="G188" s="3480">
        <v>507455560.86000001</v>
      </c>
      <c r="H188" s="2227"/>
      <c r="I188" s="3480">
        <v>389700977.18000007</v>
      </c>
      <c r="J188" s="2227"/>
      <c r="K188" s="3480">
        <v>411053121.76999998</v>
      </c>
      <c r="L188" s="1711"/>
      <c r="M188" s="2227">
        <f t="shared" si="4"/>
        <v>120919991.93000001</v>
      </c>
      <c r="N188" s="1711"/>
      <c r="O188" s="3480">
        <v>531973113.69999999</v>
      </c>
      <c r="P188" s="1177"/>
    </row>
    <row r="189" spans="2:16" s="960" customFormat="1" ht="15.6">
      <c r="B189" s="2622">
        <v>31351</v>
      </c>
      <c r="C189" s="1171"/>
      <c r="D189" s="1174" t="s">
        <v>808</v>
      </c>
      <c r="E189" s="1530"/>
      <c r="F189" s="1530"/>
      <c r="G189" s="3480">
        <v>9030540.6400000006</v>
      </c>
      <c r="H189" s="2227"/>
      <c r="I189" s="3480">
        <v>8705721.3599999994</v>
      </c>
      <c r="J189" s="2227"/>
      <c r="K189" s="3480">
        <v>8770333.3599999994</v>
      </c>
      <c r="L189" s="1711"/>
      <c r="M189" s="2227">
        <f t="shared" si="4"/>
        <v>-99988.7</v>
      </c>
      <c r="N189" s="1711"/>
      <c r="O189" s="3480">
        <v>8670344.6600000001</v>
      </c>
      <c r="P189" s="1248"/>
    </row>
    <row r="190" spans="2:16" s="960" customFormat="1" ht="15.6">
      <c r="B190" s="2456">
        <v>31354</v>
      </c>
      <c r="C190" s="1531"/>
      <c r="D190" s="1161" t="s">
        <v>809</v>
      </c>
      <c r="E190" s="1530"/>
      <c r="F190" s="1530"/>
      <c r="G190" s="3480">
        <v>420189822.75</v>
      </c>
      <c r="H190" s="2227"/>
      <c r="I190" s="3480">
        <v>324167623.41000003</v>
      </c>
      <c r="J190" s="2227"/>
      <c r="K190" s="3480">
        <v>329353768.07999998</v>
      </c>
      <c r="L190" s="1711"/>
      <c r="M190" s="2227">
        <f t="shared" si="4"/>
        <v>11959811.26</v>
      </c>
      <c r="N190" s="1711"/>
      <c r="O190" s="3480">
        <v>341313579.33999997</v>
      </c>
      <c r="P190" s="1239"/>
    </row>
    <row r="191" spans="2:16" s="960" customFormat="1" ht="15.6">
      <c r="B191" s="1250" t="s">
        <v>810</v>
      </c>
      <c r="C191" s="1167"/>
      <c r="D191" s="1174" t="s">
        <v>811</v>
      </c>
      <c r="E191" s="1530"/>
      <c r="F191" s="1530"/>
      <c r="G191" s="3480">
        <v>122171316.64999996</v>
      </c>
      <c r="H191" s="2227"/>
      <c r="I191" s="3480">
        <v>86868529.60999997</v>
      </c>
      <c r="J191" s="2227"/>
      <c r="K191" s="3480">
        <v>98119713.070000067</v>
      </c>
      <c r="L191" s="1711"/>
      <c r="M191" s="2227">
        <f t="shared" si="4"/>
        <v>-20066412.420000002</v>
      </c>
      <c r="N191" s="1711"/>
      <c r="O191" s="3480">
        <v>78053300.650000066</v>
      </c>
      <c r="P191" s="1239"/>
    </row>
    <row r="192" spans="2:16" s="960" customFormat="1" ht="15.6">
      <c r="B192" s="1532" t="s">
        <v>1041</v>
      </c>
      <c r="C192" s="1164"/>
      <c r="D192" s="1174" t="s">
        <v>1042</v>
      </c>
      <c r="E192" s="1162"/>
      <c r="F192" s="1162"/>
      <c r="G192" s="3480">
        <v>7876626.6399999997</v>
      </c>
      <c r="H192" s="2227"/>
      <c r="I192" s="3480">
        <v>13943052.4</v>
      </c>
      <c r="J192" s="2227"/>
      <c r="K192" s="3480">
        <v>7160327.9299999997</v>
      </c>
      <c r="L192" s="1711"/>
      <c r="M192" s="2227">
        <f t="shared" si="4"/>
        <v>-880751.02</v>
      </c>
      <c r="N192" s="1711"/>
      <c r="O192" s="3480">
        <v>6279576.9100000001</v>
      </c>
      <c r="P192" s="1249"/>
    </row>
    <row r="193" spans="2:16" s="960" customFormat="1" ht="15.6">
      <c r="B193" s="2623">
        <v>25950</v>
      </c>
      <c r="C193" s="1164"/>
      <c r="D193" s="1174" t="s">
        <v>812</v>
      </c>
      <c r="E193" s="1175"/>
      <c r="F193" s="1175"/>
      <c r="G193" s="3480">
        <v>438067.6</v>
      </c>
      <c r="H193" s="2227"/>
      <c r="I193" s="3480">
        <v>376638.6</v>
      </c>
      <c r="J193" s="2227"/>
      <c r="K193" s="3480">
        <v>487032.6</v>
      </c>
      <c r="L193" s="1711"/>
      <c r="M193" s="2227">
        <f t="shared" si="4"/>
        <v>-78082.75</v>
      </c>
      <c r="N193" s="1711"/>
      <c r="O193" s="3480">
        <v>408949.85</v>
      </c>
      <c r="P193" s="1249"/>
    </row>
    <row r="194" spans="2:16" s="960" customFormat="1" ht="15.6">
      <c r="B194" s="1532" t="s">
        <v>1366</v>
      </c>
      <c r="C194" s="1164"/>
      <c r="D194" s="1172" t="s">
        <v>1043</v>
      </c>
      <c r="E194" s="1162"/>
      <c r="F194" s="1162"/>
      <c r="G194" s="3480">
        <v>4247798.18</v>
      </c>
      <c r="H194" s="2227"/>
      <c r="I194" s="3480">
        <v>961520.13</v>
      </c>
      <c r="J194" s="2227"/>
      <c r="K194" s="3480">
        <v>440986.07</v>
      </c>
      <c r="L194" s="1711"/>
      <c r="M194" s="2227">
        <f t="shared" si="4"/>
        <v>-98566.48</v>
      </c>
      <c r="N194" s="1711"/>
      <c r="O194" s="3480">
        <v>342419.59</v>
      </c>
      <c r="P194" s="1249"/>
    </row>
    <row r="195" spans="2:16" s="960" customFormat="1" ht="16.2" thickBot="1">
      <c r="B195" s="1251"/>
      <c r="C195" s="1244"/>
      <c r="D195" s="2972" t="s">
        <v>813</v>
      </c>
      <c r="E195" s="1165"/>
      <c r="F195" s="1165"/>
      <c r="G195" s="2229">
        <f>ROUND(SUM(G184:G194),2)</f>
        <v>2058795873.96</v>
      </c>
      <c r="H195" s="3489"/>
      <c r="I195" s="2229">
        <f>ROUND(SUM(I184:I194),2)</f>
        <v>1103326089.3399999</v>
      </c>
      <c r="J195" s="3489"/>
      <c r="K195" s="2229">
        <f>ROUND(SUM(K184:K194),2)</f>
        <v>1152940912.02</v>
      </c>
      <c r="L195"/>
      <c r="M195" s="2229">
        <f>ROUND(SUM(M184:M194),2)</f>
        <v>425921217.07999998</v>
      </c>
      <c r="N195"/>
      <c r="O195" s="2229">
        <f>ROUND(SUM(O184:O194),2)</f>
        <v>1578862129.0999999</v>
      </c>
      <c r="P195" s="1694" t="s">
        <v>116</v>
      </c>
    </row>
    <row r="196" spans="2:16" s="960" customFormat="1" ht="16.2" thickTop="1">
      <c r="B196" s="1515"/>
      <c r="C196" s="1244"/>
      <c r="D196" s="1176"/>
      <c r="E196" s="1165"/>
      <c r="F196" s="1165"/>
      <c r="G196" s="3485"/>
      <c r="H196" s="2228"/>
      <c r="I196" s="3485"/>
      <c r="J196" s="2228"/>
      <c r="K196" s="3485"/>
      <c r="L196" s="1533"/>
      <c r="M196" s="2228"/>
      <c r="N196" s="1522"/>
      <c r="O196" s="3485"/>
      <c r="P196" s="1250"/>
    </row>
    <row r="197" spans="2:16" s="960" customFormat="1" ht="15.6">
      <c r="B197" s="1526"/>
      <c r="C197" s="1244"/>
      <c r="D197" s="2971" t="s">
        <v>814</v>
      </c>
      <c r="E197" s="1165"/>
      <c r="F197" s="1165"/>
      <c r="G197" s="3480"/>
      <c r="H197" s="2227"/>
      <c r="I197" s="3480"/>
      <c r="J197" s="2227"/>
      <c r="K197" s="3480"/>
      <c r="L197" s="1513"/>
      <c r="M197" s="2228"/>
      <c r="N197" s="1522"/>
      <c r="O197" s="3480"/>
      <c r="P197" s="1186"/>
    </row>
    <row r="198" spans="2:16" s="960" customFormat="1" ht="15.6">
      <c r="B198" s="2624">
        <v>60201</v>
      </c>
      <c r="C198" s="1240"/>
      <c r="D198" s="1168" t="s">
        <v>815</v>
      </c>
      <c r="E198" s="1165"/>
      <c r="F198" s="1165"/>
      <c r="G198" s="3480">
        <v>0</v>
      </c>
      <c r="H198" s="2227"/>
      <c r="I198" s="3480">
        <v>0</v>
      </c>
      <c r="J198" s="2227"/>
      <c r="K198" s="3480">
        <v>0</v>
      </c>
      <c r="L198" s="1513"/>
      <c r="M198" s="2227">
        <f t="shared" ref="M198:M199" si="5">ROUND(SUM(O198)-SUM(K198),2)</f>
        <v>0</v>
      </c>
      <c r="N198" s="1513"/>
      <c r="O198" s="3480">
        <v>0</v>
      </c>
      <c r="P198" s="1186"/>
    </row>
    <row r="199" spans="2:16" s="960" customFormat="1" ht="15.6">
      <c r="B199" s="2622">
        <v>60901</v>
      </c>
      <c r="C199" s="1167"/>
      <c r="D199" s="1171" t="s">
        <v>1068</v>
      </c>
      <c r="E199" s="1169"/>
      <c r="F199" s="1169"/>
      <c r="G199" s="3480">
        <v>0</v>
      </c>
      <c r="H199" s="2227"/>
      <c r="I199" s="3480">
        <v>0</v>
      </c>
      <c r="J199" s="2227"/>
      <c r="K199" s="3480">
        <v>0</v>
      </c>
      <c r="L199" s="1513"/>
      <c r="M199" s="2227">
        <f t="shared" si="5"/>
        <v>0</v>
      </c>
      <c r="N199" s="1513"/>
      <c r="O199" s="3480">
        <v>0</v>
      </c>
      <c r="P199" s="1186"/>
    </row>
    <row r="200" spans="2:16" s="960" customFormat="1" ht="16.2" thickBot="1">
      <c r="B200" s="1160"/>
      <c r="C200" s="1240"/>
      <c r="D200" s="2971" t="s">
        <v>816</v>
      </c>
      <c r="E200" s="1165"/>
      <c r="F200" s="1165"/>
      <c r="G200" s="2229">
        <f>ROUND(SUM(G198:G199),2)</f>
        <v>0</v>
      </c>
      <c r="H200" s="3491"/>
      <c r="I200" s="2229">
        <f>ROUND(SUM(I198:I199),2)</f>
        <v>0</v>
      </c>
      <c r="J200" s="3491"/>
      <c r="K200" s="2229">
        <f>ROUND(SUM(K198:K199),2)</f>
        <v>0</v>
      </c>
      <c r="L200" s="1559"/>
      <c r="M200" s="2229">
        <f>ROUND(SUM(M198:M199),2)</f>
        <v>0</v>
      </c>
      <c r="N200" s="1559"/>
      <c r="O200" s="2229">
        <v>0</v>
      </c>
      <c r="P200" s="1177"/>
    </row>
    <row r="201" spans="2:16" s="960" customFormat="1" ht="16.2" thickTop="1">
      <c r="B201" s="1160"/>
      <c r="C201" s="1252"/>
      <c r="D201" s="1252"/>
      <c r="E201" s="1253"/>
      <c r="F201" s="1253"/>
      <c r="G201" s="3480"/>
      <c r="H201" s="2227"/>
      <c r="I201" s="3480"/>
      <c r="J201" s="2227"/>
      <c r="K201" s="3480"/>
      <c r="L201" s="1513"/>
      <c r="M201" s="2227"/>
      <c r="N201" s="1459"/>
      <c r="O201" s="3480"/>
      <c r="P201" s="1163"/>
    </row>
    <row r="202" spans="2:16" s="960" customFormat="1" ht="15.6">
      <c r="B202" s="1160"/>
      <c r="C202" s="1516"/>
      <c r="D202" s="2971" t="s">
        <v>817</v>
      </c>
      <c r="E202" s="1521"/>
      <c r="F202" s="1521"/>
      <c r="G202" s="3480"/>
      <c r="H202" s="2227"/>
      <c r="I202" s="3480"/>
      <c r="J202" s="2227"/>
      <c r="K202" s="3480"/>
      <c r="L202" s="1513"/>
      <c r="M202" s="2230"/>
      <c r="N202" s="1245"/>
      <c r="O202" s="3480"/>
      <c r="P202" s="1250"/>
    </row>
    <row r="203" spans="2:16" s="960" customFormat="1" ht="15.6">
      <c r="B203" s="2622">
        <v>50318</v>
      </c>
      <c r="C203" s="1517"/>
      <c r="D203" s="1172" t="s">
        <v>818</v>
      </c>
      <c r="E203" s="1242"/>
      <c r="F203" s="1242"/>
      <c r="G203" s="3480">
        <v>305683.96000000002</v>
      </c>
      <c r="H203" s="2227"/>
      <c r="I203" s="3480">
        <v>49116.41</v>
      </c>
      <c r="J203" s="2227"/>
      <c r="K203" s="3480">
        <v>6608.06</v>
      </c>
      <c r="L203" s="1534"/>
      <c r="M203" s="2227">
        <f t="shared" ref="M203:M204" si="6">ROUND(SUM(O203)-SUM(K203),2)</f>
        <v>34712.720000000001</v>
      </c>
      <c r="N203" s="1534"/>
      <c r="O203" s="3480">
        <v>41320.78</v>
      </c>
      <c r="P203" s="1186"/>
    </row>
    <row r="204" spans="2:16" s="960" customFormat="1" ht="15.6">
      <c r="B204" s="2622">
        <v>50327</v>
      </c>
      <c r="C204" s="1517"/>
      <c r="D204" s="1172" t="s">
        <v>1379</v>
      </c>
      <c r="E204" s="1242"/>
      <c r="F204" s="1242"/>
      <c r="G204" s="3480">
        <v>98096.59</v>
      </c>
      <c r="H204" s="2227"/>
      <c r="I204" s="3480">
        <v>113575.28</v>
      </c>
      <c r="J204" s="2227"/>
      <c r="K204" s="3480">
        <v>120895.88</v>
      </c>
      <c r="L204" s="1534"/>
      <c r="M204" s="2227">
        <f t="shared" si="6"/>
        <v>11967.85</v>
      </c>
      <c r="N204" s="1534"/>
      <c r="O204" s="3480">
        <v>132863.73000000001</v>
      </c>
      <c r="P204" s="1186"/>
    </row>
    <row r="205" spans="2:16" s="960" customFormat="1" ht="16.2" thickBot="1">
      <c r="B205" s="1170"/>
      <c r="C205" s="1240"/>
      <c r="D205" s="2972" t="s">
        <v>819</v>
      </c>
      <c r="E205" s="1237"/>
      <c r="F205" s="1237"/>
      <c r="G205" s="2657">
        <f>ROUND(SUM(G203:G204),2)</f>
        <v>403780.55</v>
      </c>
      <c r="H205" s="3491"/>
      <c r="I205" s="2657">
        <f>ROUND(SUM(I203:I204),2)</f>
        <v>162691.69</v>
      </c>
      <c r="J205" s="3491"/>
      <c r="K205" s="2657">
        <f>ROUND(SUM(K203:K204),2)</f>
        <v>127503.94</v>
      </c>
      <c r="L205" s="1559"/>
      <c r="M205" s="2657">
        <f>ROUND(SUM(M203:M204),2)</f>
        <v>46680.57</v>
      </c>
      <c r="N205" s="1559"/>
      <c r="O205" s="2657">
        <f>ROUND(SUM(O203:O204),2)</f>
        <v>174184.51</v>
      </c>
      <c r="P205" s="1248"/>
    </row>
    <row r="206" spans="2:16" s="960" customFormat="1" ht="16.2" thickTop="1">
      <c r="B206" s="1517"/>
      <c r="C206" s="1517"/>
      <c r="D206" s="1535"/>
      <c r="E206" s="1242"/>
      <c r="F206" s="1242"/>
      <c r="G206" s="3480"/>
      <c r="H206" s="2658"/>
      <c r="I206" s="3480"/>
      <c r="J206" s="2658"/>
      <c r="K206" s="3480"/>
      <c r="L206" s="1523"/>
      <c r="M206" s="2658"/>
      <c r="N206" s="1536"/>
      <c r="O206" s="3480"/>
      <c r="P206" s="1251"/>
    </row>
    <row r="207" spans="2:16" s="960" customFormat="1" ht="15.6">
      <c r="B207" s="1321"/>
      <c r="C207" s="1240"/>
      <c r="D207" s="2971" t="s">
        <v>225</v>
      </c>
      <c r="E207" s="1237"/>
      <c r="F207" s="1237"/>
      <c r="G207" s="3484"/>
      <c r="H207" s="3490"/>
      <c r="I207" s="3484"/>
      <c r="J207" s="3490"/>
      <c r="K207" s="3484"/>
      <c r="L207" s="1513"/>
      <c r="M207" s="2656"/>
      <c r="N207" s="1522"/>
      <c r="O207" s="3484"/>
      <c r="P207" s="1242"/>
    </row>
    <row r="208" spans="2:16" s="960" customFormat="1" ht="15.6">
      <c r="B208" s="2622">
        <v>55001</v>
      </c>
      <c r="C208" s="1517"/>
      <c r="D208" s="1172" t="s">
        <v>820</v>
      </c>
      <c r="E208" s="1242"/>
      <c r="F208" s="1242"/>
      <c r="G208" s="3480">
        <v>1287937.56</v>
      </c>
      <c r="H208" s="2227"/>
      <c r="I208" s="3480">
        <v>1027924.48</v>
      </c>
      <c r="J208" s="2227"/>
      <c r="K208" s="3480">
        <v>403527.64</v>
      </c>
      <c r="L208" s="1711"/>
      <c r="M208" s="2227">
        <f t="shared" ref="M208:M249" si="7">ROUND(SUM(O208)-SUM(K208),2)</f>
        <v>-264276.7</v>
      </c>
      <c r="N208" s="1711"/>
      <c r="O208" s="3480">
        <v>139250.94</v>
      </c>
      <c r="P208" s="1247"/>
    </row>
    <row r="209" spans="2:16" s="960" customFormat="1" ht="15.6">
      <c r="B209" s="2622">
        <v>55002</v>
      </c>
      <c r="C209" s="1167"/>
      <c r="D209" s="1171" t="s">
        <v>821</v>
      </c>
      <c r="E209" s="1169"/>
      <c r="F209" s="1169"/>
      <c r="G209" s="3480">
        <v>0</v>
      </c>
      <c r="H209" s="2227"/>
      <c r="I209" s="3480">
        <v>0</v>
      </c>
      <c r="J209" s="2227"/>
      <c r="K209" s="3480">
        <v>0</v>
      </c>
      <c r="L209" s="1711"/>
      <c r="M209" s="2227">
        <f t="shared" si="7"/>
        <v>0</v>
      </c>
      <c r="N209" s="1711"/>
      <c r="O209" s="3480">
        <v>0</v>
      </c>
      <c r="P209" s="1177"/>
    </row>
    <row r="210" spans="2:16" s="960" customFormat="1" ht="15.6">
      <c r="B210" s="2622">
        <v>55003</v>
      </c>
      <c r="C210" s="1167"/>
      <c r="D210" s="1172" t="s">
        <v>822</v>
      </c>
      <c r="E210" s="1169"/>
      <c r="F210" s="1169"/>
      <c r="G210" s="3480">
        <v>1753810.5</v>
      </c>
      <c r="H210" s="2227"/>
      <c r="I210" s="3480">
        <v>1514261.67</v>
      </c>
      <c r="J210" s="2227"/>
      <c r="K210" s="3480">
        <v>1440333.24</v>
      </c>
      <c r="L210" s="1711"/>
      <c r="M210" s="2227">
        <f t="shared" si="7"/>
        <v>74068.88</v>
      </c>
      <c r="N210" s="1711"/>
      <c r="O210" s="3480">
        <v>1514402.12</v>
      </c>
      <c r="P210" s="1177"/>
    </row>
    <row r="211" spans="2:16" s="960" customFormat="1" ht="15.6">
      <c r="B211" s="2622">
        <v>55004</v>
      </c>
      <c r="C211" s="1164"/>
      <c r="D211" s="1537" t="s">
        <v>823</v>
      </c>
      <c r="E211" s="1176"/>
      <c r="F211" s="1176"/>
      <c r="G211" s="3480">
        <v>0</v>
      </c>
      <c r="H211" s="2227"/>
      <c r="I211" s="3480">
        <v>0</v>
      </c>
      <c r="J211" s="2227"/>
      <c r="K211" s="3480">
        <v>0</v>
      </c>
      <c r="L211" s="1711"/>
      <c r="M211" s="2227">
        <f t="shared" si="7"/>
        <v>0</v>
      </c>
      <c r="N211" s="1711"/>
      <c r="O211" s="3480">
        <v>0</v>
      </c>
      <c r="P211" s="1177"/>
    </row>
    <row r="212" spans="2:16" s="960" customFormat="1" ht="15.6">
      <c r="B212" s="2622">
        <v>55005</v>
      </c>
      <c r="C212" s="1167"/>
      <c r="D212" s="1172" t="s">
        <v>824</v>
      </c>
      <c r="E212" s="1169"/>
      <c r="F212" s="1169"/>
      <c r="G212" s="3480">
        <v>0</v>
      </c>
      <c r="H212" s="2227"/>
      <c r="I212" s="3480">
        <v>0</v>
      </c>
      <c r="J212" s="2227"/>
      <c r="K212" s="3480">
        <v>0</v>
      </c>
      <c r="L212" s="1711"/>
      <c r="M212" s="2227">
        <f t="shared" si="7"/>
        <v>0</v>
      </c>
      <c r="N212" s="1711"/>
      <c r="O212" s="3480">
        <v>0</v>
      </c>
      <c r="P212" s="1177"/>
    </row>
    <row r="213" spans="2:16" s="960" customFormat="1" ht="15.6">
      <c r="B213" s="2622">
        <v>55006</v>
      </c>
      <c r="C213" s="1164"/>
      <c r="D213" s="1172" t="s">
        <v>825</v>
      </c>
      <c r="E213" s="1176"/>
      <c r="F213" s="1176"/>
      <c r="G213" s="3480">
        <v>0</v>
      </c>
      <c r="H213" s="2227"/>
      <c r="I213" s="3480">
        <v>0</v>
      </c>
      <c r="J213" s="2227"/>
      <c r="K213" s="3480">
        <v>0</v>
      </c>
      <c r="L213" s="1711"/>
      <c r="M213" s="2227">
        <f t="shared" si="7"/>
        <v>0</v>
      </c>
      <c r="N213" s="1711"/>
      <c r="O213" s="3480">
        <v>0</v>
      </c>
      <c r="P213" s="1177"/>
    </row>
    <row r="214" spans="2:16" s="960" customFormat="1" ht="15.6">
      <c r="B214" s="2622">
        <v>55007</v>
      </c>
      <c r="C214" s="1524"/>
      <c r="D214" s="1161" t="s">
        <v>826</v>
      </c>
      <c r="E214" s="1514"/>
      <c r="F214" s="1514"/>
      <c r="G214" s="3480">
        <v>408656.44</v>
      </c>
      <c r="H214" s="2227"/>
      <c r="I214" s="3480">
        <v>1512274.98</v>
      </c>
      <c r="J214" s="2227"/>
      <c r="K214" s="3480">
        <v>1376801.85</v>
      </c>
      <c r="L214" s="1711"/>
      <c r="M214" s="2227">
        <f t="shared" si="7"/>
        <v>-385901.07</v>
      </c>
      <c r="N214" s="1711"/>
      <c r="O214" s="3480">
        <v>990900.78</v>
      </c>
      <c r="P214" s="1247"/>
    </row>
    <row r="215" spans="2:16" s="960" customFormat="1" ht="15.6">
      <c r="B215" s="2622">
        <v>55008</v>
      </c>
      <c r="C215" s="1167"/>
      <c r="D215" s="1174" t="s">
        <v>827</v>
      </c>
      <c r="E215" s="1169"/>
      <c r="F215" s="1169"/>
      <c r="G215" s="3480">
        <v>9163389.9900000002</v>
      </c>
      <c r="H215" s="2227"/>
      <c r="I215" s="3480">
        <v>12705924.57</v>
      </c>
      <c r="J215" s="2227"/>
      <c r="K215" s="3480">
        <v>8058733.6200000001</v>
      </c>
      <c r="L215" s="1711"/>
      <c r="M215" s="2227">
        <f t="shared" si="7"/>
        <v>8537345.8499999996</v>
      </c>
      <c r="N215" s="1711"/>
      <c r="O215" s="3480">
        <v>16596079.470000001</v>
      </c>
      <c r="P215" s="1248"/>
    </row>
    <row r="216" spans="2:16" s="960" customFormat="1" ht="15.6">
      <c r="B216" s="2456">
        <v>55009</v>
      </c>
      <c r="C216" s="1524"/>
      <c r="D216" s="1161" t="s">
        <v>828</v>
      </c>
      <c r="E216" s="1514"/>
      <c r="F216" s="1514"/>
      <c r="G216" s="3480">
        <v>0</v>
      </c>
      <c r="H216" s="2227"/>
      <c r="I216" s="3480">
        <v>0</v>
      </c>
      <c r="J216" s="2227"/>
      <c r="K216" s="3480">
        <v>0</v>
      </c>
      <c r="L216" s="1711"/>
      <c r="M216" s="2227">
        <f t="shared" si="7"/>
        <v>0</v>
      </c>
      <c r="N216" s="1711"/>
      <c r="O216" s="3480">
        <v>0</v>
      </c>
      <c r="P216" s="1242"/>
    </row>
    <row r="217" spans="2:16" s="960" customFormat="1" ht="15.6">
      <c r="B217" s="2456">
        <v>55010</v>
      </c>
      <c r="C217" s="1167"/>
      <c r="D217" s="1172" t="s">
        <v>1069</v>
      </c>
      <c r="E217" s="1169"/>
      <c r="F217" s="1169"/>
      <c r="G217" s="3480">
        <v>8561201.8000000007</v>
      </c>
      <c r="H217" s="2227"/>
      <c r="I217" s="3480">
        <v>9963710.9600000009</v>
      </c>
      <c r="J217" s="2227"/>
      <c r="K217" s="3480">
        <v>6856543.5999999996</v>
      </c>
      <c r="L217" s="1711"/>
      <c r="M217" s="2227">
        <f t="shared" si="7"/>
        <v>-1742692.44</v>
      </c>
      <c r="N217" s="1711"/>
      <c r="O217" s="3480">
        <v>5113851.16</v>
      </c>
      <c r="P217" s="1242"/>
    </row>
    <row r="218" spans="2:16" s="960" customFormat="1" ht="15.6">
      <c r="B218" s="2622">
        <v>55011</v>
      </c>
      <c r="C218" s="1524"/>
      <c r="D218" s="1161" t="s">
        <v>829</v>
      </c>
      <c r="E218" s="1514"/>
      <c r="F218" s="1514"/>
      <c r="G218" s="3480">
        <v>0</v>
      </c>
      <c r="H218" s="2227"/>
      <c r="I218" s="3480">
        <v>0</v>
      </c>
      <c r="J218" s="2227"/>
      <c r="K218" s="3480">
        <v>594765.63</v>
      </c>
      <c r="L218" s="1711"/>
      <c r="M218" s="2227">
        <f t="shared" si="7"/>
        <v>-80616.570000000007</v>
      </c>
      <c r="N218" s="1711"/>
      <c r="O218" s="3480">
        <v>514149.06</v>
      </c>
      <c r="P218" s="1177"/>
    </row>
    <row r="219" spans="2:16" s="960" customFormat="1" ht="15.6">
      <c r="B219" s="2622">
        <v>55012</v>
      </c>
      <c r="C219" s="1167"/>
      <c r="D219" s="1168" t="s">
        <v>830</v>
      </c>
      <c r="E219" s="1169"/>
      <c r="F219" s="1169"/>
      <c r="G219" s="3480">
        <v>210224.29</v>
      </c>
      <c r="H219" s="2227"/>
      <c r="I219" s="3480">
        <v>188726.29</v>
      </c>
      <c r="J219" s="2227"/>
      <c r="K219" s="3480">
        <v>178114.29</v>
      </c>
      <c r="L219" s="1711"/>
      <c r="M219" s="2227">
        <f t="shared" si="7"/>
        <v>-42616.5</v>
      </c>
      <c r="N219" s="1711"/>
      <c r="O219" s="3480">
        <v>135497.79</v>
      </c>
      <c r="P219" s="1177"/>
    </row>
    <row r="220" spans="2:16" s="960" customFormat="1" ht="15.6">
      <c r="B220" s="2622">
        <v>55013</v>
      </c>
      <c r="C220" s="1167"/>
      <c r="D220" s="1171" t="s">
        <v>831</v>
      </c>
      <c r="E220" s="1169"/>
      <c r="F220" s="1169"/>
      <c r="G220" s="3480">
        <v>0</v>
      </c>
      <c r="H220" s="2227"/>
      <c r="I220" s="3480">
        <v>0</v>
      </c>
      <c r="J220" s="2227"/>
      <c r="K220" s="3480">
        <v>0</v>
      </c>
      <c r="L220" s="1711"/>
      <c r="M220" s="2227">
        <f t="shared" si="7"/>
        <v>0</v>
      </c>
      <c r="N220" s="1711"/>
      <c r="O220" s="3480">
        <v>0</v>
      </c>
      <c r="P220" s="1177"/>
    </row>
    <row r="221" spans="2:16" s="960" customFormat="1" ht="15.6">
      <c r="B221" s="2622">
        <v>55014</v>
      </c>
      <c r="C221" s="1167"/>
      <c r="D221" s="1168" t="s">
        <v>832</v>
      </c>
      <c r="E221" s="1169"/>
      <c r="F221" s="1169"/>
      <c r="G221" s="3480">
        <v>0</v>
      </c>
      <c r="H221" s="2227"/>
      <c r="I221" s="3480">
        <v>0</v>
      </c>
      <c r="J221" s="2227"/>
      <c r="K221" s="3480">
        <v>0</v>
      </c>
      <c r="L221" s="1711"/>
      <c r="M221" s="2227">
        <f t="shared" si="7"/>
        <v>0</v>
      </c>
      <c r="N221" s="1711"/>
      <c r="O221" s="3480">
        <v>0</v>
      </c>
      <c r="P221" s="1177"/>
    </row>
    <row r="222" spans="2:16" s="960" customFormat="1" ht="15.6">
      <c r="B222" s="2622">
        <v>55015</v>
      </c>
      <c r="C222" s="1167"/>
      <c r="D222" s="1171" t="s">
        <v>833</v>
      </c>
      <c r="E222" s="1169"/>
      <c r="F222" s="1169"/>
      <c r="G222" s="3480">
        <v>0</v>
      </c>
      <c r="H222" s="2227"/>
      <c r="I222" s="3480">
        <v>0</v>
      </c>
      <c r="J222" s="2227"/>
      <c r="K222" s="3480">
        <v>0</v>
      </c>
      <c r="L222" s="1711"/>
      <c r="M222" s="2227">
        <f t="shared" si="7"/>
        <v>0</v>
      </c>
      <c r="N222" s="1711"/>
      <c r="O222" s="3480">
        <v>0</v>
      </c>
      <c r="P222" s="1177"/>
    </row>
    <row r="223" spans="2:16" s="960" customFormat="1" ht="15.6">
      <c r="B223" s="2622">
        <v>55016</v>
      </c>
      <c r="C223" s="1167"/>
      <c r="D223" s="1171" t="s">
        <v>834</v>
      </c>
      <c r="E223" s="1169"/>
      <c r="F223" s="1169"/>
      <c r="G223" s="3480">
        <v>26961.54</v>
      </c>
      <c r="H223" s="2227"/>
      <c r="I223" s="3480">
        <v>26961.54</v>
      </c>
      <c r="J223" s="2227"/>
      <c r="K223" s="3480">
        <v>26961.54</v>
      </c>
      <c r="L223" s="1711"/>
      <c r="M223" s="2227">
        <f t="shared" si="7"/>
        <v>0</v>
      </c>
      <c r="N223" s="1711"/>
      <c r="O223" s="3480">
        <v>26961.54</v>
      </c>
      <c r="P223" s="1177"/>
    </row>
    <row r="224" spans="2:16" s="960" customFormat="1" ht="15.6">
      <c r="B224" s="2622">
        <v>55017</v>
      </c>
      <c r="C224" s="1167"/>
      <c r="D224" s="1171" t="s">
        <v>835</v>
      </c>
      <c r="E224" s="1169"/>
      <c r="F224" s="1169"/>
      <c r="G224" s="3480">
        <v>107510.93</v>
      </c>
      <c r="H224" s="2227"/>
      <c r="I224" s="3480">
        <v>4268.7700000000004</v>
      </c>
      <c r="J224" s="2227"/>
      <c r="K224" s="3480">
        <v>0</v>
      </c>
      <c r="L224" s="1711"/>
      <c r="M224" s="2227">
        <f t="shared" si="7"/>
        <v>114358.22</v>
      </c>
      <c r="N224" s="1711"/>
      <c r="O224" s="3480">
        <v>114358.22</v>
      </c>
      <c r="P224" s="1177"/>
    </row>
    <row r="225" spans="2:16" s="960" customFormat="1" ht="15.6">
      <c r="B225" s="2622">
        <v>55018</v>
      </c>
      <c r="C225" s="1167"/>
      <c r="D225" s="1171" t="s">
        <v>836</v>
      </c>
      <c r="E225" s="1169"/>
      <c r="F225" s="1169"/>
      <c r="G225" s="3480">
        <v>5553193.8200000003</v>
      </c>
      <c r="H225" s="2227"/>
      <c r="I225" s="3480">
        <v>5102391.3600000003</v>
      </c>
      <c r="J225" s="2227"/>
      <c r="K225" s="3480">
        <v>5402837.4100000001</v>
      </c>
      <c r="L225" s="1711"/>
      <c r="M225" s="2227">
        <f t="shared" si="7"/>
        <v>-890147.15</v>
      </c>
      <c r="N225" s="1711"/>
      <c r="O225" s="3480">
        <v>4512690.26</v>
      </c>
      <c r="P225" s="1177"/>
    </row>
    <row r="226" spans="2:16" s="960" customFormat="1" ht="15.6">
      <c r="B226" s="2622">
        <v>55019</v>
      </c>
      <c r="C226" s="1167"/>
      <c r="D226" s="1171" t="s">
        <v>837</v>
      </c>
      <c r="E226" s="1169"/>
      <c r="F226" s="1169"/>
      <c r="G226" s="3480">
        <v>0</v>
      </c>
      <c r="H226" s="2227"/>
      <c r="I226" s="3480">
        <v>0</v>
      </c>
      <c r="J226" s="2227"/>
      <c r="K226" s="3480">
        <v>0</v>
      </c>
      <c r="L226" s="1711"/>
      <c r="M226" s="2227">
        <f t="shared" si="7"/>
        <v>0</v>
      </c>
      <c r="N226" s="1711"/>
      <c r="O226" s="3480">
        <v>0</v>
      </c>
      <c r="P226" s="1177"/>
    </row>
    <row r="227" spans="2:16" s="960" customFormat="1" ht="15.6">
      <c r="B227" s="2622">
        <v>55020</v>
      </c>
      <c r="C227" s="1167"/>
      <c r="D227" s="1171" t="s">
        <v>838</v>
      </c>
      <c r="E227" s="1169"/>
      <c r="F227" s="1169"/>
      <c r="G227" s="3480">
        <v>49146261.740000002</v>
      </c>
      <c r="H227" s="2227"/>
      <c r="I227" s="3480">
        <v>53549835.640000001</v>
      </c>
      <c r="J227" s="2227"/>
      <c r="K227" s="3480">
        <v>54212262.700000003</v>
      </c>
      <c r="L227" s="1711"/>
      <c r="M227" s="2227">
        <f t="shared" si="7"/>
        <v>9559911.75</v>
      </c>
      <c r="N227" s="1711"/>
      <c r="O227" s="3480">
        <v>63772174.450000003</v>
      </c>
      <c r="P227" s="1177"/>
    </row>
    <row r="228" spans="2:16" s="960" customFormat="1" ht="15.6">
      <c r="B228" s="2622">
        <v>55021</v>
      </c>
      <c r="C228" s="1167"/>
      <c r="D228" s="1171" t="s">
        <v>839</v>
      </c>
      <c r="E228" s="1169"/>
      <c r="F228" s="1169"/>
      <c r="G228" s="3480">
        <v>3635767.15</v>
      </c>
      <c r="H228" s="2227"/>
      <c r="I228" s="3480">
        <v>3840578.9</v>
      </c>
      <c r="J228" s="2227"/>
      <c r="K228" s="3480">
        <v>3209286.53</v>
      </c>
      <c r="L228" s="1711"/>
      <c r="M228" s="2227">
        <f t="shared" si="7"/>
        <v>543623.4</v>
      </c>
      <c r="N228" s="1711"/>
      <c r="O228" s="3480">
        <v>3752909.93</v>
      </c>
      <c r="P228" s="1177"/>
    </row>
    <row r="229" spans="2:16" s="960" customFormat="1" ht="15.6">
      <c r="B229" s="2622">
        <v>55022</v>
      </c>
      <c r="C229" s="1167"/>
      <c r="D229" s="1168" t="s">
        <v>840</v>
      </c>
      <c r="E229" s="1169"/>
      <c r="F229" s="1169"/>
      <c r="G229" s="3480">
        <v>1102775.6200000001</v>
      </c>
      <c r="H229" s="2227"/>
      <c r="I229" s="3480">
        <v>902178.25</v>
      </c>
      <c r="J229" s="2227"/>
      <c r="K229" s="3480">
        <v>337342.62</v>
      </c>
      <c r="L229" s="1711"/>
      <c r="M229" s="2227">
        <f t="shared" si="7"/>
        <v>262273.59999999998</v>
      </c>
      <c r="N229" s="1711"/>
      <c r="O229" s="3480">
        <v>599616.22</v>
      </c>
      <c r="P229" s="1177"/>
    </row>
    <row r="230" spans="2:16" s="960" customFormat="1" ht="15.6">
      <c r="B230" s="2622">
        <v>55052</v>
      </c>
      <c r="C230" s="1167"/>
      <c r="D230" s="1168" t="s">
        <v>841</v>
      </c>
      <c r="E230" s="1169"/>
      <c r="F230" s="1169"/>
      <c r="G230" s="3480">
        <v>0</v>
      </c>
      <c r="H230" s="2227"/>
      <c r="I230" s="3480">
        <v>0</v>
      </c>
      <c r="J230" s="2227"/>
      <c r="K230" s="3480">
        <v>0</v>
      </c>
      <c r="L230" s="1711"/>
      <c r="M230" s="2227">
        <f t="shared" si="7"/>
        <v>0</v>
      </c>
      <c r="N230" s="1711"/>
      <c r="O230" s="3480">
        <v>0</v>
      </c>
      <c r="P230" s="1177"/>
    </row>
    <row r="231" spans="2:16" s="960" customFormat="1" ht="15.6">
      <c r="B231" s="2622">
        <v>55053</v>
      </c>
      <c r="C231" s="1167"/>
      <c r="D231" s="1171" t="s">
        <v>842</v>
      </c>
      <c r="E231" s="1169"/>
      <c r="F231" s="1169"/>
      <c r="G231" s="3480">
        <v>0</v>
      </c>
      <c r="H231" s="2227"/>
      <c r="I231" s="3480">
        <v>0</v>
      </c>
      <c r="J231" s="2227"/>
      <c r="K231" s="3480">
        <v>0</v>
      </c>
      <c r="L231" s="1711"/>
      <c r="M231" s="2227">
        <f t="shared" si="7"/>
        <v>0</v>
      </c>
      <c r="N231" s="1711"/>
      <c r="O231" s="3480">
        <v>0</v>
      </c>
      <c r="P231" s="1177"/>
    </row>
    <row r="232" spans="2:16" s="960" customFormat="1" ht="15.6">
      <c r="B232" s="2622">
        <v>55056</v>
      </c>
      <c r="C232" s="1167"/>
      <c r="D232" s="1171" t="s">
        <v>843</v>
      </c>
      <c r="E232" s="1169"/>
      <c r="F232" s="1169"/>
      <c r="G232" s="3480">
        <v>0</v>
      </c>
      <c r="H232" s="2227"/>
      <c r="I232" s="3480">
        <v>0</v>
      </c>
      <c r="J232" s="2227"/>
      <c r="K232" s="3480">
        <v>0</v>
      </c>
      <c r="L232" s="1711"/>
      <c r="M232" s="2227">
        <f t="shared" si="7"/>
        <v>0</v>
      </c>
      <c r="N232" s="1711"/>
      <c r="O232" s="3480">
        <v>0</v>
      </c>
      <c r="P232" s="1177"/>
    </row>
    <row r="233" spans="2:16" s="960" customFormat="1" ht="15.6">
      <c r="B233" s="2622">
        <v>55057</v>
      </c>
      <c r="C233" s="1167"/>
      <c r="D233" s="1171" t="s">
        <v>844</v>
      </c>
      <c r="E233" s="1169"/>
      <c r="F233" s="1169"/>
      <c r="G233" s="3480">
        <v>71749.84</v>
      </c>
      <c r="H233" s="2227"/>
      <c r="I233" s="3480">
        <v>181825.86</v>
      </c>
      <c r="J233" s="2227"/>
      <c r="K233" s="3480">
        <v>213561.11</v>
      </c>
      <c r="L233" s="1711"/>
      <c r="M233" s="2227">
        <f t="shared" si="7"/>
        <v>350789.18</v>
      </c>
      <c r="N233" s="1711"/>
      <c r="O233" s="3480">
        <v>564350.29</v>
      </c>
      <c r="P233" s="1177"/>
    </row>
    <row r="234" spans="2:16" s="960" customFormat="1" ht="15.6">
      <c r="B234" s="2622">
        <v>55058</v>
      </c>
      <c r="C234" s="1167"/>
      <c r="D234" s="1171" t="s">
        <v>845</v>
      </c>
      <c r="E234" s="1169"/>
      <c r="F234" s="1169"/>
      <c r="G234" s="3480">
        <v>3979883.69</v>
      </c>
      <c r="H234" s="2227"/>
      <c r="I234" s="3480">
        <v>3460999.62</v>
      </c>
      <c r="J234" s="2227"/>
      <c r="K234" s="3480">
        <v>3654342.72</v>
      </c>
      <c r="L234" s="1711"/>
      <c r="M234" s="2227">
        <f t="shared" si="7"/>
        <v>253701.78</v>
      </c>
      <c r="N234" s="1711"/>
      <c r="O234" s="3480">
        <v>3908044.5</v>
      </c>
      <c r="P234" s="1177"/>
    </row>
    <row r="235" spans="2:16" s="960" customFormat="1" ht="15.6">
      <c r="B235" s="2622">
        <v>55059</v>
      </c>
      <c r="C235" s="1167"/>
      <c r="D235" s="1172" t="s">
        <v>1382</v>
      </c>
      <c r="E235" s="1169"/>
      <c r="F235" s="1169"/>
      <c r="G235" s="3480">
        <v>13885038.949999999</v>
      </c>
      <c r="H235" s="2227"/>
      <c r="I235" s="3480">
        <v>12477608.109999999</v>
      </c>
      <c r="J235" s="2227"/>
      <c r="K235" s="3480">
        <v>12553591.939999999</v>
      </c>
      <c r="L235" s="1711"/>
      <c r="M235" s="2227">
        <f t="shared" si="7"/>
        <v>1049359.56</v>
      </c>
      <c r="N235" s="1711"/>
      <c r="O235" s="3480">
        <v>13602951.5</v>
      </c>
      <c r="P235" s="1177"/>
    </row>
    <row r="236" spans="2:16" s="960" customFormat="1" ht="15.6">
      <c r="B236" s="2622">
        <v>55060</v>
      </c>
      <c r="C236" s="1167"/>
      <c r="D236" s="1168" t="s">
        <v>846</v>
      </c>
      <c r="E236" s="1169"/>
      <c r="F236" s="1169"/>
      <c r="G236" s="3480">
        <v>0</v>
      </c>
      <c r="H236" s="2227"/>
      <c r="I236" s="3480">
        <v>0</v>
      </c>
      <c r="J236" s="2227"/>
      <c r="K236" s="3480">
        <v>1095253.3700000001</v>
      </c>
      <c r="L236" s="1711"/>
      <c r="M236" s="2227">
        <f t="shared" si="7"/>
        <v>-1095253.3700000001</v>
      </c>
      <c r="N236" s="1711"/>
      <c r="O236" s="3480">
        <v>0</v>
      </c>
      <c r="P236" s="1177"/>
    </row>
    <row r="237" spans="2:16" s="960" customFormat="1" ht="15.6">
      <c r="B237" s="2622">
        <v>55061</v>
      </c>
      <c r="C237" s="1167"/>
      <c r="D237" s="1168" t="s">
        <v>847</v>
      </c>
      <c r="E237" s="1169"/>
      <c r="F237" s="1169"/>
      <c r="G237" s="3480">
        <v>2404195.23</v>
      </c>
      <c r="H237" s="2227"/>
      <c r="I237" s="3480">
        <v>2404044.2599999998</v>
      </c>
      <c r="J237" s="2227"/>
      <c r="K237" s="3480">
        <v>2110182.54</v>
      </c>
      <c r="L237" s="1711"/>
      <c r="M237" s="2227">
        <f t="shared" si="7"/>
        <v>-6626.95</v>
      </c>
      <c r="N237" s="1711"/>
      <c r="O237" s="3480">
        <v>2103555.59</v>
      </c>
      <c r="P237" s="1177"/>
    </row>
    <row r="238" spans="2:16" s="960" customFormat="1" ht="15.6">
      <c r="B238" s="2622">
        <v>55062</v>
      </c>
      <c r="C238" s="1167"/>
      <c r="D238" s="1171" t="s">
        <v>848</v>
      </c>
      <c r="E238" s="1169"/>
      <c r="F238" s="1169"/>
      <c r="G238" s="3480">
        <v>55274037.869999997</v>
      </c>
      <c r="H238" s="2227"/>
      <c r="I238" s="3480">
        <v>55274037.850000001</v>
      </c>
      <c r="J238" s="2227"/>
      <c r="K238" s="3480">
        <v>55274037.850000001</v>
      </c>
      <c r="L238" s="1711"/>
      <c r="M238" s="2227">
        <f t="shared" si="7"/>
        <v>0</v>
      </c>
      <c r="N238" s="1711"/>
      <c r="O238" s="3480">
        <v>55274037.850000001</v>
      </c>
      <c r="P238" s="1177"/>
    </row>
    <row r="239" spans="2:16" s="960" customFormat="1" ht="15.6">
      <c r="B239" s="2622">
        <v>55066</v>
      </c>
      <c r="C239" s="1167"/>
      <c r="D239" s="1171" t="s">
        <v>849</v>
      </c>
      <c r="E239" s="1169"/>
      <c r="F239" s="1169"/>
      <c r="G239" s="3480">
        <v>1261584.27</v>
      </c>
      <c r="H239" s="2227"/>
      <c r="I239" s="3480">
        <v>1261584.27</v>
      </c>
      <c r="J239" s="2227"/>
      <c r="K239" s="3480">
        <v>1261584.27</v>
      </c>
      <c r="L239" s="1711"/>
      <c r="M239" s="2227">
        <f t="shared" si="7"/>
        <v>0</v>
      </c>
      <c r="N239" s="1711"/>
      <c r="O239" s="3480">
        <v>1261584.27</v>
      </c>
      <c r="P239" s="1177"/>
    </row>
    <row r="240" spans="2:16" s="960" customFormat="1" ht="15.6">
      <c r="B240" s="2622">
        <v>55067</v>
      </c>
      <c r="C240" s="1167"/>
      <c r="D240" s="1171" t="s">
        <v>850</v>
      </c>
      <c r="E240" s="1169"/>
      <c r="F240" s="1169"/>
      <c r="G240" s="3480">
        <v>221926.09</v>
      </c>
      <c r="H240" s="2227"/>
      <c r="I240" s="3480">
        <v>289389.13</v>
      </c>
      <c r="J240" s="2227"/>
      <c r="K240" s="3480">
        <v>202572.04</v>
      </c>
      <c r="L240" s="1711"/>
      <c r="M240" s="2227">
        <f t="shared" si="7"/>
        <v>37680.28</v>
      </c>
      <c r="N240" s="1711"/>
      <c r="O240" s="3480">
        <v>240252.32</v>
      </c>
      <c r="P240" s="1177"/>
    </row>
    <row r="241" spans="2:16" s="960" customFormat="1" ht="15.6">
      <c r="B241" s="2622">
        <v>55069</v>
      </c>
      <c r="C241" s="1167"/>
      <c r="D241" s="1171" t="s">
        <v>851</v>
      </c>
      <c r="E241" s="1169"/>
      <c r="F241" s="1169"/>
      <c r="G241" s="3480">
        <v>76054842.439999998</v>
      </c>
      <c r="H241" s="2227"/>
      <c r="I241" s="3480">
        <v>66918375.670000002</v>
      </c>
      <c r="J241" s="2227"/>
      <c r="K241" s="3480">
        <v>67425901.489999995</v>
      </c>
      <c r="L241" s="1711"/>
      <c r="M241" s="2227">
        <f t="shared" si="7"/>
        <v>272209.71999999997</v>
      </c>
      <c r="N241" s="1711"/>
      <c r="O241" s="3480">
        <v>67698111.209999993</v>
      </c>
      <c r="P241" s="1177"/>
    </row>
    <row r="242" spans="2:16" s="960" customFormat="1" ht="15.6">
      <c r="B242" s="1160">
        <v>55071</v>
      </c>
      <c r="C242" s="1167"/>
      <c r="D242" s="1171" t="s">
        <v>1044</v>
      </c>
      <c r="E242" s="1169"/>
      <c r="F242" s="1169"/>
      <c r="G242" s="3480">
        <v>65484.27</v>
      </c>
      <c r="H242" s="2227"/>
      <c r="I242" s="3480">
        <v>429476.06</v>
      </c>
      <c r="J242" s="2227"/>
      <c r="K242" s="3480">
        <v>0</v>
      </c>
      <c r="L242" s="1711"/>
      <c r="M242" s="2227">
        <f t="shared" si="7"/>
        <v>64887.77</v>
      </c>
      <c r="N242" s="1711"/>
      <c r="O242" s="3480">
        <v>64887.77</v>
      </c>
      <c r="P242" s="1177"/>
    </row>
    <row r="243" spans="2:16" s="960" customFormat="1" ht="15.6">
      <c r="B243" s="2622">
        <v>55072</v>
      </c>
      <c r="C243" s="1167"/>
      <c r="D243" s="1171" t="s">
        <v>1045</v>
      </c>
      <c r="E243" s="1169"/>
      <c r="F243" s="1169"/>
      <c r="G243" s="3480">
        <v>0</v>
      </c>
      <c r="H243" s="2227"/>
      <c r="I243" s="3480">
        <v>695318.77</v>
      </c>
      <c r="J243" s="2227"/>
      <c r="K243" s="3480">
        <v>1193477.74</v>
      </c>
      <c r="L243" s="1711"/>
      <c r="M243" s="2227">
        <f t="shared" si="7"/>
        <v>567953.5</v>
      </c>
      <c r="N243" s="1711"/>
      <c r="O243" s="3480">
        <v>1761431.24</v>
      </c>
      <c r="P243" s="1177"/>
    </row>
    <row r="244" spans="2:16" s="960" customFormat="1" ht="15.6">
      <c r="B244" s="1160">
        <v>55073</v>
      </c>
      <c r="C244" s="1167"/>
      <c r="D244" s="1171" t="s">
        <v>1046</v>
      </c>
      <c r="E244" s="1169"/>
      <c r="F244" s="1169"/>
      <c r="G244" s="3480">
        <v>0</v>
      </c>
      <c r="H244" s="2227"/>
      <c r="I244" s="3480">
        <v>0</v>
      </c>
      <c r="J244" s="2227"/>
      <c r="K244" s="3480">
        <v>0</v>
      </c>
      <c r="L244" s="1711"/>
      <c r="M244" s="2227">
        <f t="shared" si="7"/>
        <v>0</v>
      </c>
      <c r="N244" s="1711"/>
      <c r="O244" s="3480">
        <v>0</v>
      </c>
      <c r="P244" s="1177"/>
    </row>
    <row r="245" spans="2:16" s="960" customFormat="1" ht="15.6">
      <c r="B245" s="2622">
        <v>55251</v>
      </c>
      <c r="C245" s="1167"/>
      <c r="D245" s="1168" t="s">
        <v>852</v>
      </c>
      <c r="E245" s="1169"/>
      <c r="F245" s="1169"/>
      <c r="G245" s="3480">
        <v>7219218.4000000004</v>
      </c>
      <c r="H245" s="2227"/>
      <c r="I245" s="3480">
        <v>7497804.2400000002</v>
      </c>
      <c r="J245" s="2227"/>
      <c r="K245" s="3480">
        <v>8019700.54</v>
      </c>
      <c r="L245" s="1711"/>
      <c r="M245" s="2227">
        <f t="shared" si="7"/>
        <v>571045.80000000005</v>
      </c>
      <c r="N245" s="1711"/>
      <c r="O245" s="3480">
        <v>8590746.3399999999</v>
      </c>
      <c r="P245" s="1177"/>
    </row>
    <row r="246" spans="2:16" s="960" customFormat="1" ht="15.6">
      <c r="B246" s="2622">
        <v>55252</v>
      </c>
      <c r="C246" s="1167"/>
      <c r="D246" s="1171" t="s">
        <v>853</v>
      </c>
      <c r="E246" s="1169"/>
      <c r="F246" s="1169"/>
      <c r="G246" s="3480">
        <v>22138636.899999999</v>
      </c>
      <c r="H246" s="2227"/>
      <c r="I246" s="3480">
        <v>24542575.989999998</v>
      </c>
      <c r="J246" s="2227"/>
      <c r="K246" s="3480">
        <v>22450654</v>
      </c>
      <c r="L246" s="1711"/>
      <c r="M246" s="2227">
        <f t="shared" si="7"/>
        <v>-7699114.6299999999</v>
      </c>
      <c r="N246" s="1711"/>
      <c r="O246" s="3480">
        <v>14751539.369999999</v>
      </c>
      <c r="P246" s="1177"/>
    </row>
    <row r="247" spans="2:16" s="960" customFormat="1" ht="15.6">
      <c r="B247" s="2622">
        <v>55300</v>
      </c>
      <c r="C247" s="1167"/>
      <c r="D247" s="1168" t="s">
        <v>854</v>
      </c>
      <c r="E247" s="1169"/>
      <c r="F247" s="1169"/>
      <c r="G247" s="3480">
        <v>4835383.22</v>
      </c>
      <c r="H247" s="2227"/>
      <c r="I247" s="3480">
        <v>6809179.0800000001</v>
      </c>
      <c r="J247" s="2227"/>
      <c r="K247" s="3480">
        <v>1314472.96</v>
      </c>
      <c r="L247" s="1711"/>
      <c r="M247" s="2227">
        <f t="shared" si="7"/>
        <v>869961.09</v>
      </c>
      <c r="N247" s="1711"/>
      <c r="O247" s="3480">
        <v>2184434.0499999998</v>
      </c>
      <c r="P247" s="1177"/>
    </row>
    <row r="248" spans="2:16" s="960" customFormat="1" ht="15.6">
      <c r="B248" s="2622">
        <v>55301</v>
      </c>
      <c r="C248" s="1167"/>
      <c r="D248" s="1168" t="s">
        <v>855</v>
      </c>
      <c r="E248" s="1169"/>
      <c r="F248" s="1169"/>
      <c r="G248" s="3480">
        <v>9678558.9900000002</v>
      </c>
      <c r="H248" s="2227"/>
      <c r="I248" s="3480">
        <v>8007878.0800000001</v>
      </c>
      <c r="J248" s="2227"/>
      <c r="K248" s="3480">
        <v>6471128.2400000002</v>
      </c>
      <c r="L248" s="1711"/>
      <c r="M248" s="2227">
        <f t="shared" si="7"/>
        <v>-492022.18</v>
      </c>
      <c r="N248" s="1711"/>
      <c r="O248" s="3480">
        <v>5979106.0599999996</v>
      </c>
      <c r="P248" s="1177"/>
    </row>
    <row r="249" spans="2:16" s="960" customFormat="1" ht="15.6">
      <c r="B249" s="2622">
        <v>55350</v>
      </c>
      <c r="C249" s="1517"/>
      <c r="D249" s="1168" t="s">
        <v>856</v>
      </c>
      <c r="E249" s="1242"/>
      <c r="F249" s="1242"/>
      <c r="G249" s="3480">
        <v>28756211.199999999</v>
      </c>
      <c r="H249" s="2227"/>
      <c r="I249" s="3480">
        <v>29497344.68</v>
      </c>
      <c r="J249" s="2227"/>
      <c r="K249" s="3480">
        <v>33624944.280000001</v>
      </c>
      <c r="L249" s="1711"/>
      <c r="M249" s="2227">
        <f t="shared" si="7"/>
        <v>-98169.97</v>
      </c>
      <c r="N249" s="1711"/>
      <c r="O249" s="3480">
        <v>33526774.309999999</v>
      </c>
      <c r="P249" s="1177"/>
    </row>
    <row r="250" spans="2:16" s="960" customFormat="1" ht="16.2" thickBot="1">
      <c r="B250" s="1538"/>
      <c r="C250" s="1240"/>
      <c r="D250" s="2971" t="s">
        <v>857</v>
      </c>
      <c r="E250" s="1237"/>
      <c r="F250" s="1237"/>
      <c r="G250" s="2229">
        <f>ROUND(SUM(G208:G249),2)</f>
        <v>306804442.74000001</v>
      </c>
      <c r="H250" s="3489"/>
      <c r="I250" s="2229">
        <f>ROUND(SUM(I208:I249),2)</f>
        <v>310086479.07999998</v>
      </c>
      <c r="J250" s="3489"/>
      <c r="K250" s="2229">
        <f>ROUND(SUM(K208:K249),2)</f>
        <v>298962915.75999999</v>
      </c>
      <c r="L250" s="1559"/>
      <c r="M250" s="2229">
        <f>ROUND(SUM(M208:M249),2)</f>
        <v>10331732.85</v>
      </c>
      <c r="N250" s="1559"/>
      <c r="O250" s="2229">
        <f>ROUND(SUM(O208:O249),2)</f>
        <v>309294648.61000001</v>
      </c>
      <c r="P250" s="1177"/>
    </row>
    <row r="251" spans="2:16" s="960" customFormat="1" ht="16.2" thickTop="1">
      <c r="B251" s="1526"/>
      <c r="C251" s="1517"/>
      <c r="D251" s="1539"/>
      <c r="E251" s="1242"/>
      <c r="F251" s="1242"/>
      <c r="G251" s="2227"/>
      <c r="H251" s="2227"/>
      <c r="I251" s="2227"/>
      <c r="J251" s="2227"/>
      <c r="K251" s="2227"/>
      <c r="L251" s="1513"/>
      <c r="M251" s="2227"/>
      <c r="N251" s="1459"/>
      <c r="O251" s="2227"/>
      <c r="P251" s="1177"/>
    </row>
    <row r="252" spans="2:16" s="960" customFormat="1" ht="16.2" thickBot="1">
      <c r="B252" s="1526"/>
      <c r="C252" s="1517"/>
      <c r="D252" s="1539"/>
      <c r="E252" s="1242"/>
      <c r="F252" s="1242"/>
      <c r="G252" s="2227"/>
      <c r="H252" s="2227"/>
      <c r="I252" s="2227"/>
      <c r="J252" s="2227"/>
      <c r="K252" s="2227"/>
      <c r="L252" s="1513"/>
      <c r="M252" s="2227"/>
      <c r="N252" s="1459"/>
      <c r="O252" s="2227"/>
      <c r="P252" s="1177"/>
    </row>
    <row r="253" spans="2:16" s="960" customFormat="1" ht="16.2" thickBot="1">
      <c r="B253" s="1538"/>
      <c r="C253" s="1540"/>
      <c r="D253" s="1178" t="s">
        <v>858</v>
      </c>
      <c r="E253" s="1237"/>
      <c r="F253" s="1541"/>
      <c r="G253" s="2627">
        <f>ROUND(SUM(G11+G100+G181+G195+G200+G205+G250),2)</f>
        <v>5930113087.3599997</v>
      </c>
      <c r="H253" s="3492"/>
      <c r="I253" s="2627">
        <f>ROUND(SUM(I11+I100+I181+I195+I200+I205+I250),2)</f>
        <v>4888587732.6800003</v>
      </c>
      <c r="J253" s="3492"/>
      <c r="K253" s="2627">
        <f>ROUND(SUM(K11+K100+K181+K195+K200+K205+K250),2)</f>
        <v>4939470095.9300003</v>
      </c>
      <c r="L253" s="2628"/>
      <c r="M253" s="2627">
        <f>ROUND(SUM(M11+M100+M181+M195+M200+M205+M250),2)</f>
        <v>264049213.28</v>
      </c>
      <c r="N253" s="2628"/>
      <c r="O253" s="2627">
        <f>ROUND(SUM(O11+O100+O181+O195+O200+O205+O250),2)</f>
        <v>5203519309.21</v>
      </c>
      <c r="P253" s="1177"/>
    </row>
    <row r="254" spans="2:16" s="960" customFormat="1" ht="15.6">
      <c r="B254" s="1526"/>
      <c r="C254" s="1517"/>
      <c r="D254" s="1539"/>
      <c r="E254" s="1242"/>
      <c r="F254" s="1242"/>
      <c r="G254" s="2231"/>
      <c r="H254" s="1517"/>
      <c r="I254" s="2231"/>
      <c r="J254" s="1517"/>
      <c r="K254" s="2231"/>
      <c r="L254" s="1522"/>
      <c r="M254" s="2231"/>
      <c r="N254" s="1517"/>
      <c r="O254" s="2231"/>
      <c r="P254" s="1177"/>
    </row>
    <row r="255" spans="2:16" s="960" customFormat="1" ht="15.6">
      <c r="B255" s="2819" t="s">
        <v>943</v>
      </c>
      <c r="C255" s="3325" t="s">
        <v>1445</v>
      </c>
      <c r="D255" s="1662"/>
      <c r="E255" s="1552"/>
      <c r="F255" s="1552"/>
      <c r="G255" s="2232"/>
      <c r="H255" s="1241"/>
      <c r="I255" s="2232"/>
      <c r="J255" s="1241"/>
      <c r="K255" s="2232"/>
      <c r="L255" s="1241"/>
      <c r="M255" s="2232"/>
      <c r="N255" s="1241"/>
      <c r="O255" s="2232"/>
      <c r="P255" s="1177"/>
    </row>
    <row r="256" spans="2:16" s="960" customFormat="1" ht="15.6">
      <c r="B256" s="1542"/>
      <c r="C256" s="1256" t="s">
        <v>859</v>
      </c>
      <c r="D256" s="1660"/>
      <c r="E256" s="1256"/>
      <c r="F256" s="1256"/>
      <c r="G256" s="2232"/>
      <c r="H256" s="1241"/>
      <c r="I256" s="2232"/>
      <c r="J256" s="1241"/>
      <c r="K256" s="2232"/>
      <c r="L256" s="1241"/>
      <c r="M256" s="2232"/>
      <c r="N256" s="1241"/>
      <c r="O256" s="2232"/>
      <c r="P256" s="1177"/>
    </row>
    <row r="257" spans="2:16" s="960" customFormat="1" ht="15.6">
      <c r="B257" s="1542"/>
      <c r="C257" s="1256" t="s">
        <v>860</v>
      </c>
      <c r="D257" s="1659"/>
      <c r="E257" s="1256"/>
      <c r="F257" s="1256"/>
      <c r="G257" s="2233"/>
      <c r="H257" s="1246"/>
      <c r="I257" s="2233"/>
      <c r="J257" s="1246"/>
      <c r="K257" s="2233"/>
      <c r="L257" s="1246"/>
      <c r="M257" s="2233"/>
      <c r="N257" s="1246"/>
      <c r="O257" s="2233"/>
      <c r="P257" s="1177"/>
    </row>
    <row r="258" spans="2:16" s="960" customFormat="1" ht="15.6">
      <c r="B258" s="1542"/>
      <c r="C258" s="1256" t="s">
        <v>861</v>
      </c>
      <c r="D258" s="1659"/>
      <c r="E258" s="1256"/>
      <c r="F258" s="1256"/>
      <c r="G258" s="2233"/>
      <c r="H258" s="1246"/>
      <c r="I258" s="2233"/>
      <c r="J258" s="1246"/>
      <c r="K258" s="2233"/>
      <c r="L258" s="1246"/>
      <c r="M258" s="2233"/>
      <c r="N258" s="1246"/>
      <c r="O258" s="2233"/>
      <c r="P258" s="1177"/>
    </row>
    <row r="259" spans="2:16" s="960" customFormat="1" ht="15.6">
      <c r="B259" s="1542"/>
      <c r="C259" s="1256" t="s">
        <v>862</v>
      </c>
      <c r="D259" s="1659"/>
      <c r="E259" s="1256"/>
      <c r="F259" s="1256"/>
      <c r="G259" s="2234"/>
      <c r="H259" s="1543"/>
      <c r="I259" s="2234"/>
      <c r="J259" s="1543"/>
      <c r="K259" s="2234"/>
      <c r="L259" s="1543"/>
      <c r="M259" s="2234"/>
      <c r="N259" s="1543"/>
      <c r="O259" s="2234"/>
      <c r="P259" s="1177"/>
    </row>
    <row r="260" spans="2:16" s="960" customFormat="1" ht="15.6">
      <c r="B260" s="1179"/>
      <c r="C260" s="1256" t="s">
        <v>1369</v>
      </c>
      <c r="D260" s="1659"/>
      <c r="E260" s="1256"/>
      <c r="F260" s="1256"/>
      <c r="G260" s="2234"/>
      <c r="H260" s="1543"/>
      <c r="I260" s="2234"/>
      <c r="J260" s="1543"/>
      <c r="K260" s="2234"/>
      <c r="L260" s="1543"/>
      <c r="M260" s="2234"/>
      <c r="N260" s="1543"/>
      <c r="O260" s="2234"/>
      <c r="P260" s="1247"/>
    </row>
    <row r="261" spans="2:16" s="960" customFormat="1" ht="15.6">
      <c r="B261" s="1179"/>
      <c r="C261" s="1255" t="s">
        <v>944</v>
      </c>
      <c r="D261" s="1661"/>
      <c r="E261" s="1255"/>
      <c r="F261" s="1255"/>
      <c r="G261" s="2234"/>
      <c r="H261" s="1543"/>
      <c r="I261" s="2234"/>
      <c r="J261" s="1543"/>
      <c r="K261" s="2234"/>
      <c r="L261" s="1543"/>
      <c r="M261" s="2234"/>
      <c r="N261" s="1543"/>
      <c r="O261" s="2234"/>
      <c r="P261" s="1177"/>
    </row>
    <row r="262" spans="2:16" s="960" customFormat="1" ht="15.6">
      <c r="B262" s="1544" t="s">
        <v>116</v>
      </c>
      <c r="C262" s="1552" t="s">
        <v>1347</v>
      </c>
      <c r="D262" s="1662"/>
      <c r="E262" s="1255"/>
      <c r="F262" s="1255"/>
      <c r="G262" s="1548"/>
      <c r="H262" s="1551"/>
      <c r="I262" s="1548"/>
      <c r="J262" s="1551"/>
      <c r="K262" s="1548"/>
      <c r="L262" s="1549"/>
      <c r="M262" s="1550"/>
      <c r="N262" s="1551"/>
      <c r="O262" s="1548"/>
      <c r="P262" s="1242"/>
    </row>
    <row r="263" spans="2:16" s="960" customFormat="1" ht="15.6">
      <c r="B263" s="1557"/>
      <c r="C263" s="1548" t="s">
        <v>1348</v>
      </c>
      <c r="D263" s="1135"/>
      <c r="E263" s="1255"/>
      <c r="F263" s="1255"/>
      <c r="G263" s="1548"/>
      <c r="H263" s="1551"/>
      <c r="I263" s="1548"/>
      <c r="J263" s="1551"/>
      <c r="K263" s="1548"/>
      <c r="L263" s="1549"/>
      <c r="M263" s="1550"/>
      <c r="N263" s="1551"/>
      <c r="O263" s="1548"/>
      <c r="P263" s="1239"/>
    </row>
    <row r="264" spans="2:16" s="960" customFormat="1" ht="15.6">
      <c r="B264" s="1558" t="s">
        <v>942</v>
      </c>
      <c r="C264" s="1179" t="s">
        <v>1070</v>
      </c>
      <c r="D264" s="1135"/>
      <c r="E264" s="1553"/>
      <c r="F264" s="1554"/>
      <c r="G264" s="1545"/>
      <c r="H264" s="1556"/>
      <c r="I264" s="1545"/>
      <c r="J264" s="1556"/>
      <c r="K264" s="1545"/>
      <c r="L264" s="1555"/>
      <c r="M264" s="1546"/>
      <c r="N264" s="1556"/>
      <c r="O264" s="1545"/>
      <c r="P264" s="1238"/>
    </row>
    <row r="265" spans="2:16" s="960" customFormat="1" ht="15.6">
      <c r="B265" s="3326"/>
      <c r="C265" s="3325"/>
      <c r="D265" s="2822"/>
      <c r="E265" s="2823"/>
      <c r="F265" s="2823"/>
      <c r="G265" s="2824"/>
      <c r="H265" s="2824"/>
      <c r="I265" s="2824"/>
      <c r="J265" s="2824"/>
      <c r="K265" s="2824"/>
      <c r="L265" s="2824"/>
      <c r="M265" s="2824"/>
      <c r="N265" s="2824"/>
      <c r="O265" s="2824"/>
      <c r="P265" s="1255"/>
    </row>
    <row r="266" spans="2:16" s="960" customFormat="1" ht="15.6">
      <c r="E266" s="1553"/>
      <c r="F266" s="1553"/>
      <c r="G266" s="1547"/>
      <c r="H266" s="1246"/>
      <c r="I266" s="1547"/>
      <c r="J266" s="1246"/>
      <c r="K266" s="1547"/>
      <c r="L266" s="1549"/>
      <c r="M266" s="1239"/>
      <c r="N266" s="1246"/>
      <c r="O266" s="1547"/>
      <c r="P266" s="1255"/>
    </row>
    <row r="267" spans="2:16" s="960" customFormat="1" ht="15.6">
      <c r="B267" s="1258"/>
      <c r="C267" s="1180"/>
      <c r="D267" s="1321"/>
      <c r="E267" s="1256"/>
      <c r="F267" s="1256"/>
      <c r="G267" s="3354"/>
      <c r="H267" s="3354"/>
      <c r="I267" s="3354"/>
      <c r="J267" s="3354"/>
      <c r="K267" s="3354"/>
      <c r="L267" s="3354"/>
      <c r="M267" s="3354"/>
      <c r="N267" s="3354"/>
      <c r="O267" s="3354"/>
      <c r="P267" s="1255"/>
    </row>
    <row r="268" spans="2:16" s="960" customFormat="1" ht="15.6">
      <c r="C268" s="1180"/>
      <c r="D268" s="1239"/>
      <c r="E268" s="1254"/>
      <c r="F268" s="1254"/>
      <c r="G268" s="1239"/>
      <c r="H268" s="1246"/>
      <c r="I268" s="1239"/>
      <c r="J268" s="1246"/>
      <c r="K268" s="1239"/>
      <c r="L268" s="1246"/>
      <c r="M268" s="1239"/>
      <c r="N268" s="1246"/>
      <c r="O268" s="1239"/>
      <c r="P268" s="1255"/>
    </row>
    <row r="269" spans="2:16" s="960" customFormat="1" ht="15.6">
      <c r="C269" s="1180"/>
      <c r="D269" s="1239"/>
      <c r="E269" s="1256"/>
      <c r="F269" s="1256"/>
      <c r="G269" s="1239"/>
      <c r="H269" s="1246"/>
      <c r="I269" s="1239"/>
      <c r="J269" s="1246"/>
      <c r="K269" s="1239"/>
      <c r="L269" s="1181"/>
      <c r="M269" s="1239"/>
      <c r="N269" s="1246"/>
      <c r="O269" s="1239"/>
      <c r="P269" s="1255"/>
    </row>
    <row r="270" spans="2:16" s="960" customFormat="1" ht="15.6">
      <c r="B270" s="1180"/>
      <c r="C270" s="1180"/>
      <c r="D270" s="1239"/>
      <c r="E270" s="1256"/>
      <c r="F270" s="1256"/>
      <c r="G270" s="1239"/>
      <c r="H270" s="1246"/>
      <c r="I270" s="1239"/>
      <c r="J270" s="1246"/>
      <c r="K270" s="1239"/>
      <c r="L270" s="1181"/>
      <c r="M270" s="1239"/>
      <c r="N270" s="1246"/>
      <c r="O270" s="1239"/>
      <c r="P270" s="1255"/>
    </row>
    <row r="271" spans="2:16" s="960" customFormat="1" ht="15.6">
      <c r="B271" s="1180"/>
      <c r="C271" s="1180"/>
      <c r="D271" s="1239"/>
      <c r="E271" s="1256"/>
      <c r="F271" s="1256"/>
      <c r="G271" s="1239"/>
      <c r="H271" s="1246"/>
      <c r="I271" s="1239"/>
      <c r="J271" s="1246"/>
      <c r="K271" s="1239"/>
      <c r="L271" s="1181"/>
      <c r="M271" s="1239"/>
      <c r="N271" s="1246"/>
      <c r="O271" s="1239"/>
      <c r="P271" s="1255"/>
    </row>
    <row r="272" spans="2:16" s="960" customFormat="1" ht="15.6">
      <c r="B272" s="1257"/>
      <c r="C272" s="1255"/>
      <c r="D272" s="1239"/>
      <c r="E272" s="1256"/>
      <c r="F272" s="1256"/>
      <c r="G272" s="1239"/>
      <c r="H272" s="1246"/>
      <c r="I272" s="1239"/>
      <c r="J272" s="1246"/>
      <c r="K272" s="1239"/>
      <c r="L272" s="1246"/>
      <c r="M272" s="1239"/>
      <c r="N272" s="1246"/>
      <c r="O272" s="1239"/>
      <c r="P272" s="1258"/>
    </row>
    <row r="273" spans="2:16" s="960" customFormat="1" ht="15.6">
      <c r="B273" s="1182"/>
      <c r="C273" s="1255"/>
      <c r="D273" s="1239"/>
      <c r="E273" s="1256"/>
      <c r="F273" s="1256"/>
      <c r="G273" s="1239"/>
      <c r="H273" s="1246"/>
      <c r="I273" s="1239"/>
      <c r="J273" s="1246"/>
      <c r="K273" s="1239"/>
      <c r="L273" s="1246"/>
      <c r="M273" s="1239"/>
      <c r="N273" s="1246"/>
      <c r="O273" s="1239"/>
      <c r="P273" s="1258"/>
    </row>
    <row r="274" spans="2:16" s="960" customFormat="1" ht="15.6">
      <c r="B274" s="1182"/>
      <c r="C274" s="1255"/>
      <c r="D274" s="1239"/>
      <c r="E274" s="1256"/>
      <c r="F274" s="1256"/>
      <c r="G274" s="1135"/>
      <c r="H274" s="1241"/>
      <c r="I274" s="1135"/>
      <c r="J274" s="1241"/>
      <c r="K274" s="1135"/>
      <c r="L274" s="1246"/>
      <c r="M274" s="1135"/>
      <c r="N274" s="1241"/>
      <c r="O274" s="1135"/>
      <c r="P274" s="1258"/>
    </row>
    <row r="275" spans="2:16" s="960" customFormat="1" ht="15.6">
      <c r="B275" s="1258"/>
      <c r="C275" s="1255"/>
      <c r="D275" s="1239"/>
      <c r="E275"/>
      <c r="F275" s="1259"/>
      <c r="G275" s="1135"/>
      <c r="H275" s="1241"/>
      <c r="I275" s="1135"/>
      <c r="J275" s="1241"/>
      <c r="K275" s="1135"/>
      <c r="L275" s="1241"/>
      <c r="M275" s="1135"/>
      <c r="N275" s="1241"/>
      <c r="O275" s="1135"/>
      <c r="P275" s="1258"/>
    </row>
    <row r="276" spans="2:16" s="960" customFormat="1" ht="15.6">
      <c r="B276" s="1258"/>
      <c r="C276" s="1255"/>
      <c r="D276" s="1239"/>
      <c r="E276"/>
      <c r="F276" s="1259"/>
      <c r="G276" s="1183"/>
      <c r="H276" s="1260"/>
      <c r="I276" s="1183"/>
      <c r="J276" s="1260"/>
      <c r="K276" s="1183"/>
      <c r="L276" s="1241"/>
      <c r="M276" s="1183"/>
      <c r="N276" s="1260"/>
      <c r="O276" s="1183"/>
      <c r="P276" s="1258"/>
    </row>
    <row r="277" spans="2:16" ht="15.6">
      <c r="B277" s="1258"/>
      <c r="C277" s="1255"/>
      <c r="D277" s="1239"/>
      <c r="E277"/>
      <c r="F277" s="1259"/>
      <c r="G277" s="1135"/>
      <c r="H277" s="1241"/>
      <c r="I277" s="1135"/>
      <c r="J277" s="1241"/>
      <c r="K277" s="1135"/>
      <c r="L277" s="1241"/>
      <c r="M277" s="1135"/>
      <c r="N277" s="1241"/>
      <c r="O277" s="1135"/>
      <c r="P277" s="1258"/>
    </row>
    <row r="283" spans="2:16" ht="15.6">
      <c r="C283" s="2223"/>
      <c r="D283" s="1710"/>
      <c r="E283" s="2223"/>
      <c r="F283" s="2224"/>
      <c r="L283" s="2236"/>
    </row>
    <row r="284" spans="2:16" ht="15.6">
      <c r="C284" s="2223"/>
      <c r="D284" s="1710"/>
      <c r="E284" s="2223"/>
      <c r="F284" s="2224"/>
      <c r="L284" s="2236"/>
    </row>
    <row r="285" spans="2:16" ht="15.6">
      <c r="C285" s="2223"/>
      <c r="D285" s="1710"/>
      <c r="E285" s="2223"/>
      <c r="F285" s="2224"/>
      <c r="L285" s="2236"/>
    </row>
    <row r="286" spans="2:16" ht="15.6">
      <c r="C286" s="2223"/>
      <c r="D286" s="1710"/>
      <c r="E286" s="2223"/>
      <c r="F286" s="2224"/>
      <c r="L286" s="2236"/>
    </row>
    <row r="287" spans="2:16" ht="15.6">
      <c r="C287" s="2223"/>
      <c r="D287" s="1710"/>
      <c r="E287" s="2223"/>
      <c r="F287" s="2224"/>
      <c r="L287" s="2236"/>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4"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3" customWidth="1"/>
    <col min="2" max="2" width="13.81640625" style="2907" customWidth="1"/>
    <col min="3" max="3" width="1.81640625" style="2907" customWidth="1"/>
    <col min="4" max="4" width="13.81640625" style="2907" customWidth="1"/>
    <col min="5" max="5" width="1.6328125" style="2906" customWidth="1"/>
    <col min="6" max="6" width="13.81640625" style="2907" customWidth="1"/>
    <col min="7" max="7" width="1.6328125" style="2906" customWidth="1"/>
    <col min="8" max="8" width="13.81640625" style="2907" customWidth="1"/>
    <col min="9" max="9" width="1.6328125" style="2906" customWidth="1"/>
    <col min="10" max="10" width="13.81640625" style="2907" customWidth="1"/>
    <col min="11" max="11" width="1.6328125" style="2907" customWidth="1"/>
    <col min="12" max="12" width="13.81640625" style="2907" customWidth="1"/>
    <col min="13" max="13" width="1.6328125" style="2906" customWidth="1"/>
    <col min="14" max="14" width="13.81640625" style="2907" customWidth="1"/>
    <col min="15" max="15" width="1.6328125" style="2906" customWidth="1"/>
    <col min="16" max="16" width="13.81640625" style="2907" customWidth="1"/>
    <col min="17" max="17" width="1.6328125" style="2906" customWidth="1"/>
    <col min="18" max="18" width="13.81640625" style="2907" customWidth="1"/>
    <col min="19" max="19" width="1.6328125" style="2906" customWidth="1"/>
    <col min="20" max="20" width="13.81640625" style="2907" customWidth="1"/>
    <col min="21" max="21" width="1.6328125" style="2906" customWidth="1"/>
    <col min="22" max="22" width="13.81640625" style="2907" customWidth="1"/>
    <col min="23" max="23" width="1.6328125" style="2906" customWidth="1"/>
    <col min="24" max="24" width="13.81640625" style="2907" customWidth="1"/>
    <col min="25" max="25" width="1.6328125" style="2906" customWidth="1"/>
    <col min="26" max="26" width="18.906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734" t="s">
        <v>1066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row>
    <row r="2" spans="1:40" ht="15">
      <c r="A2" s="1734"/>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row>
    <row r="3" spans="1:40" ht="24" customHeight="1">
      <c r="A3" s="1561" t="s">
        <v>0</v>
      </c>
      <c r="B3" s="920"/>
      <c r="C3" s="920"/>
      <c r="D3" s="921"/>
      <c r="E3" s="922"/>
      <c r="F3" s="921"/>
      <c r="G3" s="922"/>
      <c r="H3" s="921"/>
      <c r="I3" s="922"/>
      <c r="K3" s="920"/>
      <c r="L3" s="759"/>
      <c r="M3" s="920"/>
      <c r="N3" s="921"/>
      <c r="O3" s="922"/>
      <c r="P3" s="921"/>
      <c r="Q3" s="922"/>
      <c r="R3" s="921"/>
      <c r="S3" s="922"/>
      <c r="T3" s="921"/>
      <c r="U3" s="922"/>
      <c r="V3" s="921"/>
      <c r="W3" s="922"/>
      <c r="X3" s="921"/>
      <c r="Y3" s="922"/>
      <c r="Z3" s="1495" t="s">
        <v>641</v>
      </c>
      <c r="AA3" s="920"/>
      <c r="AC3" s="920"/>
      <c r="AE3" s="920"/>
    </row>
    <row r="4" spans="1:40" ht="16.8">
      <c r="A4" s="1561" t="s">
        <v>1341</v>
      </c>
      <c r="B4" s="2349"/>
      <c r="C4" s="2349"/>
      <c r="D4" s="924"/>
      <c r="E4" s="922"/>
      <c r="F4" s="2349"/>
      <c r="G4" s="922"/>
      <c r="H4" s="2349"/>
      <c r="I4" s="922"/>
      <c r="J4" s="2349"/>
      <c r="K4" s="2349"/>
      <c r="L4" s="2349"/>
      <c r="M4" s="925"/>
      <c r="N4" s="2349"/>
      <c r="O4" s="922"/>
      <c r="P4" s="2349"/>
      <c r="Q4" s="922"/>
      <c r="R4" s="2349"/>
      <c r="S4" s="922"/>
      <c r="T4" s="2349"/>
      <c r="U4" s="922"/>
      <c r="V4" s="2349"/>
      <c r="W4" s="922"/>
      <c r="X4" s="2349"/>
      <c r="Y4" s="922"/>
      <c r="Z4" s="2350"/>
      <c r="AA4" s="926"/>
      <c r="AC4" s="920"/>
    </row>
    <row r="5" spans="1:40" ht="16.8">
      <c r="A5" s="1562" t="s">
        <v>1273</v>
      </c>
      <c r="B5" s="2349"/>
      <c r="C5" s="2349"/>
      <c r="D5" s="2349"/>
      <c r="E5" s="922"/>
      <c r="F5" s="2349"/>
      <c r="G5" s="922"/>
      <c r="H5" s="2349"/>
      <c r="I5" s="922"/>
      <c r="J5" s="2349"/>
      <c r="K5" s="2349"/>
      <c r="L5" s="2349"/>
      <c r="M5" s="925"/>
      <c r="N5" s="2349"/>
      <c r="O5" s="922"/>
      <c r="P5" s="2349"/>
      <c r="Q5" s="922"/>
      <c r="R5" s="2349"/>
      <c r="S5" s="922"/>
      <c r="T5" s="2349"/>
      <c r="U5" s="922"/>
      <c r="V5" s="2349"/>
      <c r="W5" s="922"/>
      <c r="X5" s="2349"/>
      <c r="Y5" s="922"/>
      <c r="Z5" s="2350"/>
    </row>
    <row r="6" spans="1:40" ht="18" customHeight="1">
      <c r="A6" s="927" t="s">
        <v>1437</v>
      </c>
      <c r="B6" s="2349"/>
      <c r="C6" s="2349"/>
      <c r="D6" s="929"/>
      <c r="E6" s="922"/>
      <c r="F6" s="2349"/>
      <c r="G6" s="922"/>
      <c r="H6" s="2349"/>
      <c r="I6" s="922"/>
      <c r="J6" s="2349"/>
      <c r="K6" s="2349"/>
      <c r="L6" s="2349"/>
      <c r="M6" s="925"/>
      <c r="N6" s="2349"/>
      <c r="O6" s="922"/>
      <c r="P6" s="2349"/>
      <c r="Q6" s="922"/>
      <c r="R6" s="2349"/>
      <c r="S6" s="922"/>
      <c r="T6" s="2349"/>
      <c r="U6" s="922"/>
      <c r="V6" s="2349"/>
      <c r="W6" s="922"/>
      <c r="X6" s="2349"/>
      <c r="Y6" s="922"/>
      <c r="Z6" s="2350"/>
    </row>
    <row r="7" spans="1:40" ht="15" customHeight="1">
      <c r="A7" s="928"/>
      <c r="B7" s="2349"/>
      <c r="C7" s="2349"/>
      <c r="D7" s="2349"/>
      <c r="E7" s="922"/>
      <c r="F7" s="2349"/>
      <c r="G7" s="922"/>
      <c r="H7" s="2349"/>
      <c r="I7" s="922"/>
      <c r="J7" s="2349"/>
      <c r="K7" s="2349"/>
      <c r="L7" s="2349"/>
      <c r="M7" s="925"/>
      <c r="N7" s="2349"/>
      <c r="O7" s="922"/>
      <c r="P7" s="2349"/>
      <c r="Q7" s="922"/>
      <c r="R7" s="2351"/>
      <c r="S7" s="922"/>
      <c r="T7" s="2351"/>
      <c r="U7" s="922"/>
      <c r="V7" s="2351"/>
      <c r="W7" s="922"/>
      <c r="X7" s="2351"/>
      <c r="Y7" s="922"/>
      <c r="Z7" s="2350"/>
    </row>
    <row r="8" spans="1:40" ht="15.6">
      <c r="A8" s="919"/>
      <c r="B8" s="2349"/>
      <c r="C8" s="2349"/>
      <c r="D8" s="2349"/>
      <c r="E8" s="922"/>
      <c r="F8" s="2349"/>
      <c r="G8" s="922"/>
      <c r="H8" s="2349"/>
      <c r="I8" s="922"/>
      <c r="J8" s="2349"/>
      <c r="K8" s="2349"/>
      <c r="L8" s="2349"/>
      <c r="M8" s="922"/>
      <c r="N8" s="2349"/>
      <c r="O8" s="922"/>
      <c r="P8" s="2349"/>
      <c r="Q8" s="922"/>
      <c r="R8" s="2349"/>
      <c r="S8" s="922"/>
      <c r="T8" s="2349"/>
      <c r="U8" s="922"/>
      <c r="V8" s="2349"/>
      <c r="W8" s="922"/>
      <c r="X8" s="2349"/>
      <c r="Y8" s="922"/>
      <c r="Z8" s="930"/>
      <c r="AA8" s="931"/>
    </row>
    <row r="9" spans="1:40" ht="15" customHeight="1">
      <c r="A9" s="2352"/>
      <c r="B9" s="1696">
        <v>2017</v>
      </c>
      <c r="C9" s="932"/>
      <c r="D9" s="932"/>
      <c r="E9" s="925"/>
      <c r="F9" s="932"/>
      <c r="G9" s="925"/>
      <c r="H9" s="932"/>
      <c r="I9" s="925"/>
      <c r="J9" s="932"/>
      <c r="K9" s="932"/>
      <c r="L9" s="933"/>
      <c r="M9" s="925"/>
      <c r="N9" s="933"/>
      <c r="O9" s="925"/>
      <c r="P9" s="933"/>
      <c r="Q9" s="925"/>
      <c r="R9" s="933"/>
      <c r="S9" s="925"/>
      <c r="T9" s="1696">
        <v>2018</v>
      </c>
      <c r="U9" s="925"/>
      <c r="V9" s="933"/>
      <c r="W9" s="925"/>
      <c r="X9" s="933"/>
      <c r="Y9" s="925"/>
      <c r="Z9" s="934" t="s">
        <v>1565</v>
      </c>
      <c r="AA9" s="934"/>
    </row>
    <row r="10" spans="1:40" ht="15" customHeight="1">
      <c r="A10" s="235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43131</v>
      </c>
      <c r="AA10" s="938"/>
    </row>
    <row r="11" spans="1:40" ht="15" customHeight="1">
      <c r="A11" s="2352"/>
      <c r="B11" s="2919" t="s">
        <v>15</v>
      </c>
      <c r="C11" s="2354"/>
      <c r="D11" s="2919" t="s">
        <v>15</v>
      </c>
      <c r="E11" s="2355"/>
      <c r="F11" s="2919" t="s">
        <v>15</v>
      </c>
      <c r="G11" s="2355"/>
      <c r="H11" s="2919" t="s">
        <v>15</v>
      </c>
      <c r="I11" s="2355"/>
      <c r="J11" s="2919" t="s">
        <v>15</v>
      </c>
      <c r="K11" s="937"/>
      <c r="L11" s="2919" t="s">
        <v>15</v>
      </c>
      <c r="M11" s="2355"/>
      <c r="N11" s="2919" t="s">
        <v>15</v>
      </c>
      <c r="O11" s="2355"/>
      <c r="P11" s="2919" t="s">
        <v>15</v>
      </c>
      <c r="Q11" s="2355"/>
      <c r="R11" s="2919" t="s">
        <v>15</v>
      </c>
      <c r="S11" s="2355"/>
      <c r="T11" s="2919" t="s">
        <v>15</v>
      </c>
      <c r="U11" s="2355"/>
      <c r="V11" s="2919" t="s">
        <v>15</v>
      </c>
      <c r="W11" s="2355"/>
      <c r="X11" s="2919" t="s">
        <v>15</v>
      </c>
      <c r="Y11" s="2355"/>
      <c r="Z11" s="2918"/>
      <c r="AB11" s="939"/>
      <c r="AC11" s="939"/>
      <c r="AD11" s="939"/>
      <c r="AE11" s="939"/>
      <c r="AF11" s="939"/>
      <c r="AG11" s="939"/>
      <c r="AH11" s="939"/>
      <c r="AI11" s="939"/>
      <c r="AJ11" s="939"/>
      <c r="AK11" s="939"/>
      <c r="AL11" s="939"/>
      <c r="AM11" s="939"/>
      <c r="AN11" s="939"/>
    </row>
    <row r="12" spans="1:40" s="944" customFormat="1" ht="15" customHeight="1">
      <c r="A12" s="1563" t="s">
        <v>485</v>
      </c>
      <c r="B12" s="940">
        <v>82648114</v>
      </c>
      <c r="C12" s="941"/>
      <c r="D12" s="940">
        <f>B42</f>
        <v>78337543</v>
      </c>
      <c r="E12" s="2357"/>
      <c r="F12" s="940">
        <f>D42</f>
        <v>156014946</v>
      </c>
      <c r="G12" s="2357"/>
      <c r="H12" s="940">
        <f>F42</f>
        <v>207558719</v>
      </c>
      <c r="I12" s="2357"/>
      <c r="J12" s="940">
        <f>H42</f>
        <v>216339642</v>
      </c>
      <c r="K12" s="942"/>
      <c r="L12" s="940">
        <f>J42</f>
        <v>178926646</v>
      </c>
      <c r="M12" s="943"/>
      <c r="N12" s="940">
        <f>L42</f>
        <v>143041643</v>
      </c>
      <c r="O12" s="940"/>
      <c r="P12" s="940">
        <f>N42</f>
        <v>126490903</v>
      </c>
      <c r="Q12" s="940"/>
      <c r="R12" s="940">
        <f>P42</f>
        <v>171336013</v>
      </c>
      <c r="S12" s="940"/>
      <c r="T12" s="940">
        <f>R42</f>
        <v>228309760</v>
      </c>
      <c r="U12" s="940"/>
      <c r="V12" s="940"/>
      <c r="W12" s="940"/>
      <c r="X12" s="940"/>
      <c r="Y12" s="940"/>
      <c r="Z12" s="940">
        <f>+B12</f>
        <v>82648114</v>
      </c>
    </row>
    <row r="13" spans="1:40" ht="15" customHeight="1">
      <c r="A13" s="2358"/>
      <c r="B13" s="2359"/>
      <c r="C13" s="2360"/>
      <c r="D13" s="2359"/>
      <c r="E13" s="2359"/>
      <c r="F13" s="2359"/>
      <c r="G13" s="2359"/>
      <c r="H13" s="2359"/>
      <c r="I13" s="2359"/>
      <c r="J13" s="2359"/>
      <c r="K13" s="937"/>
      <c r="L13" s="2359"/>
      <c r="M13" s="2359"/>
      <c r="N13" s="2359"/>
      <c r="O13" s="2359"/>
      <c r="P13" s="2359"/>
      <c r="Q13" s="2359"/>
      <c r="R13" s="2359"/>
      <c r="S13" s="2359"/>
      <c r="T13" s="2359"/>
      <c r="U13" s="2359"/>
      <c r="V13" s="2359"/>
      <c r="W13" s="2359"/>
      <c r="X13" s="2359"/>
      <c r="Y13" s="2359"/>
      <c r="Z13" s="2361"/>
    </row>
    <row r="14" spans="1:40" ht="15" customHeight="1">
      <c r="A14" s="945" t="s">
        <v>14</v>
      </c>
      <c r="B14" s="2359"/>
      <c r="C14" s="2360"/>
      <c r="D14" s="2359"/>
      <c r="E14" s="2359"/>
      <c r="F14" s="2359"/>
      <c r="G14" s="2359"/>
      <c r="H14" s="2359"/>
      <c r="I14" s="2359"/>
      <c r="J14" s="2359"/>
      <c r="K14" s="2359"/>
      <c r="L14" s="2359"/>
      <c r="M14" s="2359"/>
      <c r="N14" s="2359"/>
      <c r="O14" s="2359"/>
      <c r="P14" s="2359"/>
      <c r="Q14" s="2359"/>
      <c r="R14" s="2359"/>
      <c r="S14" s="2359"/>
      <c r="T14" s="2359"/>
      <c r="U14" s="2359"/>
      <c r="V14" s="2359"/>
      <c r="W14" s="2359"/>
      <c r="X14" s="2359"/>
      <c r="Y14" s="2359"/>
      <c r="Z14" s="2361"/>
    </row>
    <row r="15" spans="1:40" ht="15" customHeight="1">
      <c r="A15" s="1565" t="s">
        <v>1340</v>
      </c>
      <c r="B15" s="2362">
        <v>50000000</v>
      </c>
      <c r="C15" s="2363"/>
      <c r="D15" s="2362">
        <v>100000000</v>
      </c>
      <c r="E15" s="2362"/>
      <c r="F15" s="2362">
        <v>155000000</v>
      </c>
      <c r="G15" s="2362"/>
      <c r="H15" s="2362">
        <v>75000000</v>
      </c>
      <c r="I15" s="2362"/>
      <c r="J15" s="2362">
        <v>75000000</v>
      </c>
      <c r="K15" s="2362"/>
      <c r="L15" s="2362">
        <v>150000000</v>
      </c>
      <c r="M15" s="2359"/>
      <c r="N15" s="2362">
        <v>81700000</v>
      </c>
      <c r="O15" s="2362"/>
      <c r="P15" s="2362">
        <v>90000000</v>
      </c>
      <c r="Q15" s="2362"/>
      <c r="R15" s="2362">
        <v>195216000</v>
      </c>
      <c r="S15" s="2362"/>
      <c r="T15" s="2362">
        <v>0</v>
      </c>
      <c r="U15" s="2362"/>
      <c r="V15" s="2362"/>
      <c r="W15" s="2362"/>
      <c r="X15" s="2362"/>
      <c r="Y15" s="2362"/>
      <c r="Z15" s="2364">
        <f>ROUND(SUM(B15:X15),0)</f>
        <v>971916000</v>
      </c>
    </row>
    <row r="16" spans="1:40" s="944" customFormat="1" ht="22.5" customHeight="1">
      <c r="A16" s="945" t="s">
        <v>154</v>
      </c>
      <c r="B16" s="2917">
        <f>ROUND(SUM(B15:B15),0)</f>
        <v>50000000</v>
      </c>
      <c r="C16" s="947"/>
      <c r="D16" s="2917">
        <f>ROUND(SUM(D15:D15),0)</f>
        <v>100000000</v>
      </c>
      <c r="E16" s="948"/>
      <c r="F16" s="2917">
        <f>ROUND(SUM(F15:F15),0)</f>
        <v>155000000</v>
      </c>
      <c r="G16" s="948"/>
      <c r="H16" s="2917">
        <f>ROUND(SUM(H15:H15),0)</f>
        <v>75000000</v>
      </c>
      <c r="I16" s="948"/>
      <c r="J16" s="2917">
        <f>ROUND(SUM(J15:J15),0)</f>
        <v>75000000</v>
      </c>
      <c r="K16" s="950"/>
      <c r="L16" s="2917">
        <f>ROUND(SUM(L15:L15),0)</f>
        <v>150000000</v>
      </c>
      <c r="M16" s="943"/>
      <c r="N16" s="2917">
        <f>ROUND(SUM(N15:N15),0)</f>
        <v>81700000</v>
      </c>
      <c r="O16" s="948"/>
      <c r="P16" s="2917">
        <f>ROUND(SUM(P15:P15),0)</f>
        <v>90000000</v>
      </c>
      <c r="Q16" s="948"/>
      <c r="R16" s="2917">
        <f>ROUND(SUM(R15:R15),0)</f>
        <v>195216000</v>
      </c>
      <c r="S16" s="948"/>
      <c r="T16" s="2917">
        <f>ROUND(SUM(T15:T15),0)</f>
        <v>0</v>
      </c>
      <c r="U16" s="948"/>
      <c r="V16" s="2917">
        <f>ROUND(SUM(V15:V15),0)</f>
        <v>0</v>
      </c>
      <c r="W16" s="948"/>
      <c r="X16" s="2917">
        <f>ROUND(SUM(X15:X15),0)</f>
        <v>0</v>
      </c>
      <c r="Y16" s="948"/>
      <c r="Z16" s="2917">
        <f>ROUND(SUM(Z15:Z15),0)</f>
        <v>971916000</v>
      </c>
      <c r="AB16" s="761"/>
    </row>
    <row r="17" spans="1:26" ht="15" customHeight="1">
      <c r="A17" s="2358"/>
      <c r="B17" s="2362"/>
      <c r="C17" s="2363"/>
      <c r="D17" s="2362"/>
      <c r="E17" s="2362"/>
      <c r="F17" s="2362"/>
      <c r="G17" s="2362"/>
      <c r="H17" s="2362"/>
      <c r="I17" s="2362"/>
      <c r="J17" s="2362"/>
      <c r="K17" s="2362"/>
      <c r="L17" s="2362"/>
      <c r="M17" s="2359"/>
      <c r="N17" s="2362"/>
      <c r="O17" s="2362"/>
      <c r="P17" s="2362"/>
      <c r="Q17" s="2362"/>
      <c r="R17" s="2362"/>
      <c r="S17" s="2362"/>
      <c r="T17" s="2362"/>
      <c r="U17" s="2362"/>
      <c r="V17" s="2362"/>
      <c r="W17" s="2362"/>
      <c r="X17" s="2362"/>
      <c r="Y17" s="2362"/>
      <c r="Z17" s="2372"/>
    </row>
    <row r="18" spans="1:26" ht="15" customHeight="1">
      <c r="A18" s="945" t="s">
        <v>23</v>
      </c>
      <c r="B18" s="2362"/>
      <c r="C18" s="2363"/>
      <c r="D18" s="2362"/>
      <c r="E18" s="2362"/>
      <c r="F18" s="2362"/>
      <c r="G18" s="2362"/>
      <c r="H18" s="2362"/>
      <c r="I18" s="2362"/>
      <c r="J18" s="2362"/>
      <c r="K18" s="2362"/>
      <c r="L18" s="2362"/>
      <c r="M18" s="2359"/>
      <c r="N18" s="2362"/>
      <c r="O18" s="2362"/>
      <c r="P18" s="2362"/>
      <c r="Q18" s="2362"/>
      <c r="R18" s="2362"/>
      <c r="S18" s="2362"/>
      <c r="T18" s="2362"/>
      <c r="U18" s="2362"/>
      <c r="V18" s="2362"/>
      <c r="W18" s="2362"/>
      <c r="X18" s="2362"/>
      <c r="Y18" s="2362"/>
      <c r="Z18" s="2372"/>
    </row>
    <row r="19" spans="1:26" ht="15" customHeight="1">
      <c r="A19" s="1565" t="s">
        <v>1432</v>
      </c>
      <c r="B19" s="2362">
        <v>42537265</v>
      </c>
      <c r="C19" s="2363"/>
      <c r="D19" s="2362">
        <v>6383689</v>
      </c>
      <c r="E19" s="2362"/>
      <c r="F19" s="2362">
        <v>8705572</v>
      </c>
      <c r="G19" s="2362"/>
      <c r="H19" s="2362">
        <v>0</v>
      </c>
      <c r="I19" s="2362"/>
      <c r="J19" s="2362">
        <v>0</v>
      </c>
      <c r="K19" s="2362"/>
      <c r="L19" s="2362">
        <v>18741165</v>
      </c>
      <c r="M19" s="2359"/>
      <c r="N19" s="2362">
        <v>22550000</v>
      </c>
      <c r="O19" s="2362"/>
      <c r="P19" s="2362">
        <v>4450000</v>
      </c>
      <c r="Q19" s="2362"/>
      <c r="R19" s="2362">
        <v>15500000</v>
      </c>
      <c r="S19" s="2362"/>
      <c r="T19" s="2362">
        <v>12000000</v>
      </c>
      <c r="U19" s="2362"/>
      <c r="V19" s="2362"/>
      <c r="W19" s="2362"/>
      <c r="X19" s="2362"/>
      <c r="Y19" s="2362"/>
      <c r="Z19" s="2364">
        <f t="shared" ref="Z19:Z33" si="0">ROUND(SUM(B19:X19),0)</f>
        <v>130867691</v>
      </c>
    </row>
    <row r="20" spans="1:26" ht="15" customHeight="1">
      <c r="A20" s="1565" t="s">
        <v>1339</v>
      </c>
      <c r="B20" s="2373">
        <v>0</v>
      </c>
      <c r="C20" s="2374"/>
      <c r="D20" s="2362">
        <v>1224698</v>
      </c>
      <c r="E20" s="2373"/>
      <c r="F20" s="2373">
        <v>1018330</v>
      </c>
      <c r="G20" s="2373"/>
      <c r="H20" s="2373">
        <v>146236</v>
      </c>
      <c r="I20" s="2373"/>
      <c r="J20" s="2373">
        <v>1435029</v>
      </c>
      <c r="K20" s="2373"/>
      <c r="L20" s="2373">
        <v>114644</v>
      </c>
      <c r="M20" s="2375"/>
      <c r="N20" s="2373">
        <v>0</v>
      </c>
      <c r="O20" s="2373"/>
      <c r="P20" s="2373">
        <v>2687664</v>
      </c>
      <c r="Q20" s="2373"/>
      <c r="R20" s="2373">
        <v>3707040</v>
      </c>
      <c r="S20" s="2373"/>
      <c r="T20" s="2373">
        <v>1522874</v>
      </c>
      <c r="U20" s="2373"/>
      <c r="V20" s="2373"/>
      <c r="W20" s="2373"/>
      <c r="X20" s="2373"/>
      <c r="Y20" s="2373"/>
      <c r="Z20" s="2364">
        <f t="shared" si="0"/>
        <v>11856515</v>
      </c>
    </row>
    <row r="21" spans="1:26" ht="15" customHeight="1">
      <c r="A21" s="1565" t="s">
        <v>1351</v>
      </c>
      <c r="B21" s="2373">
        <v>512404</v>
      </c>
      <c r="C21" s="2374"/>
      <c r="D21" s="2362">
        <v>1573783</v>
      </c>
      <c r="E21" s="2373"/>
      <c r="F21" s="2373">
        <v>4019227</v>
      </c>
      <c r="G21" s="2373"/>
      <c r="H21" s="2373">
        <v>18496263</v>
      </c>
      <c r="I21" s="2373"/>
      <c r="J21" s="2373">
        <v>12958853</v>
      </c>
      <c r="K21" s="2373"/>
      <c r="L21" s="2373">
        <v>11364866</v>
      </c>
      <c r="M21" s="2375"/>
      <c r="N21" s="2373">
        <v>22159253</v>
      </c>
      <c r="O21" s="2373"/>
      <c r="P21" s="2373">
        <v>1267775</v>
      </c>
      <c r="Q21" s="2373"/>
      <c r="R21" s="2373">
        <v>3981324</v>
      </c>
      <c r="S21" s="2373"/>
      <c r="T21" s="2373">
        <v>1027863</v>
      </c>
      <c r="U21" s="2373"/>
      <c r="V21" s="2373"/>
      <c r="W21" s="2373"/>
      <c r="X21" s="2373"/>
      <c r="Y21" s="2373"/>
      <c r="Z21" s="2364">
        <f t="shared" si="0"/>
        <v>77361611</v>
      </c>
    </row>
    <row r="22" spans="1:26" ht="15" customHeight="1">
      <c r="A22" s="1565" t="s">
        <v>1456</v>
      </c>
      <c r="B22" s="2373">
        <v>388601</v>
      </c>
      <c r="C22" s="2374"/>
      <c r="D22" s="2362">
        <v>51781</v>
      </c>
      <c r="E22" s="2373"/>
      <c r="F22" s="2373">
        <v>182502</v>
      </c>
      <c r="G22" s="2373"/>
      <c r="H22" s="2373">
        <v>71027</v>
      </c>
      <c r="I22" s="2373"/>
      <c r="J22" s="2373">
        <v>639043</v>
      </c>
      <c r="K22" s="2373"/>
      <c r="L22" s="2373">
        <v>277521</v>
      </c>
      <c r="M22" s="2375"/>
      <c r="N22" s="2373">
        <v>288970</v>
      </c>
      <c r="O22" s="2373"/>
      <c r="P22" s="2373">
        <v>499880</v>
      </c>
      <c r="Q22" s="2373"/>
      <c r="R22" s="2373">
        <v>166280</v>
      </c>
      <c r="S22" s="2373"/>
      <c r="T22" s="2373">
        <v>403064</v>
      </c>
      <c r="U22" s="2373"/>
      <c r="V22" s="2373"/>
      <c r="W22" s="2373"/>
      <c r="X22" s="2373"/>
      <c r="Y22" s="2373"/>
      <c r="Z22" s="2364">
        <f>ROUND(SUM(B22:X22),0)</f>
        <v>2968669</v>
      </c>
    </row>
    <row r="23" spans="1:26" ht="15" customHeight="1">
      <c r="A23" s="1565" t="s">
        <v>1489</v>
      </c>
      <c r="B23" s="2373">
        <v>0</v>
      </c>
      <c r="C23" s="2374"/>
      <c r="D23" s="2362">
        <v>0</v>
      </c>
      <c r="E23" s="2373"/>
      <c r="F23" s="2373">
        <v>89258</v>
      </c>
      <c r="G23" s="2373"/>
      <c r="H23" s="2373">
        <v>85607</v>
      </c>
      <c r="I23" s="2373"/>
      <c r="J23" s="2373">
        <v>96470</v>
      </c>
      <c r="K23" s="2373"/>
      <c r="L23" s="2373">
        <v>64187</v>
      </c>
      <c r="M23" s="2375"/>
      <c r="N23" s="2373">
        <v>50628</v>
      </c>
      <c r="O23" s="2373"/>
      <c r="P23" s="2373">
        <v>63766</v>
      </c>
      <c r="Q23" s="2373"/>
      <c r="R23" s="2373">
        <v>-9098</v>
      </c>
      <c r="S23" s="2373"/>
      <c r="T23" s="2373">
        <v>10895</v>
      </c>
      <c r="U23" s="2373"/>
      <c r="V23" s="2373"/>
      <c r="W23" s="2373"/>
      <c r="X23" s="2373"/>
      <c r="Y23" s="2373"/>
      <c r="Z23" s="2364">
        <f>ROUND(SUM(B23:X23),0)</f>
        <v>451713</v>
      </c>
    </row>
    <row r="24" spans="1:26" ht="15" customHeight="1">
      <c r="A24" s="1565" t="s">
        <v>1338</v>
      </c>
      <c r="B24" s="2373">
        <v>2051211</v>
      </c>
      <c r="C24" s="2374"/>
      <c r="D24" s="2362">
        <v>2824038</v>
      </c>
      <c r="E24" s="2373"/>
      <c r="F24" s="2373">
        <v>1290646</v>
      </c>
      <c r="G24" s="2373"/>
      <c r="H24" s="2373">
        <v>790983</v>
      </c>
      <c r="I24" s="2373"/>
      <c r="J24" s="2373">
        <v>1792565</v>
      </c>
      <c r="K24" s="2373"/>
      <c r="L24" s="2373">
        <v>1786987</v>
      </c>
      <c r="M24" s="2375"/>
      <c r="N24" s="2373">
        <v>376038</v>
      </c>
      <c r="O24" s="2373"/>
      <c r="P24" s="2373">
        <v>281058</v>
      </c>
      <c r="Q24" s="2373"/>
      <c r="R24" s="2373">
        <v>1587944</v>
      </c>
      <c r="S24" s="2373"/>
      <c r="T24" s="2373">
        <v>730301</v>
      </c>
      <c r="U24" s="2373"/>
      <c r="V24" s="2373"/>
      <c r="W24" s="2373"/>
      <c r="X24" s="2373"/>
      <c r="Y24" s="2373"/>
      <c r="Z24" s="2364">
        <f t="shared" si="0"/>
        <v>13511771</v>
      </c>
    </row>
    <row r="25" spans="1:26" ht="15" customHeight="1">
      <c r="A25" s="1565" t="s">
        <v>1478</v>
      </c>
      <c r="B25" s="2373">
        <v>0</v>
      </c>
      <c r="C25" s="2374"/>
      <c r="D25" s="2362">
        <v>0</v>
      </c>
      <c r="E25" s="2373"/>
      <c r="F25" s="2373">
        <v>48520000</v>
      </c>
      <c r="G25" s="2373"/>
      <c r="H25" s="2373">
        <v>0</v>
      </c>
      <c r="I25" s="2373"/>
      <c r="J25" s="2373">
        <v>0</v>
      </c>
      <c r="K25" s="2373"/>
      <c r="L25" s="2373">
        <v>90647288</v>
      </c>
      <c r="M25" s="2375"/>
      <c r="N25" s="2373">
        <v>0</v>
      </c>
      <c r="O25" s="2373"/>
      <c r="P25" s="2373">
        <v>0</v>
      </c>
      <c r="Q25" s="2373"/>
      <c r="R25" s="2373">
        <v>0</v>
      </c>
      <c r="S25" s="2373"/>
      <c r="T25" s="2373">
        <v>24862825</v>
      </c>
      <c r="U25" s="2373"/>
      <c r="V25" s="2373"/>
      <c r="W25" s="2373"/>
      <c r="X25" s="2373"/>
      <c r="Y25" s="2373"/>
      <c r="Z25" s="2364">
        <f>ROUND(SUM(B25:X25),0)</f>
        <v>164030113</v>
      </c>
    </row>
    <row r="26" spans="1:26" ht="15" customHeight="1">
      <c r="A26" s="1565" t="s">
        <v>1518</v>
      </c>
      <c r="B26" s="2373">
        <v>673068</v>
      </c>
      <c r="C26" s="2374"/>
      <c r="D26" s="2362">
        <v>769684</v>
      </c>
      <c r="E26" s="2373"/>
      <c r="F26" s="2373">
        <v>268094</v>
      </c>
      <c r="G26" s="2373"/>
      <c r="H26" s="2373">
        <v>117667</v>
      </c>
      <c r="I26" s="2373"/>
      <c r="J26" s="2373">
        <v>123702</v>
      </c>
      <c r="K26" s="2373"/>
      <c r="L26" s="2373">
        <v>900000</v>
      </c>
      <c r="M26" s="2375"/>
      <c r="N26" s="2373">
        <v>20960000</v>
      </c>
      <c r="O26" s="2373"/>
      <c r="P26" s="2373">
        <v>6472</v>
      </c>
      <c r="Q26" s="2373"/>
      <c r="R26" s="2373">
        <v>1250000</v>
      </c>
      <c r="S26" s="2373"/>
      <c r="T26" s="2373">
        <v>157425</v>
      </c>
      <c r="U26" s="2373"/>
      <c r="V26" s="2373"/>
      <c r="W26" s="2373"/>
      <c r="X26" s="2373"/>
      <c r="Y26" s="2373"/>
      <c r="Z26" s="2364">
        <f t="shared" si="0"/>
        <v>25226112</v>
      </c>
    </row>
    <row r="27" spans="1:26" ht="15" customHeight="1">
      <c r="A27" s="1565" t="s">
        <v>1337</v>
      </c>
      <c r="B27" s="2373">
        <v>0</v>
      </c>
      <c r="C27" s="2374"/>
      <c r="D27" s="2362">
        <v>0</v>
      </c>
      <c r="E27" s="2373"/>
      <c r="F27" s="2373">
        <v>0</v>
      </c>
      <c r="G27" s="2373"/>
      <c r="H27" s="2373">
        <v>0</v>
      </c>
      <c r="I27" s="2373"/>
      <c r="J27" s="2373">
        <v>0</v>
      </c>
      <c r="K27" s="2373"/>
      <c r="L27" s="2373">
        <v>0</v>
      </c>
      <c r="M27" s="2375"/>
      <c r="N27" s="2373">
        <v>0</v>
      </c>
      <c r="O27" s="2373"/>
      <c r="P27" s="2373">
        <v>0</v>
      </c>
      <c r="Q27" s="2373"/>
      <c r="R27" s="2373">
        <v>0</v>
      </c>
      <c r="S27" s="2373"/>
      <c r="T27" s="2373">
        <v>0</v>
      </c>
      <c r="U27" s="2373"/>
      <c r="V27" s="2373"/>
      <c r="W27" s="2373"/>
      <c r="X27" s="2373"/>
      <c r="Y27" s="2373"/>
      <c r="Z27" s="2364">
        <f t="shared" si="0"/>
        <v>0</v>
      </c>
    </row>
    <row r="28" spans="1:26" ht="15" customHeight="1">
      <c r="A28" s="1565" t="s">
        <v>1373</v>
      </c>
      <c r="B28" s="2373">
        <v>501707.12</v>
      </c>
      <c r="C28" s="2374"/>
      <c r="D28" s="2362">
        <v>4682318</v>
      </c>
      <c r="E28" s="2373"/>
      <c r="F28" s="2373">
        <v>3374872</v>
      </c>
      <c r="G28" s="2373"/>
      <c r="H28" s="2373">
        <v>10725455</v>
      </c>
      <c r="I28" s="2373"/>
      <c r="J28" s="2373">
        <v>3954132</v>
      </c>
      <c r="K28" s="2373"/>
      <c r="L28" s="2373">
        <v>3515891</v>
      </c>
      <c r="M28" s="2375"/>
      <c r="N28" s="2373">
        <v>6335363</v>
      </c>
      <c r="O28" s="2373"/>
      <c r="P28" s="2373">
        <v>6829218</v>
      </c>
      <c r="Q28" s="2373"/>
      <c r="R28" s="2373">
        <v>5574541</v>
      </c>
      <c r="S28" s="2373"/>
      <c r="T28" s="2373">
        <v>1607595</v>
      </c>
      <c r="U28" s="2373"/>
      <c r="V28" s="2373"/>
      <c r="W28" s="2373"/>
      <c r="X28" s="2373"/>
      <c r="Y28" s="2373"/>
      <c r="Z28" s="2364">
        <f t="shared" si="0"/>
        <v>47101092</v>
      </c>
    </row>
    <row r="29" spans="1:26" ht="15" customHeight="1">
      <c r="A29" s="1565" t="s">
        <v>1336</v>
      </c>
      <c r="B29" s="2373">
        <v>305295</v>
      </c>
      <c r="C29" s="2374"/>
      <c r="D29" s="2362">
        <v>1101761</v>
      </c>
      <c r="E29" s="2373"/>
      <c r="F29" s="2373">
        <v>0</v>
      </c>
      <c r="G29" s="2373"/>
      <c r="H29" s="2373">
        <v>1673958</v>
      </c>
      <c r="I29" s="2373"/>
      <c r="J29" s="2373">
        <v>97294</v>
      </c>
      <c r="K29" s="2373"/>
      <c r="L29" s="2373">
        <v>7178905</v>
      </c>
      <c r="M29" s="2375"/>
      <c r="N29" s="2373">
        <v>117310</v>
      </c>
      <c r="O29" s="2373"/>
      <c r="P29" s="2373">
        <v>391630</v>
      </c>
      <c r="Q29" s="2373"/>
      <c r="R29" s="2373">
        <v>23375</v>
      </c>
      <c r="S29" s="2373"/>
      <c r="T29" s="2373">
        <v>27750</v>
      </c>
      <c r="U29" s="2373"/>
      <c r="V29" s="2373"/>
      <c r="W29" s="2373"/>
      <c r="X29" s="2373"/>
      <c r="Y29" s="2373"/>
      <c r="Z29" s="2364">
        <f t="shared" si="0"/>
        <v>10917278</v>
      </c>
    </row>
    <row r="30" spans="1:26" ht="15" customHeight="1">
      <c r="A30" s="1565" t="s">
        <v>1335</v>
      </c>
      <c r="B30" s="2373">
        <v>7341020</v>
      </c>
      <c r="C30" s="2374"/>
      <c r="D30" s="2362">
        <v>3710845</v>
      </c>
      <c r="E30" s="2373"/>
      <c r="F30" s="2373">
        <v>15439557</v>
      </c>
      <c r="G30" s="2373"/>
      <c r="H30" s="2373">
        <v>7781708</v>
      </c>
      <c r="I30" s="2373"/>
      <c r="J30" s="2373">
        <v>38815908</v>
      </c>
      <c r="K30" s="2373"/>
      <c r="L30" s="2373">
        <v>16316586</v>
      </c>
      <c r="M30" s="2375"/>
      <c r="N30" s="2373">
        <v>23743351</v>
      </c>
      <c r="O30" s="2373"/>
      <c r="P30" s="2373">
        <v>27837427</v>
      </c>
      <c r="Q30" s="2373"/>
      <c r="R30" s="2373">
        <v>50930621</v>
      </c>
      <c r="S30" s="2373"/>
      <c r="T30" s="2373">
        <v>16169173</v>
      </c>
      <c r="U30" s="2373"/>
      <c r="V30" s="2373"/>
      <c r="W30" s="2373"/>
      <c r="X30" s="2373"/>
      <c r="Y30" s="2373"/>
      <c r="Z30" s="2364">
        <f t="shared" si="0"/>
        <v>208086196</v>
      </c>
    </row>
    <row r="31" spans="1:26" ht="15" customHeight="1">
      <c r="A31" s="1565" t="s">
        <v>1334</v>
      </c>
      <c r="B31" s="2379">
        <v>0</v>
      </c>
      <c r="C31" s="2374"/>
      <c r="D31" s="2362">
        <v>0</v>
      </c>
      <c r="E31" s="2373"/>
      <c r="F31" s="2380">
        <v>0</v>
      </c>
      <c r="G31" s="2373"/>
      <c r="H31" s="2379">
        <v>0</v>
      </c>
      <c r="I31" s="2373"/>
      <c r="J31" s="2373">
        <v>1500000</v>
      </c>
      <c r="K31" s="2373"/>
      <c r="L31" s="2373">
        <v>0</v>
      </c>
      <c r="M31" s="2375"/>
      <c r="N31" s="2379">
        <v>0</v>
      </c>
      <c r="O31" s="2373"/>
      <c r="P31" s="2373">
        <v>0</v>
      </c>
      <c r="Q31" s="2373"/>
      <c r="R31" s="2378">
        <v>6000000</v>
      </c>
      <c r="S31" s="2373"/>
      <c r="T31" s="2380">
        <v>5061050</v>
      </c>
      <c r="U31" s="2373"/>
      <c r="V31" s="2380"/>
      <c r="W31" s="2373"/>
      <c r="X31" s="2378"/>
      <c r="Y31" s="2373"/>
      <c r="Z31" s="2364">
        <f t="shared" si="0"/>
        <v>12561050</v>
      </c>
    </row>
    <row r="32" spans="1:26" ht="15" customHeight="1">
      <c r="A32" s="1565" t="s">
        <v>1380</v>
      </c>
      <c r="B32" s="2379">
        <v>0</v>
      </c>
      <c r="C32" s="2374"/>
      <c r="D32" s="2362">
        <v>0</v>
      </c>
      <c r="E32" s="2373"/>
      <c r="F32" s="2380">
        <v>1498169</v>
      </c>
      <c r="G32" s="2373"/>
      <c r="H32" s="2379">
        <v>0</v>
      </c>
      <c r="I32" s="2373"/>
      <c r="J32" s="2373">
        <v>0</v>
      </c>
      <c r="K32" s="2373"/>
      <c r="L32" s="2373">
        <v>14976963</v>
      </c>
      <c r="M32" s="2375"/>
      <c r="N32" s="2379">
        <v>0</v>
      </c>
      <c r="O32" s="2373"/>
      <c r="P32" s="2373">
        <v>0</v>
      </c>
      <c r="Q32" s="2373"/>
      <c r="R32" s="2378">
        <v>49530226</v>
      </c>
      <c r="S32" s="2373"/>
      <c r="T32" s="2380">
        <v>-16539</v>
      </c>
      <c r="U32" s="2373"/>
      <c r="V32" s="2380"/>
      <c r="W32" s="2373"/>
      <c r="X32" s="2378"/>
      <c r="Y32" s="2373"/>
      <c r="Z32" s="2364">
        <f>ROUND(SUM(B32:X32),0)</f>
        <v>65988819</v>
      </c>
    </row>
    <row r="33" spans="1:28" ht="15" customHeight="1">
      <c r="A33" s="1565" t="s">
        <v>1352</v>
      </c>
      <c r="B33" s="2373">
        <v>0</v>
      </c>
      <c r="C33" s="2374"/>
      <c r="D33" s="2362">
        <v>0</v>
      </c>
      <c r="E33" s="2373"/>
      <c r="F33" s="2373">
        <v>19050000</v>
      </c>
      <c r="G33" s="2373"/>
      <c r="H33" s="2373">
        <v>26330173</v>
      </c>
      <c r="I33" s="2373"/>
      <c r="J33" s="2373">
        <v>51000000</v>
      </c>
      <c r="K33" s="2373"/>
      <c r="L33" s="2373">
        <v>20000000</v>
      </c>
      <c r="M33" s="2375"/>
      <c r="N33" s="2373">
        <v>1669827</v>
      </c>
      <c r="O33" s="2373"/>
      <c r="P33" s="2373">
        <v>840000</v>
      </c>
      <c r="Q33" s="2373"/>
      <c r="R33" s="2373">
        <v>0</v>
      </c>
      <c r="S33" s="2373"/>
      <c r="T33" s="2373">
        <v>8221196</v>
      </c>
      <c r="U33" s="2373"/>
      <c r="V33" s="2373"/>
      <c r="W33" s="2373"/>
      <c r="X33" s="2373"/>
      <c r="Y33" s="2373"/>
      <c r="Z33" s="2364">
        <f t="shared" si="0"/>
        <v>127111196</v>
      </c>
    </row>
    <row r="34" spans="1:28" ht="22.5" customHeight="1">
      <c r="A34" s="951" t="s">
        <v>160</v>
      </c>
      <c r="B34" s="2916">
        <f>ROUND(SUM(B19:B33),0)</f>
        <v>54310571</v>
      </c>
      <c r="C34" s="2374"/>
      <c r="D34" s="2916">
        <f>ROUND(SUM(D19:D33),0)</f>
        <v>22322597</v>
      </c>
      <c r="E34" s="2373"/>
      <c r="F34" s="2916">
        <f>ROUND(SUM(F19:F33),0)</f>
        <v>103456227</v>
      </c>
      <c r="G34" s="2373"/>
      <c r="H34" s="2916">
        <f>ROUND(SUM(H19:H33),0)</f>
        <v>66219077</v>
      </c>
      <c r="I34" s="2373"/>
      <c r="J34" s="2916">
        <f>ROUND(SUM(J19:J33),0)</f>
        <v>112412996</v>
      </c>
      <c r="K34" s="2373"/>
      <c r="L34" s="2916">
        <f>ROUND(SUM(L19:L33),0)</f>
        <v>185885003</v>
      </c>
      <c r="M34" s="2375"/>
      <c r="N34" s="2916">
        <f>ROUND(SUM(N19:N33),0)</f>
        <v>98250740</v>
      </c>
      <c r="O34" s="2373"/>
      <c r="P34" s="2916">
        <f>ROUND(SUM(P19:P33),0)</f>
        <v>45154890</v>
      </c>
      <c r="Q34" s="2373"/>
      <c r="R34" s="2916">
        <f>ROUND(SUM(R19:R33),0)</f>
        <v>138242253</v>
      </c>
      <c r="S34" s="2373"/>
      <c r="T34" s="2916">
        <f>ROUND(SUM(T19:T33),0)</f>
        <v>71785472</v>
      </c>
      <c r="U34" s="2373"/>
      <c r="V34" s="2916">
        <f>ROUND(SUM(V19:V33),0)</f>
        <v>0</v>
      </c>
      <c r="W34" s="2373"/>
      <c r="X34" s="2916">
        <f>ROUND(SUM(X19:X33),0)</f>
        <v>0</v>
      </c>
      <c r="Y34" s="2373"/>
      <c r="Z34" s="2916">
        <f>ROUND(SUM(Z19:Z33),0)</f>
        <v>898039826</v>
      </c>
    </row>
    <row r="35" spans="1:28" ht="15" customHeight="1">
      <c r="A35" s="951"/>
      <c r="B35" s="2373"/>
      <c r="C35" s="2374"/>
      <c r="D35" s="2373"/>
      <c r="E35" s="2373"/>
      <c r="F35" s="2379"/>
      <c r="G35" s="2373"/>
      <c r="H35" s="2379"/>
      <c r="I35" s="2373"/>
      <c r="J35" s="2373"/>
      <c r="K35" s="2373"/>
      <c r="L35" s="2378"/>
      <c r="M35" s="2375"/>
      <c r="N35" s="2378"/>
      <c r="O35" s="2373"/>
      <c r="P35" s="2377"/>
      <c r="Q35" s="2373"/>
      <c r="R35" s="2379"/>
      <c r="S35" s="2373"/>
      <c r="T35" s="2379"/>
      <c r="U35" s="2373"/>
      <c r="V35" s="2374"/>
      <c r="W35" s="2373"/>
      <c r="X35" s="2379"/>
      <c r="Y35" s="2373"/>
      <c r="Z35" s="2364"/>
    </row>
    <row r="36" spans="1:28" ht="15" customHeight="1">
      <c r="A36" s="952" t="s">
        <v>500</v>
      </c>
      <c r="B36" s="2379"/>
      <c r="C36" s="2381"/>
      <c r="D36" s="2379"/>
      <c r="E36" s="2373"/>
      <c r="F36" s="2378"/>
      <c r="G36" s="2373"/>
      <c r="H36" s="2379"/>
      <c r="I36" s="2373"/>
      <c r="J36" s="2379"/>
      <c r="K36" s="2373"/>
      <c r="L36" s="2379"/>
      <c r="M36" s="2375"/>
      <c r="N36" s="2379"/>
      <c r="O36" s="2373"/>
      <c r="P36" s="2377"/>
      <c r="Q36" s="2373"/>
      <c r="R36" s="2379"/>
      <c r="S36" s="2373"/>
      <c r="T36" s="2379"/>
      <c r="U36" s="2373"/>
      <c r="V36" s="2378"/>
      <c r="W36" s="2373"/>
      <c r="X36" s="2378"/>
      <c r="Y36" s="2373"/>
      <c r="Z36" s="2364"/>
    </row>
    <row r="37" spans="1:28" ht="15" customHeight="1">
      <c r="A37" s="1565" t="s">
        <v>502</v>
      </c>
      <c r="B37" s="2379">
        <v>0</v>
      </c>
      <c r="C37" s="2381"/>
      <c r="D37" s="2362">
        <v>0</v>
      </c>
      <c r="E37" s="2373"/>
      <c r="F37" s="2379">
        <v>0</v>
      </c>
      <c r="G37" s="2373"/>
      <c r="H37" s="2379">
        <v>0</v>
      </c>
      <c r="I37" s="2373"/>
      <c r="J37" s="2379">
        <v>0</v>
      </c>
      <c r="K37" s="2373"/>
      <c r="L37" s="2379">
        <v>0</v>
      </c>
      <c r="M37" s="2375"/>
      <c r="N37" s="2379">
        <v>0</v>
      </c>
      <c r="O37" s="2373"/>
      <c r="P37" s="2379">
        <v>0</v>
      </c>
      <c r="Q37" s="2373"/>
      <c r="R37" s="2379">
        <v>0</v>
      </c>
      <c r="S37" s="2373"/>
      <c r="T37" s="2365">
        <v>0</v>
      </c>
      <c r="U37" s="2373"/>
      <c r="V37" s="2365"/>
      <c r="W37" s="2373"/>
      <c r="X37" s="2379"/>
      <c r="Y37" s="2373"/>
      <c r="Z37" s="2364">
        <f>ROUND(SUM(B37:X37),0)</f>
        <v>0</v>
      </c>
    </row>
    <row r="38" spans="1:28" ht="22.5" customHeight="1">
      <c r="A38" s="945" t="s">
        <v>507</v>
      </c>
      <c r="B38" s="2915">
        <f>ROUND(SUM(B37:B37),0)</f>
        <v>0</v>
      </c>
      <c r="C38" s="2366"/>
      <c r="D38" s="2915">
        <f>ROUND(SUM(D37:D37),0)</f>
        <v>0</v>
      </c>
      <c r="E38" s="2362"/>
      <c r="F38" s="2915">
        <f>ROUND(SUM(F37:F37),0)</f>
        <v>0</v>
      </c>
      <c r="G38" s="2362"/>
      <c r="H38" s="2915">
        <f>ROUND(SUM(H37:H37),0)</f>
        <v>0</v>
      </c>
      <c r="I38" s="2362"/>
      <c r="J38" s="2915">
        <f>ROUND(SUM(J37:J37),0)</f>
        <v>0</v>
      </c>
      <c r="K38" s="2362"/>
      <c r="L38" s="2915">
        <f>ROUND(SUM(L37:L37),0)</f>
        <v>0</v>
      </c>
      <c r="M38" s="2359"/>
      <c r="N38" s="2915">
        <f>ROUND(SUM(N37:N37),0)</f>
        <v>0</v>
      </c>
      <c r="O38" s="2362"/>
      <c r="P38" s="2915">
        <f>ROUND(SUM(P37:P37),0)</f>
        <v>0</v>
      </c>
      <c r="Q38" s="2362"/>
      <c r="R38" s="2915">
        <f>ROUND(SUM(R37:R37),0)</f>
        <v>0</v>
      </c>
      <c r="S38" s="2362"/>
      <c r="T38" s="2915">
        <f>ROUND(SUM(T37:T37),0)</f>
        <v>0</v>
      </c>
      <c r="U38" s="2362"/>
      <c r="V38" s="2915">
        <f>ROUND(SUM(V37:V37),0)</f>
        <v>0</v>
      </c>
      <c r="W38" s="2362"/>
      <c r="X38" s="2915">
        <f>ROUND(SUM(X37:X37),0)</f>
        <v>0</v>
      </c>
      <c r="Y38" s="2362"/>
      <c r="Z38" s="2915">
        <f>ROUND(SUM(Z37:Z37),0)</f>
        <v>0</v>
      </c>
    </row>
    <row r="39" spans="1:28" ht="15" customHeight="1">
      <c r="B39" s="2913"/>
      <c r="C39" s="2366"/>
      <c r="D39" s="2913"/>
      <c r="E39" s="2362"/>
      <c r="F39" s="2912"/>
      <c r="G39" s="2362"/>
      <c r="H39" s="2913"/>
      <c r="I39" s="2362"/>
      <c r="J39" s="2913"/>
      <c r="K39" s="2362"/>
      <c r="L39" s="2913"/>
      <c r="M39" s="2359"/>
      <c r="N39" s="2913"/>
      <c r="O39" s="2362"/>
      <c r="P39" s="2914"/>
      <c r="Q39" s="2362"/>
      <c r="R39" s="2913"/>
      <c r="S39" s="2362"/>
      <c r="T39" s="2913"/>
      <c r="U39" s="2362"/>
      <c r="V39" s="2912"/>
      <c r="W39" s="2362"/>
      <c r="X39" s="2385"/>
      <c r="Y39" s="2362"/>
      <c r="Z39" s="2911"/>
    </row>
    <row r="40" spans="1:28" s="944" customFormat="1" ht="20.25" customHeight="1">
      <c r="A40" s="945" t="s">
        <v>508</v>
      </c>
      <c r="B40" s="2387">
        <f>ROUND(B34+B38,0)</f>
        <v>54310571</v>
      </c>
      <c r="C40" s="947"/>
      <c r="D40" s="2387">
        <f>ROUND(D34+D38,0)</f>
        <v>22322597</v>
      </c>
      <c r="E40" s="948"/>
      <c r="F40" s="2387">
        <f>ROUND(F34+F38,0)</f>
        <v>103456227</v>
      </c>
      <c r="G40" s="948"/>
      <c r="H40" s="2387">
        <f>ROUND(H34+H38,0)</f>
        <v>66219077</v>
      </c>
      <c r="I40" s="948"/>
      <c r="J40" s="2387">
        <f>ROUND(J34+J38,0)</f>
        <v>112412996</v>
      </c>
      <c r="K40" s="947"/>
      <c r="L40" s="2387">
        <f>ROUND(L34+L38,0)</f>
        <v>185885003</v>
      </c>
      <c r="M40" s="943"/>
      <c r="N40" s="2387">
        <f>ROUND(N34+N38,0)</f>
        <v>98250740</v>
      </c>
      <c r="O40" s="948"/>
      <c r="P40" s="2387">
        <f>ROUND(P34+P38,0)</f>
        <v>45154890</v>
      </c>
      <c r="Q40" s="948"/>
      <c r="R40" s="2387">
        <f>ROUND(R34+R38,0)</f>
        <v>138242253</v>
      </c>
      <c r="S40" s="948"/>
      <c r="T40" s="2387">
        <f>ROUND(T34+T38,0)</f>
        <v>71785472</v>
      </c>
      <c r="U40" s="948"/>
      <c r="V40" s="2387">
        <f>ROUND(V34+V38,0)</f>
        <v>0</v>
      </c>
      <c r="W40" s="948"/>
      <c r="X40" s="2387">
        <f>ROUND(X34+X38,0)</f>
        <v>0</v>
      </c>
      <c r="Y40" s="948"/>
      <c r="Z40" s="2387">
        <f>ROUND(Z34+Z38,0)</f>
        <v>898039826</v>
      </c>
      <c r="AB40" s="761"/>
    </row>
    <row r="41" spans="1:28" ht="15" customHeight="1">
      <c r="A41" s="2358"/>
      <c r="B41" s="2360"/>
      <c r="C41" s="2360"/>
      <c r="D41" s="2360"/>
      <c r="E41" s="2359"/>
      <c r="F41" s="2360"/>
      <c r="G41" s="2359"/>
      <c r="H41" s="2360"/>
      <c r="I41" s="2359"/>
      <c r="J41" s="2910"/>
      <c r="K41" s="2360"/>
      <c r="L41" s="2910"/>
      <c r="M41" s="2359"/>
      <c r="N41" s="2910"/>
      <c r="O41" s="2359"/>
      <c r="P41" s="2910"/>
      <c r="Q41" s="2359"/>
      <c r="R41" s="2910"/>
      <c r="S41" s="2359"/>
      <c r="T41" s="2910"/>
      <c r="U41" s="2359"/>
      <c r="V41" s="2910"/>
      <c r="W41" s="2359"/>
      <c r="X41" s="2910"/>
      <c r="Y41" s="2359"/>
      <c r="Z41" s="2389"/>
    </row>
    <row r="42" spans="1:28" s="944" customFormat="1" ht="20.25" customHeight="1" thickBot="1">
      <c r="A42" s="952" t="s">
        <v>509</v>
      </c>
      <c r="B42" s="2909">
        <f>ROUND(B12+B16-B40,0)</f>
        <v>78337543</v>
      </c>
      <c r="C42" s="941"/>
      <c r="D42" s="2909">
        <f>ROUND(D12+D16-D40,0)</f>
        <v>156014946</v>
      </c>
      <c r="E42" s="2357"/>
      <c r="F42" s="2909">
        <f>ROUND(F12+F16-F40,0)</f>
        <v>207558719</v>
      </c>
      <c r="G42" s="2357"/>
      <c r="H42" s="2909">
        <f>ROUND(H12+H16-H40,0)</f>
        <v>216339642</v>
      </c>
      <c r="I42" s="2357"/>
      <c r="J42" s="2909">
        <f>ROUND(J12+J16-J40,0)</f>
        <v>178926646</v>
      </c>
      <c r="K42" s="941"/>
      <c r="L42" s="2909">
        <f>ROUND(L12+L16-L40,0)</f>
        <v>143041643</v>
      </c>
      <c r="M42" s="956"/>
      <c r="N42" s="2909">
        <f>ROUND(N12+N16-N40,0)</f>
        <v>126490903</v>
      </c>
      <c r="O42" s="957"/>
      <c r="P42" s="2909">
        <f>ROUND(P12+P16-P40,0)</f>
        <v>171336013</v>
      </c>
      <c r="Q42" s="957"/>
      <c r="R42" s="2909">
        <f>ROUND(R12+R16-R40,0)</f>
        <v>228309760</v>
      </c>
      <c r="S42" s="957"/>
      <c r="T42" s="2909">
        <f>ROUND(T12+T16-T40,0)</f>
        <v>156524288</v>
      </c>
      <c r="U42" s="957"/>
      <c r="V42" s="2909">
        <f>ROUND(V12+V16-V40,0)</f>
        <v>0</v>
      </c>
      <c r="W42" s="957"/>
      <c r="X42" s="2909">
        <f>ROUND(X12+X16-X40,0)</f>
        <v>0</v>
      </c>
      <c r="Y42" s="957"/>
      <c r="Z42" s="2909">
        <f>ROUND(Z12+Z16-Z40,0)</f>
        <v>156524288</v>
      </c>
    </row>
    <row r="43" spans="1:28" ht="15" customHeight="1" thickTop="1">
      <c r="A43" s="2358"/>
      <c r="B43" s="2354"/>
      <c r="C43" s="2354"/>
      <c r="D43" s="2354"/>
      <c r="E43" s="2390"/>
      <c r="F43" s="2354"/>
      <c r="G43" s="2390"/>
      <c r="H43" s="2354"/>
      <c r="I43" s="2390"/>
      <c r="J43" s="2354"/>
      <c r="K43" s="2354"/>
      <c r="L43" s="2354"/>
      <c r="M43" s="2390"/>
      <c r="N43" s="2354"/>
      <c r="O43" s="2390"/>
      <c r="P43" s="2354"/>
      <c r="Q43" s="2390"/>
      <c r="R43" s="2354"/>
      <c r="S43" s="2390"/>
      <c r="T43" s="2354"/>
      <c r="U43" s="2390"/>
      <c r="V43" s="2354"/>
      <c r="W43" s="2390"/>
      <c r="X43" s="2354"/>
      <c r="Y43" s="2390"/>
      <c r="Z43" s="2389"/>
    </row>
    <row r="44" spans="1:28" ht="20.100000000000001" customHeight="1">
      <c r="A44" s="958"/>
      <c r="B44" s="2391"/>
      <c r="C44" s="2391"/>
      <c r="D44" s="2391"/>
      <c r="E44" s="2355"/>
      <c r="F44" s="2391"/>
      <c r="G44" s="2355"/>
      <c r="H44" s="2391"/>
      <c r="I44" s="2355"/>
      <c r="J44" s="2391"/>
      <c r="K44" s="2391"/>
      <c r="L44" s="2391"/>
      <c r="M44" s="2355"/>
      <c r="N44" s="2391"/>
      <c r="O44" s="2355"/>
      <c r="P44" s="2391"/>
      <c r="Q44" s="2355"/>
      <c r="R44" s="2391"/>
      <c r="S44" s="2355"/>
      <c r="T44" s="2391"/>
      <c r="U44" s="2355"/>
      <c r="V44" s="2391"/>
      <c r="W44" s="2355"/>
      <c r="X44" s="2391"/>
      <c r="Y44" s="2355"/>
      <c r="Z44" s="2361"/>
    </row>
    <row r="46" spans="1:28" ht="18" customHeight="1">
      <c r="A46" s="1564" t="s">
        <v>1436</v>
      </c>
      <c r="B46" s="2349"/>
      <c r="C46" s="2349"/>
      <c r="D46" s="2349"/>
      <c r="E46" s="922"/>
      <c r="F46" s="2349"/>
      <c r="G46" s="922"/>
      <c r="H46" s="2349"/>
      <c r="I46" s="922"/>
      <c r="J46" s="2349"/>
      <c r="K46" s="2349"/>
      <c r="L46" s="2349"/>
      <c r="M46" s="2355"/>
      <c r="N46" s="2349"/>
      <c r="O46" s="922"/>
      <c r="P46" s="2349"/>
      <c r="Q46" s="922"/>
      <c r="R46" s="2349"/>
      <c r="S46" s="922"/>
      <c r="T46" s="2349"/>
      <c r="U46" s="922"/>
      <c r="V46" s="2349"/>
      <c r="W46" s="922"/>
      <c r="X46" s="2349"/>
      <c r="Y46" s="922"/>
      <c r="Z46" s="2350"/>
    </row>
    <row r="47" spans="1:28" ht="20.100000000000001" customHeight="1">
      <c r="A47" s="2352" t="s">
        <v>1488</v>
      </c>
      <c r="B47" s="2391"/>
      <c r="C47" s="2391"/>
      <c r="D47" s="2391"/>
      <c r="E47" s="2355"/>
      <c r="F47" s="2391"/>
      <c r="G47" s="2355"/>
      <c r="H47" s="2391"/>
      <c r="I47" s="2355"/>
      <c r="J47" s="2391"/>
      <c r="K47" s="2391"/>
      <c r="L47" s="2391"/>
      <c r="M47" s="2355"/>
      <c r="N47" s="2391"/>
      <c r="O47" s="2355"/>
      <c r="P47" s="2391"/>
      <c r="Q47" s="2355"/>
      <c r="R47" s="2391"/>
      <c r="S47" s="2355"/>
      <c r="T47" s="2391"/>
      <c r="U47" s="2355"/>
      <c r="V47" s="2391"/>
      <c r="W47" s="2355"/>
      <c r="X47" s="2391"/>
      <c r="Y47" s="2355"/>
      <c r="Z47" s="2361"/>
    </row>
    <row r="48" spans="1:28" ht="20.100000000000001" customHeight="1">
      <c r="A48" s="2908"/>
      <c r="B48" s="2391"/>
      <c r="C48" s="2391"/>
      <c r="D48" s="2391"/>
      <c r="E48" s="2355"/>
      <c r="F48" s="2391"/>
      <c r="G48" s="2355"/>
      <c r="H48" s="2391"/>
      <c r="I48" s="2355"/>
      <c r="J48" s="2391"/>
      <c r="K48" s="2391"/>
      <c r="L48" s="2391"/>
      <c r="M48" s="2355"/>
      <c r="N48" s="2391"/>
      <c r="O48" s="2355"/>
      <c r="P48" s="2391"/>
      <c r="Q48" s="2355"/>
      <c r="R48" s="2391"/>
      <c r="S48" s="2355"/>
      <c r="T48" s="2391"/>
      <c r="U48" s="2355"/>
      <c r="V48" s="2391"/>
      <c r="W48" s="2355"/>
      <c r="X48" s="2391"/>
      <c r="Y48" s="2355"/>
      <c r="Z48" s="2361"/>
    </row>
    <row r="49" spans="1:26" ht="20.100000000000001" customHeight="1">
      <c r="A49" s="2957"/>
      <c r="B49" s="921"/>
      <c r="C49" s="921"/>
      <c r="D49" s="921"/>
      <c r="E49" s="922"/>
      <c r="F49" s="921"/>
      <c r="G49" s="922"/>
      <c r="H49" s="921"/>
      <c r="I49" s="922"/>
      <c r="J49" s="921"/>
      <c r="K49" s="921"/>
      <c r="L49" s="921"/>
      <c r="M49" s="922"/>
      <c r="N49" s="921"/>
      <c r="O49" s="922"/>
      <c r="P49" s="921"/>
      <c r="Q49" s="922"/>
      <c r="R49" s="921"/>
      <c r="S49" s="922"/>
      <c r="T49" s="921"/>
      <c r="U49" s="922"/>
      <c r="V49" s="921"/>
      <c r="W49" s="922"/>
      <c r="X49" s="921"/>
      <c r="Y49" s="922"/>
      <c r="Z49" s="763"/>
    </row>
    <row r="50" spans="1:26" ht="20.100000000000001" customHeight="1">
      <c r="A50" s="919"/>
      <c r="B50" s="921"/>
      <c r="C50" s="921"/>
      <c r="D50" s="921"/>
      <c r="E50" s="922"/>
      <c r="F50" s="921"/>
      <c r="G50" s="922"/>
      <c r="H50" s="921"/>
      <c r="I50" s="922"/>
      <c r="J50" s="921"/>
      <c r="K50" s="921"/>
      <c r="L50" s="921"/>
      <c r="M50" s="922"/>
      <c r="N50" s="921"/>
      <c r="O50" s="922"/>
      <c r="P50" s="921"/>
      <c r="Q50" s="922"/>
      <c r="R50" s="921"/>
      <c r="S50" s="922"/>
      <c r="T50" s="921"/>
      <c r="U50" s="922"/>
      <c r="V50" s="921"/>
      <c r="W50" s="922"/>
      <c r="X50" s="921"/>
      <c r="Y50" s="922"/>
      <c r="Z50" s="763"/>
    </row>
    <row r="51" spans="1:26" ht="20.100000000000001" customHeight="1">
      <c r="A51" s="919"/>
      <c r="B51" s="921"/>
      <c r="C51" s="921"/>
      <c r="D51" s="921"/>
      <c r="E51" s="922"/>
      <c r="F51" s="921"/>
      <c r="G51" s="922"/>
      <c r="H51" s="921"/>
      <c r="I51" s="922"/>
      <c r="J51" s="921"/>
      <c r="K51" s="921"/>
      <c r="L51" s="921"/>
      <c r="M51" s="922"/>
      <c r="N51" s="921"/>
      <c r="O51" s="922"/>
      <c r="P51" s="921"/>
      <c r="Q51" s="922"/>
      <c r="R51" s="921"/>
      <c r="S51" s="922"/>
      <c r="T51" s="921"/>
      <c r="U51" s="922"/>
      <c r="V51" s="921"/>
      <c r="W51" s="922"/>
      <c r="X51" s="921"/>
      <c r="Y51" s="922"/>
      <c r="Z51" s="763"/>
    </row>
    <row r="52" spans="1:26" ht="20.100000000000001" customHeight="1">
      <c r="A52" s="919"/>
      <c r="B52" s="921"/>
      <c r="C52" s="921"/>
      <c r="D52" s="921"/>
      <c r="E52" s="922"/>
      <c r="F52" s="921"/>
      <c r="G52" s="922"/>
      <c r="H52" s="921"/>
      <c r="I52" s="922"/>
      <c r="J52" s="921"/>
      <c r="K52" s="921"/>
      <c r="L52" s="921"/>
      <c r="M52" s="922"/>
      <c r="N52" s="921"/>
      <c r="O52" s="922"/>
      <c r="P52" s="921"/>
      <c r="Q52" s="922"/>
      <c r="R52" s="921"/>
      <c r="S52" s="922"/>
      <c r="T52" s="921"/>
      <c r="U52" s="922"/>
      <c r="V52" s="921"/>
      <c r="W52" s="922"/>
      <c r="X52" s="921"/>
      <c r="Y52" s="922"/>
      <c r="Z52" s="763"/>
    </row>
    <row r="53" spans="1:26" ht="20.100000000000001" customHeight="1">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sheetData>
  <sortState ref="A19:AN28">
    <sortCondition ref="A19:A28"/>
  </sortState>
  <pageMargins left="0.1" right="0.1" top="0.75" bottom="0.25" header="0" footer="0.25"/>
  <pageSetup scale="43"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4" t="s">
        <v>1066</v>
      </c>
    </row>
    <row r="2" spans="1:254">
      <c r="A2" s="1577"/>
    </row>
    <row r="3" spans="1:254" s="226" customFormat="1" ht="18" customHeight="1">
      <c r="A3" s="221" t="s">
        <v>0</v>
      </c>
      <c r="B3" s="221"/>
      <c r="C3" s="221"/>
      <c r="D3" s="221"/>
      <c r="E3" s="221"/>
      <c r="F3" s="222"/>
      <c r="G3" s="222"/>
      <c r="H3" s="221"/>
      <c r="I3" s="221"/>
      <c r="J3" s="221"/>
      <c r="K3" s="221"/>
      <c r="L3" s="221"/>
      <c r="M3" s="221"/>
      <c r="N3" s="788"/>
      <c r="O3" s="3528"/>
      <c r="P3" s="3528"/>
      <c r="Q3" s="2419"/>
      <c r="R3" s="2419"/>
      <c r="S3" s="223"/>
      <c r="T3" s="225"/>
      <c r="U3" s="3529" t="s">
        <v>63</v>
      </c>
      <c r="V3" s="3529"/>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20"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2"/>
      <c r="L11" s="2434"/>
      <c r="M11" s="412"/>
      <c r="N11" s="1382"/>
      <c r="O11" s="1382"/>
      <c r="P11" s="1382"/>
      <c r="Q11" s="1382"/>
      <c r="R11" s="1408"/>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85"/>
      <c r="C12" s="1385" t="s">
        <v>64</v>
      </c>
      <c r="D12" s="1385"/>
      <c r="E12" s="221"/>
      <c r="F12" s="1382"/>
      <c r="G12" s="1382" t="s">
        <v>65</v>
      </c>
      <c r="H12" s="1382"/>
      <c r="I12" s="221"/>
      <c r="J12" s="1382"/>
      <c r="K12" s="1382"/>
      <c r="L12" s="2434"/>
      <c r="M12" s="1382" t="s">
        <v>66</v>
      </c>
      <c r="N12" s="1382"/>
      <c r="O12" s="1382"/>
      <c r="P12" s="1382"/>
      <c r="Q12" s="1382"/>
      <c r="R12" s="1408"/>
      <c r="S12" s="1797" t="s">
        <v>1173</v>
      </c>
      <c r="T12" s="1795"/>
      <c r="U12" s="179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23"/>
      <c r="S13" s="230"/>
      <c r="T13" s="236"/>
      <c r="U13" s="232"/>
      <c r="V13" s="236"/>
      <c r="W13" s="232"/>
      <c r="X13" s="232"/>
    </row>
    <row r="14" spans="1:254" ht="15.9" customHeight="1">
      <c r="A14" s="223"/>
      <c r="B14" s="1382" t="s">
        <v>7</v>
      </c>
      <c r="C14" s="221"/>
      <c r="D14" s="1382" t="s">
        <v>1549</v>
      </c>
      <c r="E14" s="221"/>
      <c r="F14" s="1382" t="s">
        <v>7</v>
      </c>
      <c r="G14" s="410"/>
      <c r="H14" s="1382" t="str">
        <f>D14</f>
        <v>10 MOS. ENDED</v>
      </c>
      <c r="I14" s="221"/>
      <c r="J14" s="1382" t="s">
        <v>7</v>
      </c>
      <c r="K14" s="221"/>
      <c r="L14" s="1382" t="str">
        <f>D14</f>
        <v>10 MOS. ENDED</v>
      </c>
      <c r="M14" s="221"/>
      <c r="N14" s="1382" t="s">
        <v>7</v>
      </c>
      <c r="O14" s="221"/>
      <c r="P14" s="1382" t="str">
        <f>H14</f>
        <v>10 MOS. ENDED</v>
      </c>
      <c r="Q14" s="1382"/>
      <c r="R14" s="1826"/>
      <c r="S14" s="1399" t="s">
        <v>8</v>
      </c>
      <c r="T14" s="411"/>
      <c r="U14" s="1400" t="s">
        <v>9</v>
      </c>
      <c r="V14" s="236"/>
      <c r="W14" s="232"/>
      <c r="X14" s="232"/>
    </row>
    <row r="15" spans="1:254" ht="15.9" customHeight="1">
      <c r="A15" s="223"/>
      <c r="B15" s="1383" t="s">
        <v>1548</v>
      </c>
      <c r="C15" s="221"/>
      <c r="D15" s="1384" t="s">
        <v>1550</v>
      </c>
      <c r="E15" s="221"/>
      <c r="F15" s="1382" t="str">
        <f>B15</f>
        <v>JAN. 2018</v>
      </c>
      <c r="G15" s="221"/>
      <c r="H15" s="1382" t="str">
        <f>D15</f>
        <v>JAN. 31, 2018</v>
      </c>
      <c r="I15" s="221"/>
      <c r="J15" s="1382" t="str">
        <f>B15</f>
        <v>JAN. 2018</v>
      </c>
      <c r="K15" s="221"/>
      <c r="L15" s="1382" t="str">
        <f>D15</f>
        <v>JAN. 31, 2018</v>
      </c>
      <c r="M15" s="221"/>
      <c r="N15" s="3510" t="s">
        <v>1551</v>
      </c>
      <c r="O15" s="221"/>
      <c r="P15" s="3510" t="s">
        <v>1552</v>
      </c>
      <c r="Q15" s="1381"/>
      <c r="R15" s="1827"/>
      <c r="S15" s="1405" t="s">
        <v>12</v>
      </c>
      <c r="T15" s="410"/>
      <c r="U15" s="1406"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2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28"/>
      <c r="S17" s="230"/>
      <c r="T17" s="241"/>
      <c r="U17" s="232"/>
      <c r="V17" s="241"/>
      <c r="W17" s="232"/>
      <c r="X17" s="232"/>
    </row>
    <row r="18" spans="1:247" ht="15.9" customHeight="1">
      <c r="A18" s="223" t="s">
        <v>20</v>
      </c>
      <c r="B18" s="1190">
        <f>'Exhibit J'!T19</f>
        <v>4.0999999999999996</v>
      </c>
      <c r="C18" s="1190"/>
      <c r="D18" s="1806">
        <f>+'Exhibit J'!AA19</f>
        <v>49.3</v>
      </c>
      <c r="E18" s="1190"/>
      <c r="F18" s="1806">
        <f>'Exhibit K'!T17</f>
        <v>46.2</v>
      </c>
      <c r="G18" s="1190"/>
      <c r="H18" s="1806">
        <f>+'Exhibit K'!AA17</f>
        <v>417.6</v>
      </c>
      <c r="I18" s="2221"/>
      <c r="J18" s="2221">
        <f>ROUND(SUM(B18)+SUM(F18),1)</f>
        <v>50.3</v>
      </c>
      <c r="K18" s="1190"/>
      <c r="L18" s="2503">
        <f>ROUND(SUM(D18)+SUM(H18),1)</f>
        <v>466.9</v>
      </c>
      <c r="M18" s="2221"/>
      <c r="N18" s="1866">
        <v>37.4</v>
      </c>
      <c r="O18" s="1866"/>
      <c r="P18" s="1866">
        <v>370.7</v>
      </c>
      <c r="Q18" s="1806"/>
      <c r="R18" s="2504"/>
      <c r="S18" s="1190">
        <f>ROUND(SUM(L18-P18),1)</f>
        <v>96.2</v>
      </c>
      <c r="T18" s="2197"/>
      <c r="U18" s="2574">
        <f>ROUND(+S18/P18,3)</f>
        <v>0.26</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66" t="s">
        <v>67</v>
      </c>
      <c r="B19" s="1111">
        <f>'Exhibit J'!T20</f>
        <v>1.5</v>
      </c>
      <c r="C19" s="1111"/>
      <c r="D19" s="1740">
        <f>+'Exhibit J'!AA20</f>
        <v>16</v>
      </c>
      <c r="E19" s="1111"/>
      <c r="F19" s="1191">
        <v>0</v>
      </c>
      <c r="G19" s="1111"/>
      <c r="H19" s="1191">
        <v>0</v>
      </c>
      <c r="I19" s="2506"/>
      <c r="J19" s="2507">
        <f>ROUND(SUM(B19)+SUM(F19),1)</f>
        <v>1.5</v>
      </c>
      <c r="K19" s="1205"/>
      <c r="L19" s="1740">
        <f>ROUND(SUM(D19)+SUM(H19),1)</f>
        <v>16</v>
      </c>
      <c r="M19" s="2508"/>
      <c r="N19" s="1876">
        <v>1.3</v>
      </c>
      <c r="O19" s="1876"/>
      <c r="P19" s="1876">
        <v>16.600000000000001</v>
      </c>
      <c r="Q19" s="1740"/>
      <c r="R19" s="2509"/>
      <c r="S19" s="1111">
        <f>ROUND(SUM(L19-P19),1)</f>
        <v>-0.6</v>
      </c>
      <c r="T19" s="2510"/>
      <c r="U19" s="2798">
        <f>ROUND(+S19/P19,3)</f>
        <v>-3.5999999999999997E-2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1">
        <f>'Exhibit J'!T21</f>
        <v>254.79999999999995</v>
      </c>
      <c r="C20" s="1111"/>
      <c r="D20" s="1740">
        <f>+'Exhibit J'!AA21</f>
        <v>1784.6</v>
      </c>
      <c r="E20" s="1111"/>
      <c r="F20" s="1191">
        <v>0</v>
      </c>
      <c r="G20" s="1111"/>
      <c r="H20" s="1191">
        <v>0</v>
      </c>
      <c r="I20" s="2506"/>
      <c r="J20" s="2511">
        <f>ROUND(SUM(B20+F20),1)</f>
        <v>254.8</v>
      </c>
      <c r="K20" s="1205"/>
      <c r="L20" s="1740">
        <f>ROUND(SUM(D20)+SUM(H20),1)</f>
        <v>1784.6</v>
      </c>
      <c r="M20" s="2508"/>
      <c r="N20" s="1876">
        <v>250.7</v>
      </c>
      <c r="O20" s="1887"/>
      <c r="P20" s="1876">
        <v>1748.4</v>
      </c>
      <c r="Q20" s="1740"/>
      <c r="R20" s="2509"/>
      <c r="S20" s="1111">
        <f>ROUND(SUM(L20-P20),1)</f>
        <v>36.200000000000003</v>
      </c>
      <c r="T20" s="2510"/>
      <c r="U20" s="2574">
        <f>ROUND(+S20/P20,3)</f>
        <v>2.1000000000000001E-2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260.39999999999998</v>
      </c>
      <c r="C21" s="1719"/>
      <c r="D21" s="255">
        <f>ROUND(SUM(D18:D20),1)</f>
        <v>1849.9</v>
      </c>
      <c r="E21" s="1719"/>
      <c r="F21" s="255">
        <f>ROUND(SUM(F18:F20),1)</f>
        <v>46.2</v>
      </c>
      <c r="G21" s="1719"/>
      <c r="H21" s="255">
        <f>ROUND(SUM(H18:H20),1)</f>
        <v>417.6</v>
      </c>
      <c r="I21" s="257"/>
      <c r="J21" s="255">
        <f>SUM(J18:J20)</f>
        <v>306.60000000000002</v>
      </c>
      <c r="K21" s="1719"/>
      <c r="L21" s="255">
        <f>SUM(L18:L20)</f>
        <v>2267.5</v>
      </c>
      <c r="M21" s="258"/>
      <c r="N21" s="523">
        <f>ROUND(SUM(N18:N20),1)</f>
        <v>289.39999999999998</v>
      </c>
      <c r="O21" s="310"/>
      <c r="P21" s="523">
        <f>ROUND(SUM(P18:P20),1)</f>
        <v>2135.6999999999998</v>
      </c>
      <c r="Q21" s="272"/>
      <c r="R21" s="651"/>
      <c r="S21" s="255">
        <f>ROUND(SUM(S18:S20),1)</f>
        <v>131.80000000000001</v>
      </c>
      <c r="T21" s="1203"/>
      <c r="U21" s="2575">
        <f>ROUND(+S21/P21,3)</f>
        <v>6.2E-2</v>
      </c>
      <c r="V21" s="252"/>
      <c r="W21" s="232"/>
      <c r="X21" s="232"/>
    </row>
    <row r="22" spans="1:247" ht="15.6">
      <c r="A22" s="221"/>
      <c r="B22" s="1111"/>
      <c r="C22" s="1111"/>
      <c r="D22" s="1111"/>
      <c r="E22" s="1111"/>
      <c r="F22" s="1111"/>
      <c r="G22" s="1111"/>
      <c r="H22" s="1111"/>
      <c r="I22" s="2507"/>
      <c r="J22" s="2507"/>
      <c r="K22" s="1111"/>
      <c r="L22" s="1111"/>
      <c r="M22" s="2507"/>
      <c r="N22" s="1876"/>
      <c r="O22" s="1672"/>
      <c r="P22" s="1876"/>
      <c r="Q22" s="1740"/>
      <c r="R22" s="2509"/>
      <c r="S22" s="1715"/>
      <c r="T22" s="2512"/>
      <c r="U22" s="2576"/>
      <c r="V22" s="241"/>
      <c r="W22" s="232"/>
      <c r="X22" s="232"/>
    </row>
    <row r="23" spans="1:247" ht="15.9" customHeight="1">
      <c r="A23" s="221" t="s">
        <v>23</v>
      </c>
      <c r="B23" s="1111"/>
      <c r="C23" s="1111"/>
      <c r="D23" s="1111"/>
      <c r="E23" s="1111"/>
      <c r="F23" s="1111"/>
      <c r="G23" s="1111"/>
      <c r="H23" s="1111"/>
      <c r="I23" s="2507"/>
      <c r="J23" s="2507"/>
      <c r="K23" s="1111"/>
      <c r="L23" s="1111"/>
      <c r="M23" s="2507"/>
      <c r="N23" s="1876"/>
      <c r="O23" s="1672"/>
      <c r="P23" s="1876"/>
      <c r="Q23" s="1740"/>
      <c r="R23" s="2509"/>
      <c r="S23" s="1715"/>
      <c r="T23" s="2512"/>
      <c r="U23" s="2576"/>
      <c r="V23" s="241"/>
      <c r="W23" s="232"/>
      <c r="X23" s="232"/>
    </row>
    <row r="24" spans="1:247" ht="15.9" customHeight="1">
      <c r="A24" s="223" t="s">
        <v>36</v>
      </c>
      <c r="B24" s="1111"/>
      <c r="C24" s="1111"/>
      <c r="D24" s="1111"/>
      <c r="E24" s="1111"/>
      <c r="F24" s="1111"/>
      <c r="G24" s="1111"/>
      <c r="H24" s="1111"/>
      <c r="I24" s="2507"/>
      <c r="J24" s="2507"/>
      <c r="K24" s="1111"/>
      <c r="L24" s="1111"/>
      <c r="M24" s="2507"/>
      <c r="N24" s="1876"/>
      <c r="O24" s="1672"/>
      <c r="P24" s="1876"/>
      <c r="Q24" s="1740"/>
      <c r="R24" s="2509"/>
      <c r="S24" s="1715"/>
      <c r="T24" s="2512"/>
      <c r="U24" s="2576"/>
      <c r="V24" s="241"/>
      <c r="W24" s="232"/>
      <c r="X24" s="232"/>
    </row>
    <row r="25" spans="1:247" ht="15.9" customHeight="1">
      <c r="A25" s="223" t="s">
        <v>69</v>
      </c>
      <c r="B25" s="1111">
        <f>'Exhibit J'!T29</f>
        <v>0.3</v>
      </c>
      <c r="C25" s="1111"/>
      <c r="D25" s="1740">
        <f>+'Exhibit J'!AA29</f>
        <v>5.0999999999999996</v>
      </c>
      <c r="E25" s="1111"/>
      <c r="F25" s="1111">
        <f>'Exhibit K'!T25</f>
        <v>7.4</v>
      </c>
      <c r="G25" s="1111"/>
      <c r="H25" s="1111">
        <f>+'Exhibit K'!AA25</f>
        <v>88.1</v>
      </c>
      <c r="I25" s="2507"/>
      <c r="J25" s="2507">
        <f>ROUND(SUM(B25)+SUM(F25),1)</f>
        <v>7.7</v>
      </c>
      <c r="K25" s="1111"/>
      <c r="L25" s="1740">
        <f>ROUND(SUM(D25)+SUM(H25),1)</f>
        <v>93.2</v>
      </c>
      <c r="M25" s="2507"/>
      <c r="N25" s="1876">
        <v>7.5</v>
      </c>
      <c r="O25" s="1876"/>
      <c r="P25" s="1876">
        <v>84.5</v>
      </c>
      <c r="Q25" s="1740"/>
      <c r="R25" s="2509"/>
      <c r="S25" s="1111">
        <f>ROUND(SUM(L25-P25),1)</f>
        <v>8.6999999999999993</v>
      </c>
      <c r="T25" s="1203"/>
      <c r="U25" s="2574">
        <f>ROUND(+S25/P25,3)</f>
        <v>0.10299999999999999</v>
      </c>
      <c r="V25" s="241"/>
      <c r="W25" s="232"/>
      <c r="X25" s="232"/>
    </row>
    <row r="26" spans="1:247" ht="15.9" customHeight="1">
      <c r="A26" s="223" t="s">
        <v>70</v>
      </c>
      <c r="B26" s="2800">
        <f>'Exhibit J'!T30</f>
        <v>3.8</v>
      </c>
      <c r="C26" s="1111"/>
      <c r="D26" s="1740">
        <f>+'Exhibit J'!AA30</f>
        <v>42.8</v>
      </c>
      <c r="E26" s="1111"/>
      <c r="F26" s="1111">
        <f>'Exhibit K'!T26</f>
        <v>46.3</v>
      </c>
      <c r="G26" s="1111"/>
      <c r="H26" s="1111">
        <f>+'Exhibit K'!AA26</f>
        <v>402.2</v>
      </c>
      <c r="I26" s="2507"/>
      <c r="J26" s="2507">
        <f>ROUND(SUM(B26)+SUM(F26),1)</f>
        <v>50.1</v>
      </c>
      <c r="K26" s="1111"/>
      <c r="L26" s="1740">
        <f>ROUND(SUM(D26)+SUM(H26),1)</f>
        <v>445</v>
      </c>
      <c r="M26" s="2507"/>
      <c r="N26" s="1876">
        <v>32</v>
      </c>
      <c r="O26" s="1876"/>
      <c r="P26" s="1876">
        <v>387.2</v>
      </c>
      <c r="Q26" s="1740"/>
      <c r="R26" s="2509"/>
      <c r="S26" s="1111">
        <f>ROUND(SUM(L26-P26),1)</f>
        <v>57.8</v>
      </c>
      <c r="T26" s="1203"/>
      <c r="U26" s="2574">
        <f>ROUND(+S26/P26,3)</f>
        <v>0.14899999999999999</v>
      </c>
      <c r="V26" s="241"/>
      <c r="W26" s="232"/>
      <c r="X26" s="232"/>
    </row>
    <row r="27" spans="1:247" ht="15.9" customHeight="1">
      <c r="A27" s="223" t="s">
        <v>71</v>
      </c>
      <c r="B27" s="2800">
        <f>'Exhibit J'!T31</f>
        <v>0</v>
      </c>
      <c r="C27" s="1111"/>
      <c r="D27" s="1740">
        <f>+'Exhibit J'!AA31</f>
        <v>0.8</v>
      </c>
      <c r="E27" s="1740"/>
      <c r="F27" s="1111">
        <f>'Exhibit K'!T27</f>
        <v>2.4</v>
      </c>
      <c r="G27" s="1111"/>
      <c r="H27" s="2513">
        <f>+'Exhibit K'!AA27</f>
        <v>46.1</v>
      </c>
      <c r="I27" s="1740"/>
      <c r="J27" s="2507">
        <f>ROUND(SUM(B27)+SUM(F27),1)</f>
        <v>2.4</v>
      </c>
      <c r="K27" s="1111"/>
      <c r="L27" s="1740">
        <f>ROUND(SUM(D27)+SUM(H27),1)</f>
        <v>46.9</v>
      </c>
      <c r="M27" s="2507"/>
      <c r="N27" s="2966">
        <v>2.1</v>
      </c>
      <c r="O27" s="1887"/>
      <c r="P27" s="1876">
        <v>38</v>
      </c>
      <c r="Q27" s="1740"/>
      <c r="R27" s="2509"/>
      <c r="S27" s="1111">
        <f>ROUND(SUM(L27-P27),1)</f>
        <v>8.9</v>
      </c>
      <c r="T27" s="1203"/>
      <c r="U27" s="2574">
        <f>ROUND(+S27/P27,3)</f>
        <v>0.23400000000000001</v>
      </c>
      <c r="V27" s="241"/>
      <c r="W27" s="232"/>
      <c r="X27" s="232"/>
    </row>
    <row r="28" spans="1:247" ht="15.75" customHeight="1">
      <c r="A28" s="1566" t="s">
        <v>72</v>
      </c>
      <c r="B28" s="2800">
        <f>'Exhibit J'!T32</f>
        <v>256.59999999999991</v>
      </c>
      <c r="C28" s="1111"/>
      <c r="D28" s="1740">
        <f>+'Exhibit J'!AA32</f>
        <v>1801.1</v>
      </c>
      <c r="E28" s="1111"/>
      <c r="F28" s="1744">
        <v>0</v>
      </c>
      <c r="G28" s="1111"/>
      <c r="H28" s="2515">
        <v>0</v>
      </c>
      <c r="I28" s="1740"/>
      <c r="J28" s="2507">
        <f>ROUND(SUM(B28)+SUM(F28),1)</f>
        <v>256.60000000000002</v>
      </c>
      <c r="K28" s="2185"/>
      <c r="L28" s="1740">
        <f>ROUND(SUM(D28)+SUM(H28),1)</f>
        <v>1801.1</v>
      </c>
      <c r="M28" s="2516"/>
      <c r="N28" s="1893">
        <v>252.4</v>
      </c>
      <c r="O28" s="1883"/>
      <c r="P28" s="1893">
        <v>1809.6</v>
      </c>
      <c r="Q28" s="1809"/>
      <c r="R28" s="2517"/>
      <c r="S28" s="1111">
        <f>ROUND(SUM(L28-P28),1)</f>
        <v>-8.5</v>
      </c>
      <c r="T28" s="1203"/>
      <c r="U28" s="2574">
        <f>ROUND(+S28/P28,3)</f>
        <v>-5.0000000000000001E-3</v>
      </c>
      <c r="V28" s="252"/>
      <c r="W28" s="232"/>
      <c r="X28" s="232"/>
    </row>
    <row r="29" spans="1:247" ht="15.6">
      <c r="A29" s="221" t="s">
        <v>59</v>
      </c>
      <c r="B29" s="255">
        <f>ROUND(SUM(B25:B28),1)</f>
        <v>260.7</v>
      </c>
      <c r="C29" s="1719"/>
      <c r="D29" s="255">
        <f>ROUND(SUM(D25:D28),1)</f>
        <v>1849.8</v>
      </c>
      <c r="E29" s="1719"/>
      <c r="F29" s="255">
        <f>ROUND(SUM(F24:F28),1)</f>
        <v>56.1</v>
      </c>
      <c r="G29" s="1719"/>
      <c r="H29" s="255">
        <f>ROUND(SUM(H25:H28),1)</f>
        <v>536.4</v>
      </c>
      <c r="I29" s="257"/>
      <c r="J29" s="267">
        <f>ROUND(SUM(J25:J28),1)</f>
        <v>316.8</v>
      </c>
      <c r="K29" s="1719"/>
      <c r="L29" s="268">
        <f>ROUND(SUM(L25:L28),1)</f>
        <v>2386.1999999999998</v>
      </c>
      <c r="M29" s="258"/>
      <c r="N29" s="523">
        <f>ROUND(SUM(N25:N28),1)</f>
        <v>294</v>
      </c>
      <c r="O29" s="310"/>
      <c r="P29" s="523">
        <f>ROUND(SUM(P25:P28),1)</f>
        <v>2319.3000000000002</v>
      </c>
      <c r="Q29" s="272"/>
      <c r="R29" s="651"/>
      <c r="S29" s="255">
        <f>ROUND(SUM(S25:S28),1)</f>
        <v>66.900000000000006</v>
      </c>
      <c r="T29" s="1203"/>
      <c r="U29" s="2577">
        <f>ROUND(+S29/P29,3)</f>
        <v>2.9000000000000001E-2</v>
      </c>
      <c r="V29" s="252"/>
      <c r="W29" s="232"/>
      <c r="X29" s="232"/>
    </row>
    <row r="30" spans="1:247" ht="15.6">
      <c r="A30" s="221"/>
      <c r="B30" s="1111"/>
      <c r="C30" s="1111"/>
      <c r="D30" s="1111"/>
      <c r="E30" s="1111"/>
      <c r="F30" s="1111"/>
      <c r="G30" s="1111"/>
      <c r="H30" s="1111"/>
      <c r="I30" s="2507"/>
      <c r="J30" s="2507"/>
      <c r="K30" s="1111"/>
      <c r="L30" s="1111"/>
      <c r="M30" s="2507"/>
      <c r="N30" s="1876"/>
      <c r="O30" s="1672"/>
      <c r="P30" s="1876"/>
      <c r="Q30" s="1740"/>
      <c r="R30" s="2509"/>
      <c r="S30" s="1715"/>
      <c r="T30" s="2512"/>
      <c r="U30" s="2576"/>
      <c r="V30" s="241"/>
      <c r="W30" s="232"/>
      <c r="X30" s="232"/>
    </row>
    <row r="31" spans="1:247" ht="15.9" customHeight="1">
      <c r="A31" s="221" t="s">
        <v>44</v>
      </c>
      <c r="B31" s="1111"/>
      <c r="C31" s="1111"/>
      <c r="D31" s="1111"/>
      <c r="E31" s="1111"/>
      <c r="F31" s="1111"/>
      <c r="G31" s="1111"/>
      <c r="H31" s="1111"/>
      <c r="I31" s="2507"/>
      <c r="J31" s="2507"/>
      <c r="K31" s="1111"/>
      <c r="L31" s="1111"/>
      <c r="M31" s="2507"/>
      <c r="N31" s="1876"/>
      <c r="O31" s="1672"/>
      <c r="P31" s="1876"/>
      <c r="Q31" s="1740"/>
      <c r="R31" s="2509"/>
      <c r="S31" s="1715"/>
      <c r="T31" s="2512"/>
      <c r="U31" s="2576"/>
      <c r="V31" s="241"/>
      <c r="W31" s="232"/>
      <c r="X31" s="232"/>
    </row>
    <row r="32" spans="1:247" ht="15.6">
      <c r="A32" s="221" t="s">
        <v>73</v>
      </c>
      <c r="B32" s="269">
        <f>ROUND(SUM(B21-B29),1)</f>
        <v>-0.3</v>
      </c>
      <c r="C32" s="1719"/>
      <c r="D32" s="270">
        <f>ROUND(SUM(D21-D29),1)</f>
        <v>0.1</v>
      </c>
      <c r="E32" s="1719"/>
      <c r="F32" s="270">
        <f>ROUND(SUM(F21-F29),1)</f>
        <v>-9.9</v>
      </c>
      <c r="G32" s="1719"/>
      <c r="H32" s="270">
        <f>ROUND(SUM(H21-H29),1)</f>
        <v>-118.8</v>
      </c>
      <c r="I32" s="258"/>
      <c r="J32" s="271">
        <f>ROUND(SUM(J21-J29),1)</f>
        <v>-10.199999999999999</v>
      </c>
      <c r="K32" s="1719"/>
      <c r="L32" s="270">
        <f>ROUND(SUM(L21-L29),1)</f>
        <v>-118.7</v>
      </c>
      <c r="M32" s="258"/>
      <c r="N32" s="311">
        <f>ROUND(SUM(N21-N29),1)</f>
        <v>-4.5999999999999996</v>
      </c>
      <c r="O32" s="313"/>
      <c r="P32" s="311">
        <f>ROUND(SUM(P21-P29),1)</f>
        <v>-183.6</v>
      </c>
      <c r="Q32" s="272"/>
      <c r="R32" s="651"/>
      <c r="S32" s="270">
        <f>ROUND(SUM(S21-S29),1)</f>
        <v>64.900000000000006</v>
      </c>
      <c r="T32" s="2512"/>
      <c r="U32" s="2978">
        <f>ROUND(S32/P32,3)*-1</f>
        <v>0.35299999999999998</v>
      </c>
      <c r="V32" s="241"/>
      <c r="W32" s="232"/>
      <c r="X32" s="232"/>
    </row>
    <row r="33" spans="1:247">
      <c r="A33" s="223"/>
      <c r="B33" s="1111"/>
      <c r="C33" s="1111"/>
      <c r="D33" s="1111"/>
      <c r="E33" s="1111"/>
      <c r="F33" s="1111"/>
      <c r="G33" s="1111"/>
      <c r="H33" s="1111"/>
      <c r="I33" s="2507"/>
      <c r="J33" s="2507"/>
      <c r="K33" s="1111"/>
      <c r="L33" s="1111"/>
      <c r="M33" s="2507"/>
      <c r="N33" s="1876"/>
      <c r="O33" s="1672"/>
      <c r="P33" s="1876"/>
      <c r="Q33" s="1740"/>
      <c r="R33" s="2509"/>
      <c r="S33" s="1715"/>
      <c r="T33" s="2512"/>
      <c r="U33" s="2576"/>
      <c r="V33" s="241"/>
      <c r="W33" s="232"/>
      <c r="X33" s="232"/>
    </row>
    <row r="34" spans="1:247" ht="15.9" customHeight="1">
      <c r="A34" s="221" t="s">
        <v>46</v>
      </c>
      <c r="B34" s="1111"/>
      <c r="C34" s="1111"/>
      <c r="D34" s="1111"/>
      <c r="E34" s="1111"/>
      <c r="F34" s="1111"/>
      <c r="G34" s="1111"/>
      <c r="H34" s="1111"/>
      <c r="I34" s="2507"/>
      <c r="J34" s="2507"/>
      <c r="K34" s="1111"/>
      <c r="L34" s="1111"/>
      <c r="M34" s="2507"/>
      <c r="N34" s="1876"/>
      <c r="O34" s="1672"/>
      <c r="P34" s="1876"/>
      <c r="Q34" s="1740"/>
      <c r="R34" s="2509"/>
      <c r="S34" s="1715"/>
      <c r="T34" s="2512"/>
      <c r="U34" s="2576"/>
      <c r="V34" s="241"/>
      <c r="W34" s="232"/>
      <c r="X34" s="232"/>
    </row>
    <row r="35" spans="1:247" ht="15.9" customHeight="1">
      <c r="A35" s="223" t="s">
        <v>48</v>
      </c>
      <c r="B35" s="1744">
        <f>'Exhibit J'!T44</f>
        <v>0</v>
      </c>
      <c r="C35" s="1111"/>
      <c r="D35" s="1744">
        <f>+'Exhibit J'!AA44</f>
        <v>0</v>
      </c>
      <c r="E35" s="1111"/>
      <c r="F35" s="1111">
        <f>'Exhibit K'!T39</f>
        <v>3</v>
      </c>
      <c r="G35" s="1262"/>
      <c r="H35" s="2518">
        <f>+'Exhibit K'!AA39</f>
        <v>48.8</v>
      </c>
      <c r="I35" s="2507"/>
      <c r="J35" s="2507">
        <f>ROUND(SUM(B35)+SUM(F35),1)</f>
        <v>3</v>
      </c>
      <c r="K35" s="1262"/>
      <c r="L35" s="2513">
        <f>ROUND(SUM(D35)+SUM(H35),1)</f>
        <v>48.8</v>
      </c>
      <c r="M35" s="1740"/>
      <c r="N35" s="2966">
        <v>2.2000000000000002</v>
      </c>
      <c r="O35" s="1876"/>
      <c r="P35" s="2966">
        <v>31.6</v>
      </c>
      <c r="Q35" s="2514"/>
      <c r="R35" s="2519"/>
      <c r="S35" s="1111">
        <f>ROUND(SUM(L35-P35),1)</f>
        <v>17.2</v>
      </c>
      <c r="T35" s="1203"/>
      <c r="U35" s="2501">
        <f>ROUND(IF(S35=0,0,S35/(P35)),3)</f>
        <v>0.54400000000000004</v>
      </c>
      <c r="V35" s="277"/>
      <c r="W35" s="232"/>
      <c r="X35" s="232"/>
    </row>
    <row r="36" spans="1:247" ht="15.9" customHeight="1">
      <c r="A36" s="223" t="s">
        <v>74</v>
      </c>
      <c r="B36" s="2520">
        <f>'Exhibit J'!T45</f>
        <v>0</v>
      </c>
      <c r="C36" s="1674"/>
      <c r="D36" s="2521">
        <f>+'Exhibit J'!AA45</f>
        <v>0</v>
      </c>
      <c r="E36" s="1111"/>
      <c r="F36" s="1111">
        <f>'Exhibit K'!T40</f>
        <v>-0.1</v>
      </c>
      <c r="G36" s="1111"/>
      <c r="H36" s="2518">
        <f>+'Exhibit K'!AA40</f>
        <v>-10.4</v>
      </c>
      <c r="I36" s="2522"/>
      <c r="J36" s="2507">
        <f>ROUND(SUM(B36)+SUM(F36),1)</f>
        <v>-0.1</v>
      </c>
      <c r="K36" s="1111"/>
      <c r="L36" s="1740">
        <f>ROUND(SUM(D36)+SUM(H36),1)</f>
        <v>-10.4</v>
      </c>
      <c r="M36" s="2507"/>
      <c r="N36" s="2967">
        <v>-2.7</v>
      </c>
      <c r="O36" s="1887"/>
      <c r="P36" s="2968">
        <v>-10.6</v>
      </c>
      <c r="Q36" s="2514"/>
      <c r="R36" s="2519"/>
      <c r="S36" s="3512">
        <f>ROUND(SUM(L36-P36),1)*-1</f>
        <v>-0.2</v>
      </c>
      <c r="T36" s="1203"/>
      <c r="U36" s="2501">
        <f>ROUND(IF(S36=0,0,S36/ABS(P36)),3)</f>
        <v>-1.9E-2</v>
      </c>
      <c r="V36" s="276"/>
      <c r="W36" s="232"/>
      <c r="X36" s="232"/>
    </row>
    <row r="37" spans="1:247" ht="15.6">
      <c r="A37" s="221" t="s">
        <v>50</v>
      </c>
      <c r="B37" s="279">
        <f>ROUND(SUM(B35:B36),1)</f>
        <v>0</v>
      </c>
      <c r="C37" s="280"/>
      <c r="D37" s="279">
        <f>ROUND(SUM(D35:D36),1)</f>
        <v>0</v>
      </c>
      <c r="E37" s="1719"/>
      <c r="F37" s="281">
        <f>ROUND(SUM(F35:F36),1)</f>
        <v>2.9</v>
      </c>
      <c r="G37" s="282"/>
      <c r="H37" s="283">
        <f>ROUND(SUM(H35:H36),1)</f>
        <v>38.4</v>
      </c>
      <c r="I37" s="272"/>
      <c r="J37" s="284">
        <f>ROUND(SUM(J35:J36),1)</f>
        <v>2.9</v>
      </c>
      <c r="K37" s="282"/>
      <c r="L37" s="283">
        <f>ROUND(SUM(L35:L36),1)</f>
        <v>38.4</v>
      </c>
      <c r="M37" s="258"/>
      <c r="N37" s="2969">
        <f>ROUND(SUM(N35:N36),1)</f>
        <v>-0.5</v>
      </c>
      <c r="O37" s="310"/>
      <c r="P37" s="2969">
        <f>ROUND(SUM(P35:P36),1)</f>
        <v>21</v>
      </c>
      <c r="Q37" s="1819"/>
      <c r="R37" s="1829"/>
      <c r="S37" s="281">
        <f>L37-P37</f>
        <v>17.399999999999999</v>
      </c>
      <c r="T37" s="2523"/>
      <c r="U37" s="524">
        <f>ROUND(SUM(S37/P37),3)</f>
        <v>0.82899999999999996</v>
      </c>
      <c r="V37" s="285"/>
      <c r="W37" s="232"/>
      <c r="X37" s="232"/>
    </row>
    <row r="38" spans="1:247" ht="15.6">
      <c r="A38" s="221"/>
      <c r="B38" s="1277"/>
      <c r="C38" s="1111"/>
      <c r="D38" s="1277"/>
      <c r="E38" s="1111"/>
      <c r="F38" s="1740"/>
      <c r="G38" s="1111"/>
      <c r="H38" s="1740"/>
      <c r="I38" s="2507"/>
      <c r="J38" s="2507"/>
      <c r="K38" s="1111"/>
      <c r="L38" s="1277"/>
      <c r="M38" s="2507"/>
      <c r="N38" s="1876"/>
      <c r="O38" s="1672"/>
      <c r="P38" s="1876"/>
      <c r="Q38" s="1740"/>
      <c r="R38" s="2509"/>
      <c r="S38" s="1715"/>
      <c r="T38" s="2512"/>
      <c r="U38" s="1577"/>
      <c r="V38" s="241"/>
      <c r="W38" s="232"/>
      <c r="X38" s="232"/>
    </row>
    <row r="39" spans="1:247" ht="15.75" customHeight="1">
      <c r="A39" s="221" t="s">
        <v>44</v>
      </c>
      <c r="B39" s="1111"/>
      <c r="C39" s="1111"/>
      <c r="D39" s="1111"/>
      <c r="E39" s="1111"/>
      <c r="F39" s="1111"/>
      <c r="G39" s="1111"/>
      <c r="H39" s="1111"/>
      <c r="I39" s="2507"/>
      <c r="J39" s="2507"/>
      <c r="K39" s="1111"/>
      <c r="L39" s="1111"/>
      <c r="M39" s="2507"/>
      <c r="N39" s="1876"/>
      <c r="O39" s="1672"/>
      <c r="P39" s="1876"/>
      <c r="Q39" s="1740"/>
      <c r="R39" s="2509"/>
      <c r="S39" s="1715"/>
      <c r="T39" s="2512"/>
      <c r="U39" s="1577"/>
      <c r="V39" s="241"/>
      <c r="W39" s="232"/>
      <c r="X39" s="232"/>
    </row>
    <row r="40" spans="1:247" ht="15.75" customHeight="1">
      <c r="A40" s="221" t="s">
        <v>75</v>
      </c>
      <c r="B40" s="1111"/>
      <c r="C40" s="1111"/>
      <c r="D40" s="1111"/>
      <c r="E40" s="1111"/>
      <c r="F40" s="1111"/>
      <c r="G40" s="1111"/>
      <c r="H40" s="1111"/>
      <c r="I40" s="2507"/>
      <c r="J40" s="2507"/>
      <c r="K40" s="1111"/>
      <c r="L40" s="1111"/>
      <c r="M40" s="2507"/>
      <c r="N40" s="1876"/>
      <c r="O40" s="1672"/>
      <c r="P40" s="1876"/>
      <c r="Q40" s="1740"/>
      <c r="R40" s="2509"/>
      <c r="S40" s="1715"/>
      <c r="T40" s="2512"/>
      <c r="U40" s="1577"/>
      <c r="V40" s="241"/>
      <c r="W40" s="232"/>
      <c r="X40" s="232"/>
    </row>
    <row r="41" spans="1:247" ht="15.75" customHeight="1">
      <c r="A41" s="221" t="s">
        <v>76</v>
      </c>
      <c r="B41" s="1111"/>
      <c r="C41" s="1111"/>
      <c r="D41" s="1111"/>
      <c r="E41" s="1111"/>
      <c r="F41" s="1111"/>
      <c r="G41" s="1111"/>
      <c r="H41" s="1111"/>
      <c r="I41" s="2507"/>
      <c r="J41" s="2507"/>
      <c r="K41" s="1111"/>
      <c r="L41" s="1111"/>
      <c r="M41" s="2507"/>
      <c r="N41" s="1876"/>
      <c r="O41" s="1672"/>
      <c r="P41" s="1876"/>
      <c r="Q41" s="1740"/>
      <c r="R41" s="2509"/>
      <c r="S41" s="1715"/>
      <c r="T41" s="2512"/>
      <c r="U41" s="1577"/>
      <c r="V41" s="241"/>
      <c r="W41" s="232"/>
      <c r="X41" s="232"/>
    </row>
    <row r="42" spans="1:247" ht="15.75" customHeight="1">
      <c r="A42" s="221" t="s">
        <v>77</v>
      </c>
      <c r="B42" s="287">
        <f>ROUND(SUM(B32,B37),1)</f>
        <v>-0.3</v>
      </c>
      <c r="C42" s="1719"/>
      <c r="D42" s="287">
        <f>ROUND(SUM(D32,D37),1)</f>
        <v>0.1</v>
      </c>
      <c r="E42" s="1719"/>
      <c r="F42" s="287">
        <f>ROUND(SUM(F32,F37),1)</f>
        <v>-7</v>
      </c>
      <c r="G42" s="1719"/>
      <c r="H42" s="287">
        <f>ROUND(SUM(H32,H37),1)</f>
        <v>-80.400000000000006</v>
      </c>
      <c r="I42" s="288"/>
      <c r="J42" s="287">
        <f>ROUND(SUM(J32,J37),1)</f>
        <v>-7.3</v>
      </c>
      <c r="K42" s="1719"/>
      <c r="L42" s="287">
        <f>ROUND(SUM(L32,L37),1)</f>
        <v>-80.3</v>
      </c>
      <c r="M42" s="258"/>
      <c r="N42" s="2970">
        <f>ROUND(SUM(N32,N37),1)</f>
        <v>-5.0999999999999996</v>
      </c>
      <c r="O42" s="310"/>
      <c r="P42" s="2970">
        <f>ROUND(SUM(P32,P37),1)</f>
        <v>-162.6</v>
      </c>
      <c r="Q42" s="287"/>
      <c r="R42" s="1830"/>
      <c r="S42" s="287">
        <f>ROUND(SUM(S32,S37),1)</f>
        <v>82.3</v>
      </c>
      <c r="T42" s="289"/>
      <c r="U42" s="2681">
        <f>ROUND(IF(S42=0,0,S42/ABS(P42)),3)</f>
        <v>0.50600000000000001</v>
      </c>
      <c r="V42" s="241"/>
      <c r="W42" s="232"/>
      <c r="X42" s="232"/>
    </row>
    <row r="43" spans="1:247" ht="15.6">
      <c r="A43" s="221"/>
      <c r="B43" s="1111"/>
      <c r="C43" s="1111"/>
      <c r="D43" s="1111"/>
      <c r="E43" s="1111"/>
      <c r="F43" s="1111"/>
      <c r="G43" s="1111"/>
      <c r="H43" s="1111"/>
      <c r="I43" s="2507"/>
      <c r="J43" s="2507"/>
      <c r="K43" s="1111"/>
      <c r="L43" s="1111"/>
      <c r="M43" s="2507"/>
      <c r="N43" s="1876"/>
      <c r="O43" s="1672"/>
      <c r="P43" s="1876"/>
      <c r="Q43" s="1740"/>
      <c r="R43" s="2509"/>
      <c r="S43" s="1715"/>
      <c r="T43" s="2512"/>
      <c r="U43" s="1715"/>
      <c r="V43" s="241"/>
      <c r="W43" s="232"/>
      <c r="X43" s="232"/>
    </row>
    <row r="44" spans="1:247" s="259" customFormat="1" ht="15.6">
      <c r="A44" s="221" t="s">
        <v>78</v>
      </c>
      <c r="B44" s="1719">
        <f>'Exhibit J'!T16</f>
        <v>24</v>
      </c>
      <c r="C44" s="1719"/>
      <c r="D44" s="1719">
        <f>+'Exhibit J'!AA16</f>
        <v>23.6</v>
      </c>
      <c r="E44" s="1719"/>
      <c r="F44" s="1719">
        <f>'Exhibit K'!T14</f>
        <v>-273.8</v>
      </c>
      <c r="G44" s="1719"/>
      <c r="H44" s="1719">
        <f>+'Exhibit K'!AA14</f>
        <v>-200.4</v>
      </c>
      <c r="I44" s="258"/>
      <c r="J44" s="258">
        <f>ROUND(SUM(B44)+SUM(F44),1)</f>
        <v>-249.8</v>
      </c>
      <c r="K44" s="1719"/>
      <c r="L44" s="1719">
        <f>ROUND(SUM(D44)+SUM(H44),1)</f>
        <v>-176.8</v>
      </c>
      <c r="M44" s="258"/>
      <c r="N44" s="311">
        <v>-218.6</v>
      </c>
      <c r="O44" s="310"/>
      <c r="P44" s="311">
        <v>-61.1</v>
      </c>
      <c r="Q44" s="272"/>
      <c r="R44" s="651"/>
      <c r="S44" s="1719">
        <f>ROUND(SUM(L44-P44),1)</f>
        <v>-115.7</v>
      </c>
      <c r="T44" s="289"/>
      <c r="U44" s="2681">
        <f>-ROUND(SUM(S44/P44),3)</f>
        <v>-1.8939999999999999</v>
      </c>
      <c r="V44" s="289"/>
      <c r="W44" s="290"/>
      <c r="X44" s="290"/>
    </row>
    <row r="45" spans="1:247" ht="16.2" thickBot="1">
      <c r="A45" s="221" t="s">
        <v>79</v>
      </c>
      <c r="B45" s="291">
        <f>ROUND(SUM(B42+B44),1)</f>
        <v>23.7</v>
      </c>
      <c r="C45" s="292"/>
      <c r="D45" s="291">
        <f>ROUND(SUM(D42+D44),1)</f>
        <v>23.7</v>
      </c>
      <c r="E45" s="292"/>
      <c r="F45" s="291">
        <f>ROUND(SUM(F42+F44),1)</f>
        <v>-280.8</v>
      </c>
      <c r="G45" s="292"/>
      <c r="H45" s="291">
        <f>ROUND(SUM(H42+H44),1)</f>
        <v>-280.8</v>
      </c>
      <c r="I45" s="293"/>
      <c r="J45" s="294">
        <f>ROUND(SUM(J42+J44),1)</f>
        <v>-257.10000000000002</v>
      </c>
      <c r="K45" s="292"/>
      <c r="L45" s="295">
        <f>ROUND(SUM(L42+L44),1)</f>
        <v>-257.10000000000002</v>
      </c>
      <c r="M45" s="293"/>
      <c r="N45" s="2651">
        <f>ROUND(SUM(N42+N44),1)</f>
        <v>-223.7</v>
      </c>
      <c r="O45" s="334"/>
      <c r="P45" s="2651">
        <f>ROUND(SUM(P42+P44),1)</f>
        <v>-223.7</v>
      </c>
      <c r="Q45" s="421"/>
      <c r="R45" s="642"/>
      <c r="S45" s="296">
        <f>ROUND(SUM(S42+S44),1)</f>
        <v>-33.4</v>
      </c>
      <c r="T45" s="2197"/>
      <c r="U45" s="2632">
        <f>ROUND(SUM(S45/ABS(P45)),3)</f>
        <v>-0.14899999999999999</v>
      </c>
      <c r="V45" s="244"/>
      <c r="W45" s="232"/>
      <c r="X45" s="232"/>
    </row>
    <row r="46" spans="1:247" ht="3.9" customHeight="1" thickTop="1">
      <c r="A46" s="223"/>
      <c r="B46" s="2524"/>
      <c r="C46" s="1723"/>
      <c r="D46" s="2524"/>
      <c r="E46" s="1723"/>
      <c r="F46" s="2524"/>
      <c r="G46" s="1723"/>
      <c r="H46" s="2524"/>
      <c r="I46" s="1723"/>
      <c r="J46" s="2524"/>
      <c r="K46" s="1723"/>
      <c r="L46" s="2524"/>
      <c r="M46" s="1723"/>
      <c r="N46" s="2197"/>
      <c r="O46" s="1723"/>
      <c r="P46" s="2197"/>
      <c r="Q46" s="2197"/>
      <c r="R46" s="2197"/>
      <c r="S46" s="1723"/>
      <c r="T46" s="2525"/>
      <c r="U46" s="2526"/>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79"/>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07"/>
      <c r="R48" s="1820"/>
    </row>
    <row r="49" spans="1:21">
      <c r="A49" s="1279"/>
      <c r="B49" s="230"/>
      <c r="C49" s="230"/>
      <c r="D49" s="230"/>
      <c r="E49" s="230"/>
      <c r="F49" s="230"/>
      <c r="G49" s="230"/>
      <c r="H49" s="230"/>
      <c r="I49" s="230"/>
      <c r="J49" s="230"/>
      <c r="K49" s="230"/>
      <c r="L49" s="230"/>
      <c r="M49" s="230"/>
      <c r="N49" s="230"/>
      <c r="O49" s="230"/>
      <c r="P49" s="230"/>
      <c r="Q49" s="230"/>
      <c r="R49" s="301"/>
      <c r="S49" s="230"/>
      <c r="T49" s="301"/>
      <c r="U49" s="230"/>
    </row>
    <row r="50" spans="1:21">
      <c r="A50" s="1279"/>
      <c r="B50" s="230"/>
      <c r="C50" s="230"/>
      <c r="D50" s="230"/>
      <c r="E50" s="230"/>
      <c r="F50" s="230"/>
      <c r="G50" s="230"/>
      <c r="H50" s="230"/>
      <c r="I50" s="230"/>
      <c r="J50" s="230"/>
      <c r="K50" s="230"/>
      <c r="L50" s="230"/>
      <c r="M50" s="230"/>
      <c r="N50" s="230"/>
      <c r="O50" s="230"/>
      <c r="P50" s="230"/>
      <c r="Q50" s="230"/>
      <c r="R50" s="301"/>
      <c r="S50" s="230"/>
      <c r="T50" s="301"/>
      <c r="U50" s="230"/>
    </row>
    <row r="51" spans="1:21">
      <c r="A51" s="1279"/>
      <c r="B51" s="230"/>
      <c r="C51" s="230"/>
      <c r="D51" s="230"/>
      <c r="E51" s="230"/>
      <c r="F51" s="230"/>
      <c r="G51" s="230"/>
      <c r="H51" s="230"/>
      <c r="I51" s="230"/>
      <c r="J51" s="230"/>
      <c r="K51" s="230"/>
      <c r="L51" s="230"/>
      <c r="M51" s="230"/>
      <c r="N51" s="230"/>
      <c r="O51" s="230"/>
      <c r="P51" s="230"/>
      <c r="Q51" s="230"/>
      <c r="R51" s="301"/>
      <c r="S51" s="3360"/>
      <c r="T51" s="301"/>
      <c r="U51" s="230"/>
    </row>
    <row r="52" spans="1:21">
      <c r="A52" s="1279"/>
      <c r="B52" s="230"/>
      <c r="C52" s="230"/>
      <c r="D52" s="230"/>
      <c r="E52" s="230"/>
      <c r="F52" s="230"/>
      <c r="G52" s="230"/>
      <c r="H52" s="230"/>
      <c r="I52" s="230"/>
      <c r="J52" s="230"/>
      <c r="K52" s="230"/>
      <c r="L52" s="230"/>
      <c r="M52" s="230"/>
      <c r="N52" s="230"/>
      <c r="O52" s="230"/>
      <c r="P52" s="230"/>
      <c r="Q52" s="230"/>
      <c r="R52" s="301"/>
      <c r="S52" s="230"/>
      <c r="T52" s="301"/>
      <c r="U52" s="230"/>
    </row>
    <row r="53" spans="1:21">
      <c r="A53" s="1715"/>
    </row>
    <row r="54" spans="1:21">
      <c r="A54" s="1715"/>
    </row>
    <row r="55" spans="1:21">
      <c r="A55" s="1715"/>
    </row>
    <row r="56" spans="1:21">
      <c r="A56" s="1715"/>
    </row>
    <row r="57" spans="1:21">
      <c r="A57" s="171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65" customWidth="1"/>
    <col min="2" max="2" width="13.81640625" style="1665" customWidth="1"/>
    <col min="3" max="3" width="1.81640625" style="1665" customWidth="1"/>
    <col min="4" max="4" width="16" style="1665" bestFit="1" customWidth="1"/>
    <col min="5" max="5" width="2.453125" style="1665" customWidth="1"/>
    <col min="6" max="6" width="13.81640625" style="1665" customWidth="1"/>
    <col min="7" max="7" width="1.6328125" style="1665" customWidth="1"/>
    <col min="8" max="8" width="16" style="1665" bestFit="1" customWidth="1"/>
    <col min="9" max="9" width="1.81640625" style="1665" customWidth="1"/>
    <col min="10" max="10" width="13.81640625" style="1665" customWidth="1"/>
    <col min="11" max="11" width="1.6328125" style="1665" customWidth="1"/>
    <col min="12" max="12" width="15" style="1665" customWidth="1"/>
    <col min="13" max="13" width="0.54296875" style="1665" customWidth="1"/>
    <col min="14" max="14" width="13.81640625" style="1665" customWidth="1"/>
    <col min="15" max="15" width="1.453125" style="1665" customWidth="1"/>
    <col min="16" max="16" width="14.81640625" style="1665" customWidth="1"/>
    <col min="17" max="17" width="1.54296875" style="1665" customWidth="1"/>
    <col min="18" max="18" width="2.08984375" style="1842" customWidth="1"/>
    <col min="19" max="19" width="9.6328125" style="1665" customWidth="1"/>
    <col min="20" max="20" width="2.453125" style="1842" customWidth="1"/>
    <col min="21" max="21" width="11.08984375" style="1665" bestFit="1" customWidth="1"/>
    <col min="22" max="16384" width="8.90625" style="1665"/>
  </cols>
  <sheetData>
    <row r="1" spans="1:252">
      <c r="A1" s="1124" t="s">
        <v>1066</v>
      </c>
    </row>
    <row r="2" spans="1:252">
      <c r="A2" s="1578"/>
    </row>
    <row r="3" spans="1:252" s="1843" customFormat="1" ht="15.6">
      <c r="A3" s="303" t="s">
        <v>0</v>
      </c>
      <c r="B3" s="303"/>
      <c r="C3" s="303"/>
      <c r="D3" s="303"/>
      <c r="E3" s="303"/>
      <c r="F3" s="1665"/>
      <c r="G3" s="1665"/>
      <c r="H3" s="303"/>
      <c r="I3" s="303"/>
      <c r="J3" s="303"/>
      <c r="K3" s="303"/>
      <c r="L3" s="303"/>
      <c r="M3" s="303"/>
      <c r="N3" s="786"/>
      <c r="P3" s="1844"/>
      <c r="Q3" s="1845"/>
      <c r="R3" s="1846"/>
      <c r="S3" s="1578"/>
      <c r="T3" s="1846"/>
      <c r="U3" s="1816" t="s">
        <v>80</v>
      </c>
      <c r="V3" s="1578"/>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c r="AT3" s="1665"/>
      <c r="AU3" s="1665"/>
      <c r="AV3" s="1665"/>
      <c r="AW3" s="1665"/>
      <c r="AX3" s="1665"/>
      <c r="AY3" s="1665"/>
      <c r="AZ3" s="1665"/>
      <c r="BA3" s="1665"/>
      <c r="BB3" s="1665"/>
      <c r="BC3" s="1665"/>
      <c r="BD3" s="1665"/>
      <c r="BE3" s="1665"/>
      <c r="BF3" s="1665"/>
      <c r="BG3" s="1665"/>
      <c r="BH3" s="1665"/>
      <c r="BI3" s="1665"/>
      <c r="BJ3" s="1665"/>
      <c r="BK3" s="1665"/>
      <c r="BL3" s="1665"/>
      <c r="BM3" s="1665"/>
      <c r="BN3" s="1665"/>
      <c r="BO3" s="1665"/>
      <c r="BP3" s="1665"/>
      <c r="BQ3" s="1665"/>
      <c r="BR3" s="1665"/>
      <c r="BS3" s="1665"/>
      <c r="BT3" s="1665"/>
      <c r="BU3" s="1665"/>
      <c r="BV3" s="1665"/>
      <c r="BW3" s="1665"/>
      <c r="BX3" s="1665"/>
      <c r="BY3" s="1665"/>
      <c r="BZ3" s="1665"/>
      <c r="CA3" s="1665"/>
      <c r="CB3" s="1665"/>
      <c r="CC3" s="1665"/>
      <c r="CD3" s="1665"/>
      <c r="CE3" s="1665"/>
      <c r="CF3" s="1665"/>
      <c r="CG3" s="1665"/>
      <c r="CH3" s="1665"/>
      <c r="CI3" s="1665"/>
      <c r="CJ3" s="1665"/>
      <c r="CK3" s="1665"/>
      <c r="CL3" s="1665"/>
      <c r="CM3" s="1665"/>
      <c r="CN3" s="1665"/>
      <c r="CO3" s="1665"/>
      <c r="CP3" s="1665"/>
      <c r="CQ3" s="1665"/>
      <c r="CR3" s="1665"/>
      <c r="CS3" s="1665"/>
      <c r="CT3" s="1665"/>
      <c r="CU3" s="1665"/>
      <c r="CV3" s="1665"/>
      <c r="CW3" s="1665"/>
      <c r="CX3" s="1665"/>
      <c r="CY3" s="1665"/>
      <c r="CZ3" s="1665"/>
      <c r="DA3" s="1665"/>
      <c r="DB3" s="1665"/>
      <c r="DC3" s="1665"/>
      <c r="DD3" s="1665"/>
      <c r="DE3" s="1665"/>
      <c r="DF3" s="1665"/>
      <c r="DG3" s="1665"/>
      <c r="DH3" s="1665"/>
      <c r="DI3" s="1665"/>
      <c r="DJ3" s="1665"/>
      <c r="DK3" s="1665"/>
      <c r="DL3" s="1665"/>
      <c r="DM3" s="1665"/>
      <c r="DN3" s="1665"/>
      <c r="DO3" s="1665"/>
      <c r="DP3" s="1665"/>
      <c r="DQ3" s="1665"/>
      <c r="DR3" s="1665"/>
      <c r="DS3" s="1665"/>
      <c r="DT3" s="1665"/>
      <c r="DU3" s="1665"/>
      <c r="DV3" s="1665"/>
      <c r="DW3" s="1665"/>
      <c r="DX3" s="1665"/>
      <c r="DY3" s="1665"/>
      <c r="DZ3" s="1665"/>
      <c r="EA3" s="1665"/>
      <c r="EB3" s="1665"/>
      <c r="EC3" s="1665"/>
      <c r="ED3" s="1665"/>
      <c r="EE3" s="1665"/>
      <c r="EF3" s="1665"/>
      <c r="EG3" s="1665"/>
      <c r="EH3" s="1665"/>
      <c r="EI3" s="1665"/>
      <c r="EJ3" s="1665"/>
      <c r="EK3" s="1665"/>
      <c r="EL3" s="1665"/>
      <c r="EM3" s="1665"/>
      <c r="EN3" s="1665"/>
      <c r="EO3" s="1665"/>
      <c r="EP3" s="1665"/>
      <c r="EQ3" s="1665"/>
      <c r="ER3" s="1665"/>
      <c r="ES3" s="1665"/>
      <c r="ET3" s="1665"/>
      <c r="EU3" s="1665"/>
      <c r="EV3" s="1665"/>
      <c r="EW3" s="1665"/>
      <c r="EX3" s="1665"/>
      <c r="EY3" s="1665"/>
      <c r="EZ3" s="1665"/>
      <c r="FA3" s="1665"/>
      <c r="FB3" s="1665"/>
      <c r="FC3" s="1665"/>
      <c r="FD3" s="1665"/>
      <c r="FE3" s="1665"/>
      <c r="FF3" s="1665"/>
      <c r="FG3" s="1665"/>
      <c r="FH3" s="1665"/>
      <c r="FI3" s="1665"/>
      <c r="FJ3" s="1665"/>
      <c r="FK3" s="1665"/>
      <c r="FL3" s="1665"/>
      <c r="FM3" s="1665"/>
      <c r="FN3" s="1665"/>
      <c r="FO3" s="1665"/>
      <c r="FP3" s="1665"/>
      <c r="FQ3" s="1665"/>
      <c r="FR3" s="1665"/>
      <c r="FS3" s="1665"/>
      <c r="FT3" s="1665"/>
      <c r="FU3" s="1665"/>
      <c r="FV3" s="1665"/>
      <c r="FW3" s="1665"/>
      <c r="FX3" s="1665"/>
      <c r="FY3" s="1665"/>
      <c r="FZ3" s="1665"/>
      <c r="GA3" s="1665"/>
      <c r="GB3" s="1665"/>
      <c r="GC3" s="1665"/>
      <c r="GD3" s="1665"/>
      <c r="GE3" s="1665"/>
      <c r="GF3" s="1665"/>
      <c r="GG3" s="1665"/>
      <c r="GH3" s="1665"/>
      <c r="GI3" s="1665"/>
      <c r="GJ3" s="1665"/>
      <c r="GK3" s="1665"/>
      <c r="GL3" s="1665"/>
      <c r="GM3" s="1665"/>
      <c r="GN3" s="1665"/>
      <c r="GO3" s="1665"/>
      <c r="GP3" s="1665"/>
      <c r="GQ3" s="1665"/>
      <c r="GR3" s="1665"/>
      <c r="GS3" s="1665"/>
      <c r="GT3" s="1665"/>
      <c r="GU3" s="1665"/>
      <c r="GV3" s="1665"/>
      <c r="GW3" s="1665"/>
      <c r="GX3" s="1665"/>
      <c r="GY3" s="1665"/>
      <c r="GZ3" s="1665"/>
      <c r="HA3" s="1665"/>
      <c r="HB3" s="1665"/>
      <c r="HC3" s="1665"/>
      <c r="HD3" s="1665"/>
      <c r="HE3" s="1665"/>
      <c r="HF3" s="1665"/>
      <c r="HG3" s="1665"/>
      <c r="HH3" s="1665"/>
      <c r="HI3" s="1665"/>
      <c r="HJ3" s="1665"/>
      <c r="HK3" s="1665"/>
      <c r="HL3" s="1665"/>
      <c r="HM3" s="1665"/>
      <c r="HN3" s="1665"/>
      <c r="HO3" s="1665"/>
      <c r="HP3" s="1665"/>
      <c r="HQ3" s="1665"/>
      <c r="HR3" s="1665"/>
      <c r="HS3" s="1665"/>
      <c r="HT3" s="1665"/>
      <c r="HU3" s="1665"/>
      <c r="HV3" s="1665"/>
      <c r="HW3" s="1665"/>
      <c r="HX3" s="1665"/>
      <c r="HY3" s="1665"/>
      <c r="HZ3" s="1665"/>
      <c r="IA3" s="1665"/>
      <c r="IB3" s="1665"/>
      <c r="IC3" s="1665"/>
      <c r="ID3" s="1665"/>
      <c r="IE3" s="1665"/>
      <c r="IF3" s="1665"/>
      <c r="IG3" s="1665"/>
      <c r="IH3" s="1665"/>
      <c r="II3" s="1665"/>
      <c r="IJ3" s="1665"/>
      <c r="IK3" s="1665"/>
      <c r="IL3" s="1665"/>
      <c r="IM3" s="1665"/>
      <c r="IN3" s="1665"/>
      <c r="IO3" s="1665"/>
      <c r="IP3" s="1665"/>
      <c r="IQ3" s="1665"/>
      <c r="IR3" s="1665"/>
    </row>
    <row r="4" spans="1:252" s="1843" customFormat="1" ht="15.6">
      <c r="A4" s="303" t="s">
        <v>964</v>
      </c>
      <c r="B4" s="303"/>
      <c r="C4" s="303"/>
      <c r="D4" s="303"/>
      <c r="E4" s="303"/>
      <c r="F4" s="1665"/>
      <c r="G4" s="1665"/>
      <c r="H4" s="303"/>
      <c r="I4" s="303"/>
      <c r="J4" s="303"/>
      <c r="K4" s="303"/>
      <c r="L4" s="303"/>
      <c r="M4" s="303"/>
      <c r="N4" s="303"/>
      <c r="O4" s="303"/>
      <c r="P4" s="303"/>
      <c r="Q4" s="1845"/>
      <c r="R4" s="1846"/>
      <c r="S4" s="1578"/>
      <c r="T4" s="1846"/>
      <c r="U4" s="1578"/>
      <c r="V4" s="1578"/>
      <c r="W4" s="1665"/>
      <c r="X4" s="1665"/>
      <c r="Y4" s="1665"/>
      <c r="Z4" s="1665"/>
      <c r="AA4" s="1665"/>
      <c r="AB4" s="1665"/>
      <c r="AC4" s="1665"/>
      <c r="AD4" s="1665"/>
      <c r="AE4" s="1665"/>
      <c r="AF4" s="1665"/>
      <c r="AG4" s="1665"/>
      <c r="AH4" s="1665"/>
      <c r="AI4" s="1665"/>
      <c r="AJ4" s="1665"/>
      <c r="AK4" s="1665"/>
      <c r="AL4" s="1665"/>
      <c r="AM4" s="1665"/>
      <c r="AN4" s="1665"/>
      <c r="AO4" s="1665"/>
      <c r="AP4" s="1665"/>
      <c r="AQ4" s="1665"/>
      <c r="AR4" s="1665"/>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c r="BP4" s="1665"/>
      <c r="BQ4" s="1665"/>
      <c r="BR4" s="1665"/>
      <c r="BS4" s="1665"/>
      <c r="BT4" s="1665"/>
      <c r="BU4" s="1665"/>
      <c r="BV4" s="1665"/>
      <c r="BW4" s="1665"/>
      <c r="BX4" s="1665"/>
      <c r="BY4" s="1665"/>
      <c r="BZ4" s="1665"/>
      <c r="CA4" s="1665"/>
      <c r="CB4" s="1665"/>
      <c r="CC4" s="1665"/>
      <c r="CD4" s="1665"/>
      <c r="CE4" s="1665"/>
      <c r="CF4" s="1665"/>
      <c r="CG4" s="1665"/>
      <c r="CH4" s="1665"/>
      <c r="CI4" s="1665"/>
      <c r="CJ4" s="1665"/>
      <c r="CK4" s="1665"/>
      <c r="CL4" s="1665"/>
      <c r="CM4" s="1665"/>
      <c r="CN4" s="1665"/>
      <c r="CO4" s="1665"/>
      <c r="CP4" s="1665"/>
      <c r="CQ4" s="1665"/>
      <c r="CR4" s="1665"/>
      <c r="CS4" s="1665"/>
      <c r="CT4" s="1665"/>
      <c r="CU4" s="1665"/>
      <c r="CV4" s="1665"/>
      <c r="CW4" s="1665"/>
      <c r="CX4" s="1665"/>
      <c r="CY4" s="1665"/>
      <c r="CZ4" s="1665"/>
      <c r="DA4" s="1665"/>
      <c r="DB4" s="1665"/>
      <c r="DC4" s="1665"/>
      <c r="DD4" s="1665"/>
      <c r="DE4" s="1665"/>
      <c r="DF4" s="1665"/>
      <c r="DG4" s="1665"/>
      <c r="DH4" s="1665"/>
      <c r="DI4" s="1665"/>
      <c r="DJ4" s="1665"/>
      <c r="DK4" s="1665"/>
      <c r="DL4" s="1665"/>
      <c r="DM4" s="1665"/>
      <c r="DN4" s="1665"/>
      <c r="DO4" s="1665"/>
      <c r="DP4" s="1665"/>
      <c r="DQ4" s="1665"/>
      <c r="DR4" s="1665"/>
      <c r="DS4" s="1665"/>
      <c r="DT4" s="1665"/>
      <c r="DU4" s="1665"/>
      <c r="DV4" s="1665"/>
      <c r="DW4" s="1665"/>
      <c r="DX4" s="1665"/>
      <c r="DY4" s="1665"/>
      <c r="DZ4" s="1665"/>
      <c r="EA4" s="1665"/>
      <c r="EB4" s="1665"/>
      <c r="EC4" s="1665"/>
      <c r="ED4" s="1665"/>
      <c r="EE4" s="1665"/>
      <c r="EF4" s="1665"/>
      <c r="EG4" s="1665"/>
      <c r="EH4" s="1665"/>
      <c r="EI4" s="1665"/>
      <c r="EJ4" s="1665"/>
      <c r="EK4" s="1665"/>
      <c r="EL4" s="1665"/>
      <c r="EM4" s="1665"/>
      <c r="EN4" s="1665"/>
      <c r="EO4" s="1665"/>
      <c r="EP4" s="1665"/>
      <c r="EQ4" s="1665"/>
      <c r="ER4" s="1665"/>
      <c r="ES4" s="1665"/>
      <c r="ET4" s="1665"/>
      <c r="EU4" s="1665"/>
      <c r="EV4" s="1665"/>
      <c r="EW4" s="1665"/>
      <c r="EX4" s="1665"/>
      <c r="EY4" s="1665"/>
      <c r="EZ4" s="1665"/>
      <c r="FA4" s="1665"/>
      <c r="FB4" s="1665"/>
      <c r="FC4" s="1665"/>
      <c r="FD4" s="1665"/>
      <c r="FE4" s="1665"/>
      <c r="FF4" s="1665"/>
      <c r="FG4" s="1665"/>
      <c r="FH4" s="1665"/>
      <c r="FI4" s="1665"/>
      <c r="FJ4" s="1665"/>
      <c r="FK4" s="1665"/>
      <c r="FL4" s="1665"/>
      <c r="FM4" s="1665"/>
      <c r="FN4" s="1665"/>
      <c r="FO4" s="1665"/>
      <c r="FP4" s="1665"/>
      <c r="FQ4" s="1665"/>
      <c r="FR4" s="1665"/>
      <c r="FS4" s="1665"/>
      <c r="FT4" s="1665"/>
      <c r="FU4" s="1665"/>
      <c r="FV4" s="1665"/>
      <c r="FW4" s="1665"/>
      <c r="FX4" s="1665"/>
      <c r="FY4" s="1665"/>
      <c r="FZ4" s="1665"/>
      <c r="GA4" s="1665"/>
      <c r="GB4" s="1665"/>
      <c r="GC4" s="1665"/>
      <c r="GD4" s="1665"/>
      <c r="GE4" s="1665"/>
      <c r="GF4" s="1665"/>
      <c r="GG4" s="1665"/>
      <c r="GH4" s="1665"/>
      <c r="GI4" s="1665"/>
      <c r="GJ4" s="1665"/>
      <c r="GK4" s="1665"/>
      <c r="GL4" s="1665"/>
      <c r="GM4" s="1665"/>
      <c r="GN4" s="1665"/>
      <c r="GO4" s="1665"/>
      <c r="GP4" s="1665"/>
      <c r="GQ4" s="1665"/>
      <c r="GR4" s="1665"/>
      <c r="GS4" s="1665"/>
      <c r="GT4" s="1665"/>
      <c r="GU4" s="1665"/>
      <c r="GV4" s="1665"/>
      <c r="GW4" s="1665"/>
      <c r="GX4" s="1665"/>
      <c r="GY4" s="1665"/>
      <c r="GZ4" s="1665"/>
      <c r="HA4" s="1665"/>
      <c r="HB4" s="1665"/>
      <c r="HC4" s="1665"/>
      <c r="HD4" s="1665"/>
      <c r="HE4" s="1665"/>
      <c r="HF4" s="1665"/>
      <c r="HG4" s="1665"/>
      <c r="HH4" s="1665"/>
      <c r="HI4" s="1665"/>
      <c r="HJ4" s="1665"/>
      <c r="HK4" s="1665"/>
      <c r="HL4" s="1665"/>
      <c r="HM4" s="1665"/>
      <c r="HN4" s="1665"/>
      <c r="HO4" s="1665"/>
      <c r="HP4" s="1665"/>
      <c r="HQ4" s="1665"/>
      <c r="HR4" s="1665"/>
      <c r="HS4" s="1665"/>
      <c r="HT4" s="1665"/>
      <c r="HU4" s="1665"/>
      <c r="HV4" s="1665"/>
      <c r="HW4" s="1665"/>
      <c r="HX4" s="1665"/>
      <c r="HY4" s="1665"/>
      <c r="HZ4" s="1665"/>
      <c r="IA4" s="1665"/>
      <c r="IB4" s="1665"/>
      <c r="IC4" s="1665"/>
      <c r="ID4" s="1665"/>
      <c r="IE4" s="1665"/>
      <c r="IF4" s="1665"/>
      <c r="IG4" s="1665"/>
      <c r="IH4" s="1665"/>
      <c r="II4" s="1665"/>
      <c r="IJ4" s="1665"/>
      <c r="IK4" s="1665"/>
      <c r="IL4" s="1665"/>
      <c r="IM4" s="1665"/>
      <c r="IN4" s="1665"/>
      <c r="IO4" s="1665"/>
      <c r="IP4" s="1665"/>
      <c r="IQ4" s="1665"/>
      <c r="IR4" s="1665"/>
    </row>
    <row r="5" spans="1:252" s="1843" customFormat="1" ht="15.6">
      <c r="A5" s="486" t="s">
        <v>965</v>
      </c>
      <c r="B5" s="303"/>
      <c r="C5" s="303"/>
      <c r="D5" s="303"/>
      <c r="E5" s="303"/>
      <c r="F5" s="1665"/>
      <c r="G5" s="1665"/>
      <c r="H5" s="303"/>
      <c r="I5" s="303"/>
      <c r="J5" s="303"/>
      <c r="K5" s="303"/>
      <c r="L5" s="303"/>
      <c r="M5" s="303"/>
      <c r="N5" s="303"/>
      <c r="O5" s="303"/>
      <c r="P5" s="303" t="s">
        <v>15</v>
      </c>
      <c r="Q5" s="1845"/>
      <c r="R5" s="1846"/>
      <c r="S5" s="1578"/>
      <c r="T5" s="1846"/>
      <c r="U5" s="1578"/>
      <c r="V5" s="1578"/>
      <c r="W5" s="1665"/>
      <c r="X5" s="1665"/>
      <c r="Y5" s="1665"/>
      <c r="Z5" s="1665"/>
      <c r="AA5" s="1665"/>
      <c r="AB5" s="1665"/>
      <c r="AC5" s="1665"/>
      <c r="AD5" s="1665"/>
      <c r="AE5" s="1665"/>
      <c r="AF5" s="1665"/>
      <c r="AG5" s="1665"/>
      <c r="AH5" s="1665"/>
      <c r="AI5" s="1665"/>
      <c r="AJ5" s="1665"/>
      <c r="AK5" s="1665"/>
      <c r="AL5" s="1665"/>
      <c r="AM5" s="1665"/>
      <c r="AN5" s="1665"/>
      <c r="AO5" s="1665"/>
      <c r="AP5" s="1665"/>
      <c r="AQ5" s="1665"/>
      <c r="AR5" s="1665"/>
      <c r="AS5" s="1665"/>
      <c r="AT5" s="1665"/>
      <c r="AU5" s="1665"/>
      <c r="AV5" s="1665"/>
      <c r="AW5" s="1665"/>
      <c r="AX5" s="1665"/>
      <c r="AY5" s="1665"/>
      <c r="AZ5" s="1665"/>
      <c r="BA5" s="1665"/>
      <c r="BB5" s="1665"/>
      <c r="BC5" s="1665"/>
      <c r="BD5" s="1665"/>
      <c r="BE5" s="1665"/>
      <c r="BF5" s="1665"/>
      <c r="BG5" s="1665"/>
      <c r="BH5" s="1665"/>
      <c r="BI5" s="1665"/>
      <c r="BJ5" s="1665"/>
      <c r="BK5" s="1665"/>
      <c r="BL5" s="1665"/>
      <c r="BM5" s="1665"/>
      <c r="BN5" s="1665"/>
      <c r="BO5" s="1665"/>
      <c r="BP5" s="1665"/>
      <c r="BQ5" s="1665"/>
      <c r="BR5" s="1665"/>
      <c r="BS5" s="1665"/>
      <c r="BT5" s="1665"/>
      <c r="BU5" s="1665"/>
      <c r="BV5" s="1665"/>
      <c r="BW5" s="1665"/>
      <c r="BX5" s="1665"/>
      <c r="BY5" s="1665"/>
      <c r="BZ5" s="1665"/>
      <c r="CA5" s="1665"/>
      <c r="CB5" s="1665"/>
      <c r="CC5" s="1665"/>
      <c r="CD5" s="1665"/>
      <c r="CE5" s="1665"/>
      <c r="CF5" s="1665"/>
      <c r="CG5" s="1665"/>
      <c r="CH5" s="1665"/>
      <c r="CI5" s="1665"/>
      <c r="CJ5" s="1665"/>
      <c r="CK5" s="1665"/>
      <c r="CL5" s="1665"/>
      <c r="CM5" s="1665"/>
      <c r="CN5" s="1665"/>
      <c r="CO5" s="1665"/>
      <c r="CP5" s="1665"/>
      <c r="CQ5" s="1665"/>
      <c r="CR5" s="1665"/>
      <c r="CS5" s="1665"/>
      <c r="CT5" s="1665"/>
      <c r="CU5" s="1665"/>
      <c r="CV5" s="1665"/>
      <c r="CW5" s="1665"/>
      <c r="CX5" s="1665"/>
      <c r="CY5" s="1665"/>
      <c r="CZ5" s="1665"/>
      <c r="DA5" s="1665"/>
      <c r="DB5" s="1665"/>
      <c r="DC5" s="1665"/>
      <c r="DD5" s="1665"/>
      <c r="DE5" s="1665"/>
      <c r="DF5" s="1665"/>
      <c r="DG5" s="1665"/>
      <c r="DH5" s="1665"/>
      <c r="DI5" s="1665"/>
      <c r="DJ5" s="1665"/>
      <c r="DK5" s="1665"/>
      <c r="DL5" s="1665"/>
      <c r="DM5" s="1665"/>
      <c r="DN5" s="1665"/>
      <c r="DO5" s="1665"/>
      <c r="DP5" s="1665"/>
      <c r="DQ5" s="1665"/>
      <c r="DR5" s="1665"/>
      <c r="DS5" s="1665"/>
      <c r="DT5" s="1665"/>
      <c r="DU5" s="1665"/>
      <c r="DV5" s="1665"/>
      <c r="DW5" s="1665"/>
      <c r="DX5" s="1665"/>
      <c r="DY5" s="1665"/>
      <c r="DZ5" s="1665"/>
      <c r="EA5" s="1665"/>
      <c r="EB5" s="1665"/>
      <c r="EC5" s="1665"/>
      <c r="ED5" s="1665"/>
      <c r="EE5" s="1665"/>
      <c r="EF5" s="1665"/>
      <c r="EG5" s="1665"/>
      <c r="EH5" s="1665"/>
      <c r="EI5" s="1665"/>
      <c r="EJ5" s="1665"/>
      <c r="EK5" s="1665"/>
      <c r="EL5" s="1665"/>
      <c r="EM5" s="1665"/>
      <c r="EN5" s="1665"/>
      <c r="EO5" s="1665"/>
      <c r="EP5" s="1665"/>
      <c r="EQ5" s="1665"/>
      <c r="ER5" s="1665"/>
      <c r="ES5" s="1665"/>
      <c r="ET5" s="1665"/>
      <c r="EU5" s="1665"/>
      <c r="EV5" s="1665"/>
      <c r="EW5" s="1665"/>
      <c r="EX5" s="1665"/>
      <c r="EY5" s="1665"/>
      <c r="EZ5" s="1665"/>
      <c r="FA5" s="1665"/>
      <c r="FB5" s="1665"/>
      <c r="FC5" s="1665"/>
      <c r="FD5" s="1665"/>
      <c r="FE5" s="1665"/>
      <c r="FF5" s="1665"/>
      <c r="FG5" s="1665"/>
      <c r="FH5" s="1665"/>
      <c r="FI5" s="1665"/>
      <c r="FJ5" s="1665"/>
      <c r="FK5" s="1665"/>
      <c r="FL5" s="1665"/>
      <c r="FM5" s="1665"/>
      <c r="FN5" s="1665"/>
      <c r="FO5" s="1665"/>
      <c r="FP5" s="1665"/>
      <c r="FQ5" s="1665"/>
      <c r="FR5" s="1665"/>
      <c r="FS5" s="1665"/>
      <c r="FT5" s="1665"/>
      <c r="FU5" s="1665"/>
      <c r="FV5" s="1665"/>
      <c r="FW5" s="1665"/>
      <c r="FX5" s="1665"/>
      <c r="FY5" s="1665"/>
      <c r="FZ5" s="1665"/>
      <c r="GA5" s="1665"/>
      <c r="GB5" s="1665"/>
      <c r="GC5" s="1665"/>
      <c r="GD5" s="1665"/>
      <c r="GE5" s="1665"/>
      <c r="GF5" s="1665"/>
      <c r="GG5" s="1665"/>
      <c r="GH5" s="1665"/>
      <c r="GI5" s="1665"/>
      <c r="GJ5" s="1665"/>
      <c r="GK5" s="1665"/>
      <c r="GL5" s="1665"/>
      <c r="GM5" s="1665"/>
      <c r="GN5" s="1665"/>
      <c r="GO5" s="1665"/>
      <c r="GP5" s="1665"/>
      <c r="GQ5" s="1665"/>
      <c r="GR5" s="1665"/>
      <c r="GS5" s="1665"/>
      <c r="GT5" s="1665"/>
      <c r="GU5" s="1665"/>
      <c r="GV5" s="1665"/>
      <c r="GW5" s="1665"/>
      <c r="GX5" s="1665"/>
      <c r="GY5" s="1665"/>
      <c r="GZ5" s="1665"/>
      <c r="HA5" s="1665"/>
      <c r="HB5" s="1665"/>
      <c r="HC5" s="1665"/>
      <c r="HD5" s="1665"/>
      <c r="HE5" s="1665"/>
      <c r="HF5" s="1665"/>
      <c r="HG5" s="1665"/>
      <c r="HH5" s="1665"/>
      <c r="HI5" s="1665"/>
      <c r="HJ5" s="1665"/>
      <c r="HK5" s="1665"/>
      <c r="HL5" s="1665"/>
      <c r="HM5" s="1665"/>
      <c r="HN5" s="1665"/>
      <c r="HO5" s="1665"/>
      <c r="HP5" s="1665"/>
      <c r="HQ5" s="1665"/>
      <c r="HR5" s="1665"/>
      <c r="HS5" s="1665"/>
      <c r="HT5" s="1665"/>
      <c r="HU5" s="1665"/>
      <c r="HV5" s="1665"/>
      <c r="HW5" s="1665"/>
      <c r="HX5" s="1665"/>
      <c r="HY5" s="1665"/>
      <c r="HZ5" s="1665"/>
      <c r="IA5" s="1665"/>
      <c r="IB5" s="1665"/>
      <c r="IC5" s="1665"/>
      <c r="ID5" s="1665"/>
      <c r="IE5" s="1665"/>
      <c r="IF5" s="1665"/>
      <c r="IG5" s="1665"/>
      <c r="IH5" s="1665"/>
      <c r="II5" s="1665"/>
      <c r="IJ5" s="1665"/>
      <c r="IK5" s="1665"/>
      <c r="IL5" s="1665"/>
      <c r="IM5" s="1665"/>
      <c r="IN5" s="1665"/>
      <c r="IO5" s="1665"/>
      <c r="IP5" s="1665"/>
      <c r="IQ5" s="1665"/>
      <c r="IR5" s="1665"/>
    </row>
    <row r="6" spans="1:252" s="1843" customFormat="1" ht="15.6">
      <c r="A6" s="303" t="s">
        <v>958</v>
      </c>
      <c r="B6" s="303"/>
      <c r="C6" s="303"/>
      <c r="D6" s="303"/>
      <c r="E6" s="303"/>
      <c r="F6" s="1665"/>
      <c r="G6" s="1665"/>
      <c r="H6" s="303"/>
      <c r="I6" s="303"/>
      <c r="J6" s="303"/>
      <c r="K6" s="303"/>
      <c r="L6" s="303"/>
      <c r="M6" s="303"/>
      <c r="N6" s="303"/>
      <c r="O6" s="303"/>
      <c r="P6" s="303"/>
      <c r="Q6" s="1845"/>
      <c r="R6" s="1846"/>
      <c r="S6" s="1578"/>
      <c r="T6" s="1846"/>
      <c r="U6" s="1578"/>
      <c r="V6" s="1578"/>
      <c r="W6" s="1665"/>
      <c r="X6" s="1665"/>
      <c r="Y6" s="1665"/>
      <c r="Z6" s="1665"/>
      <c r="AA6" s="1665"/>
      <c r="AB6" s="1665"/>
      <c r="AC6" s="1665"/>
      <c r="AD6" s="1665"/>
      <c r="AE6" s="1665"/>
      <c r="AF6" s="1665"/>
      <c r="AG6" s="1665"/>
      <c r="AH6" s="1665"/>
      <c r="AI6" s="1665"/>
      <c r="AJ6" s="1665"/>
      <c r="AK6" s="1665"/>
      <c r="AL6" s="1665"/>
      <c r="AM6" s="1665"/>
      <c r="AN6" s="1665"/>
      <c r="AO6" s="1665"/>
      <c r="AP6" s="1665"/>
      <c r="AQ6" s="1665"/>
      <c r="AR6" s="1665"/>
      <c r="AS6" s="1665"/>
      <c r="AT6" s="1665"/>
      <c r="AU6" s="1665"/>
      <c r="AV6" s="1665"/>
      <c r="AW6" s="1665"/>
      <c r="AX6" s="1665"/>
      <c r="AY6" s="1665"/>
      <c r="AZ6" s="1665"/>
      <c r="BA6" s="1665"/>
      <c r="BB6" s="1665"/>
      <c r="BC6" s="1665"/>
      <c r="BD6" s="1665"/>
      <c r="BE6" s="1665"/>
      <c r="BF6" s="1665"/>
      <c r="BG6" s="1665"/>
      <c r="BH6" s="1665"/>
      <c r="BI6" s="1665"/>
      <c r="BJ6" s="1665"/>
      <c r="BK6" s="1665"/>
      <c r="BL6" s="1665"/>
      <c r="BM6" s="1665"/>
      <c r="BN6" s="1665"/>
      <c r="BO6" s="1665"/>
      <c r="BP6" s="1665"/>
      <c r="BQ6" s="1665"/>
      <c r="BR6" s="1665"/>
      <c r="BS6" s="1665"/>
      <c r="BT6" s="1665"/>
      <c r="BU6" s="1665"/>
      <c r="BV6" s="1665"/>
      <c r="BW6" s="1665"/>
      <c r="BX6" s="1665"/>
      <c r="BY6" s="1665"/>
      <c r="BZ6" s="1665"/>
      <c r="CA6" s="1665"/>
      <c r="CB6" s="1665"/>
      <c r="CC6" s="1665"/>
      <c r="CD6" s="1665"/>
      <c r="CE6" s="1665"/>
      <c r="CF6" s="1665"/>
      <c r="CG6" s="1665"/>
      <c r="CH6" s="1665"/>
      <c r="CI6" s="1665"/>
      <c r="CJ6" s="1665"/>
      <c r="CK6" s="1665"/>
      <c r="CL6" s="1665"/>
      <c r="CM6" s="1665"/>
      <c r="CN6" s="1665"/>
      <c r="CO6" s="1665"/>
      <c r="CP6" s="1665"/>
      <c r="CQ6" s="1665"/>
      <c r="CR6" s="1665"/>
      <c r="CS6" s="1665"/>
      <c r="CT6" s="1665"/>
      <c r="CU6" s="1665"/>
      <c r="CV6" s="1665"/>
      <c r="CW6" s="1665"/>
      <c r="CX6" s="1665"/>
      <c r="CY6" s="1665"/>
      <c r="CZ6" s="1665"/>
      <c r="DA6" s="1665"/>
      <c r="DB6" s="1665"/>
      <c r="DC6" s="1665"/>
      <c r="DD6" s="1665"/>
      <c r="DE6" s="1665"/>
      <c r="DF6" s="1665"/>
      <c r="DG6" s="1665"/>
      <c r="DH6" s="1665"/>
      <c r="DI6" s="1665"/>
      <c r="DJ6" s="1665"/>
      <c r="DK6" s="1665"/>
      <c r="DL6" s="1665"/>
      <c r="DM6" s="1665"/>
      <c r="DN6" s="1665"/>
      <c r="DO6" s="1665"/>
      <c r="DP6" s="1665"/>
      <c r="DQ6" s="1665"/>
      <c r="DR6" s="1665"/>
      <c r="DS6" s="1665"/>
      <c r="DT6" s="1665"/>
      <c r="DU6" s="1665"/>
      <c r="DV6" s="1665"/>
      <c r="DW6" s="1665"/>
      <c r="DX6" s="1665"/>
      <c r="DY6" s="1665"/>
      <c r="DZ6" s="1665"/>
      <c r="EA6" s="1665"/>
      <c r="EB6" s="1665"/>
      <c r="EC6" s="1665"/>
      <c r="ED6" s="1665"/>
      <c r="EE6" s="1665"/>
      <c r="EF6" s="1665"/>
      <c r="EG6" s="1665"/>
      <c r="EH6" s="1665"/>
      <c r="EI6" s="1665"/>
      <c r="EJ6" s="1665"/>
      <c r="EK6" s="1665"/>
      <c r="EL6" s="1665"/>
      <c r="EM6" s="1665"/>
      <c r="EN6" s="1665"/>
      <c r="EO6" s="1665"/>
      <c r="EP6" s="1665"/>
      <c r="EQ6" s="1665"/>
      <c r="ER6" s="1665"/>
      <c r="ES6" s="1665"/>
      <c r="ET6" s="1665"/>
      <c r="EU6" s="1665"/>
      <c r="EV6" s="1665"/>
      <c r="EW6" s="1665"/>
      <c r="EX6" s="1665"/>
      <c r="EY6" s="1665"/>
      <c r="EZ6" s="1665"/>
      <c r="FA6" s="1665"/>
      <c r="FB6" s="1665"/>
      <c r="FC6" s="1665"/>
      <c r="FD6" s="1665"/>
      <c r="FE6" s="1665"/>
      <c r="FF6" s="1665"/>
      <c r="FG6" s="1665"/>
      <c r="FH6" s="1665"/>
      <c r="FI6" s="1665"/>
      <c r="FJ6" s="1665"/>
      <c r="FK6" s="1665"/>
      <c r="FL6" s="1665"/>
      <c r="FM6" s="1665"/>
      <c r="FN6" s="1665"/>
      <c r="FO6" s="1665"/>
      <c r="FP6" s="1665"/>
      <c r="FQ6" s="1665"/>
      <c r="FR6" s="1665"/>
      <c r="FS6" s="1665"/>
      <c r="FT6" s="1665"/>
      <c r="FU6" s="1665"/>
      <c r="FV6" s="1665"/>
      <c r="FW6" s="1665"/>
      <c r="FX6" s="1665"/>
      <c r="FY6" s="1665"/>
      <c r="FZ6" s="1665"/>
      <c r="GA6" s="1665"/>
      <c r="GB6" s="1665"/>
      <c r="GC6" s="1665"/>
      <c r="GD6" s="1665"/>
      <c r="GE6" s="1665"/>
      <c r="GF6" s="1665"/>
      <c r="GG6" s="1665"/>
      <c r="GH6" s="1665"/>
      <c r="GI6" s="1665"/>
      <c r="GJ6" s="1665"/>
      <c r="GK6" s="1665"/>
      <c r="GL6" s="1665"/>
      <c r="GM6" s="1665"/>
      <c r="GN6" s="1665"/>
      <c r="GO6" s="1665"/>
      <c r="GP6" s="1665"/>
      <c r="GQ6" s="1665"/>
      <c r="GR6" s="1665"/>
      <c r="GS6" s="1665"/>
      <c r="GT6" s="1665"/>
      <c r="GU6" s="1665"/>
      <c r="GV6" s="1665"/>
      <c r="GW6" s="1665"/>
      <c r="GX6" s="1665"/>
      <c r="GY6" s="1665"/>
      <c r="GZ6" s="1665"/>
      <c r="HA6" s="1665"/>
      <c r="HB6" s="1665"/>
      <c r="HC6" s="1665"/>
      <c r="HD6" s="1665"/>
      <c r="HE6" s="1665"/>
      <c r="HF6" s="1665"/>
      <c r="HG6" s="1665"/>
      <c r="HH6" s="1665"/>
      <c r="HI6" s="1665"/>
      <c r="HJ6" s="1665"/>
      <c r="HK6" s="1665"/>
      <c r="HL6" s="1665"/>
      <c r="HM6" s="1665"/>
      <c r="HN6" s="1665"/>
      <c r="HO6" s="1665"/>
      <c r="HP6" s="1665"/>
      <c r="HQ6" s="1665"/>
      <c r="HR6" s="1665"/>
      <c r="HS6" s="1665"/>
      <c r="HT6" s="1665"/>
      <c r="HU6" s="1665"/>
      <c r="HV6" s="1665"/>
      <c r="HW6" s="1665"/>
      <c r="HX6" s="1665"/>
      <c r="HY6" s="1665"/>
      <c r="HZ6" s="1665"/>
      <c r="IA6" s="1665"/>
      <c r="IB6" s="1665"/>
      <c r="IC6" s="1665"/>
      <c r="ID6" s="1665"/>
      <c r="IE6" s="1665"/>
      <c r="IF6" s="1665"/>
      <c r="IG6" s="1665"/>
      <c r="IH6" s="1665"/>
      <c r="II6" s="1665"/>
      <c r="IJ6" s="1665"/>
      <c r="IK6" s="1665"/>
      <c r="IL6" s="1665"/>
      <c r="IM6" s="1665"/>
      <c r="IN6" s="1665"/>
      <c r="IO6" s="1665"/>
      <c r="IP6" s="1665"/>
      <c r="IQ6" s="1665"/>
      <c r="IR6" s="1665"/>
    </row>
    <row r="7" spans="1:252" s="1843" customFormat="1" ht="15.6">
      <c r="A7" s="306"/>
      <c r="B7" s="303"/>
      <c r="C7" s="303"/>
      <c r="D7" s="303"/>
      <c r="E7" s="303"/>
      <c r="F7" s="1665"/>
      <c r="G7" s="1665"/>
      <c r="H7" s="303"/>
      <c r="I7" s="303"/>
      <c r="J7" s="303"/>
      <c r="K7" s="303"/>
      <c r="L7" s="303"/>
      <c r="M7" s="303"/>
      <c r="N7" s="303"/>
      <c r="O7" s="303"/>
      <c r="P7" s="303"/>
      <c r="Q7" s="1845"/>
      <c r="R7" s="1846"/>
      <c r="S7" s="1578"/>
      <c r="T7" s="1846"/>
      <c r="U7" s="1578"/>
      <c r="V7" s="1578"/>
      <c r="W7" s="1665"/>
      <c r="X7" s="1665"/>
      <c r="Y7" s="1665"/>
      <c r="Z7" s="1665"/>
      <c r="AA7" s="1665"/>
      <c r="AB7" s="1665"/>
      <c r="AC7" s="1665"/>
      <c r="AD7" s="1665"/>
      <c r="AE7" s="1665"/>
      <c r="AF7" s="1665"/>
      <c r="AG7" s="1665"/>
      <c r="AH7" s="1665"/>
      <c r="AI7" s="1665"/>
      <c r="AJ7" s="1665"/>
      <c r="AK7" s="1665"/>
      <c r="AL7" s="1665"/>
      <c r="AM7" s="1665"/>
      <c r="AN7" s="1665"/>
      <c r="AO7" s="1665"/>
      <c r="AP7" s="1665"/>
      <c r="AQ7" s="1665"/>
      <c r="AR7" s="1665"/>
      <c r="AS7" s="1665"/>
      <c r="AT7" s="1665"/>
      <c r="AU7" s="1665"/>
      <c r="AV7" s="1665"/>
      <c r="AW7" s="1665"/>
      <c r="AX7" s="1665"/>
      <c r="AY7" s="1665"/>
      <c r="AZ7" s="1665"/>
      <c r="BA7" s="1665"/>
      <c r="BB7" s="1665"/>
      <c r="BC7" s="1665"/>
      <c r="BD7" s="1665"/>
      <c r="BE7" s="1665"/>
      <c r="BF7" s="1665"/>
      <c r="BG7" s="1665"/>
      <c r="BH7" s="1665"/>
      <c r="BI7" s="1665"/>
      <c r="BJ7" s="1665"/>
      <c r="BK7" s="1665"/>
      <c r="BL7" s="1665"/>
      <c r="BM7" s="1665"/>
      <c r="BN7" s="1665"/>
      <c r="BO7" s="1665"/>
      <c r="BP7" s="1665"/>
      <c r="BQ7" s="1665"/>
      <c r="BR7" s="1665"/>
      <c r="BS7" s="1665"/>
      <c r="BT7" s="1665"/>
      <c r="BU7" s="1665"/>
      <c r="BV7" s="1665"/>
      <c r="BW7" s="1665"/>
      <c r="BX7" s="1665"/>
      <c r="BY7" s="1665"/>
      <c r="BZ7" s="1665"/>
      <c r="CA7" s="1665"/>
      <c r="CB7" s="1665"/>
      <c r="CC7" s="1665"/>
      <c r="CD7" s="1665"/>
      <c r="CE7" s="1665"/>
      <c r="CF7" s="1665"/>
      <c r="CG7" s="1665"/>
      <c r="CH7" s="1665"/>
      <c r="CI7" s="1665"/>
      <c r="CJ7" s="1665"/>
      <c r="CK7" s="1665"/>
      <c r="CL7" s="1665"/>
      <c r="CM7" s="1665"/>
      <c r="CN7" s="1665"/>
      <c r="CO7" s="1665"/>
      <c r="CP7" s="1665"/>
      <c r="CQ7" s="1665"/>
      <c r="CR7" s="1665"/>
      <c r="CS7" s="1665"/>
      <c r="CT7" s="1665"/>
      <c r="CU7" s="1665"/>
      <c r="CV7" s="1665"/>
      <c r="CW7" s="1665"/>
      <c r="CX7" s="1665"/>
      <c r="CY7" s="1665"/>
      <c r="CZ7" s="1665"/>
      <c r="DA7" s="1665"/>
      <c r="DB7" s="1665"/>
      <c r="DC7" s="1665"/>
      <c r="DD7" s="1665"/>
      <c r="DE7" s="1665"/>
      <c r="DF7" s="1665"/>
      <c r="DG7" s="1665"/>
      <c r="DH7" s="1665"/>
      <c r="DI7" s="1665"/>
      <c r="DJ7" s="1665"/>
      <c r="DK7" s="1665"/>
      <c r="DL7" s="1665"/>
      <c r="DM7" s="1665"/>
      <c r="DN7" s="1665"/>
      <c r="DO7" s="1665"/>
      <c r="DP7" s="1665"/>
      <c r="DQ7" s="1665"/>
      <c r="DR7" s="1665"/>
      <c r="DS7" s="1665"/>
      <c r="DT7" s="1665"/>
      <c r="DU7" s="1665"/>
      <c r="DV7" s="1665"/>
      <c r="DW7" s="1665"/>
      <c r="DX7" s="1665"/>
      <c r="DY7" s="1665"/>
      <c r="DZ7" s="1665"/>
      <c r="EA7" s="1665"/>
      <c r="EB7" s="1665"/>
      <c r="EC7" s="1665"/>
      <c r="ED7" s="1665"/>
      <c r="EE7" s="1665"/>
      <c r="EF7" s="1665"/>
      <c r="EG7" s="1665"/>
      <c r="EH7" s="1665"/>
      <c r="EI7" s="1665"/>
      <c r="EJ7" s="1665"/>
      <c r="EK7" s="1665"/>
      <c r="EL7" s="1665"/>
      <c r="EM7" s="1665"/>
      <c r="EN7" s="1665"/>
      <c r="EO7" s="1665"/>
      <c r="EP7" s="1665"/>
      <c r="EQ7" s="1665"/>
      <c r="ER7" s="1665"/>
      <c r="ES7" s="1665"/>
      <c r="ET7" s="1665"/>
      <c r="EU7" s="1665"/>
      <c r="EV7" s="1665"/>
      <c r="EW7" s="1665"/>
      <c r="EX7" s="1665"/>
      <c r="EY7" s="1665"/>
      <c r="EZ7" s="1665"/>
      <c r="FA7" s="1665"/>
      <c r="FB7" s="1665"/>
      <c r="FC7" s="1665"/>
      <c r="FD7" s="1665"/>
      <c r="FE7" s="1665"/>
      <c r="FF7" s="1665"/>
      <c r="FG7" s="1665"/>
      <c r="FH7" s="1665"/>
      <c r="FI7" s="1665"/>
      <c r="FJ7" s="1665"/>
      <c r="FK7" s="1665"/>
      <c r="FL7" s="1665"/>
      <c r="FM7" s="1665"/>
      <c r="FN7" s="1665"/>
      <c r="FO7" s="1665"/>
      <c r="FP7" s="1665"/>
      <c r="FQ7" s="1665"/>
      <c r="FR7" s="1665"/>
      <c r="FS7" s="1665"/>
      <c r="FT7" s="1665"/>
      <c r="FU7" s="1665"/>
      <c r="FV7" s="1665"/>
      <c r="FW7" s="1665"/>
      <c r="FX7" s="1665"/>
      <c r="FY7" s="1665"/>
      <c r="FZ7" s="1665"/>
      <c r="GA7" s="1665"/>
      <c r="GB7" s="1665"/>
      <c r="GC7" s="1665"/>
      <c r="GD7" s="1665"/>
      <c r="GE7" s="1665"/>
      <c r="GF7" s="1665"/>
      <c r="GG7" s="1665"/>
      <c r="GH7" s="1665"/>
      <c r="GI7" s="1665"/>
      <c r="GJ7" s="1665"/>
      <c r="GK7" s="1665"/>
      <c r="GL7" s="1665"/>
      <c r="GM7" s="1665"/>
      <c r="GN7" s="1665"/>
      <c r="GO7" s="1665"/>
      <c r="GP7" s="1665"/>
      <c r="GQ7" s="1665"/>
      <c r="GR7" s="1665"/>
      <c r="GS7" s="1665"/>
      <c r="GT7" s="1665"/>
      <c r="GU7" s="1665"/>
      <c r="GV7" s="1665"/>
      <c r="GW7" s="1665"/>
      <c r="GX7" s="1665"/>
      <c r="GY7" s="1665"/>
      <c r="GZ7" s="1665"/>
      <c r="HA7" s="1665"/>
      <c r="HB7" s="1665"/>
      <c r="HC7" s="1665"/>
      <c r="HD7" s="1665"/>
      <c r="HE7" s="1665"/>
      <c r="HF7" s="1665"/>
      <c r="HG7" s="1665"/>
      <c r="HH7" s="1665"/>
      <c r="HI7" s="1665"/>
      <c r="HJ7" s="1665"/>
      <c r="HK7" s="1665"/>
      <c r="HL7" s="1665"/>
      <c r="HM7" s="1665"/>
      <c r="HN7" s="1665"/>
      <c r="HO7" s="1665"/>
      <c r="HP7" s="1665"/>
      <c r="HQ7" s="1665"/>
      <c r="HR7" s="1665"/>
      <c r="HS7" s="1665"/>
      <c r="HT7" s="1665"/>
      <c r="HU7" s="1665"/>
      <c r="HV7" s="1665"/>
      <c r="HW7" s="1665"/>
      <c r="HX7" s="1665"/>
      <c r="HY7" s="1665"/>
      <c r="HZ7" s="1665"/>
      <c r="IA7" s="1665"/>
      <c r="IB7" s="1665"/>
      <c r="IC7" s="1665"/>
      <c r="ID7" s="1665"/>
      <c r="IE7" s="1665"/>
      <c r="IF7" s="1665"/>
      <c r="IG7" s="1665"/>
      <c r="IH7" s="1665"/>
      <c r="II7" s="1665"/>
      <c r="IJ7" s="1665"/>
      <c r="IK7" s="1665"/>
      <c r="IL7" s="1665"/>
      <c r="IM7" s="1665"/>
      <c r="IN7" s="1665"/>
      <c r="IO7" s="1665"/>
      <c r="IP7" s="1665"/>
      <c r="IQ7" s="1665"/>
      <c r="IR7" s="1665"/>
    </row>
    <row r="8" spans="1:252" s="1843" customFormat="1" ht="15.6">
      <c r="B8" s="303"/>
      <c r="C8" s="303"/>
      <c r="D8" s="303"/>
      <c r="E8" s="303"/>
      <c r="F8" s="1665"/>
      <c r="G8" s="1665"/>
      <c r="H8" s="303"/>
      <c r="I8" s="303"/>
      <c r="J8" s="303"/>
      <c r="K8" s="303"/>
      <c r="L8" s="303"/>
      <c r="M8" s="303"/>
      <c r="N8" s="303"/>
      <c r="O8" s="303"/>
      <c r="P8" s="303"/>
      <c r="Q8" s="1845"/>
      <c r="R8" s="1846"/>
      <c r="S8" s="1578"/>
      <c r="T8" s="1846"/>
      <c r="U8" s="1578"/>
      <c r="V8" s="1578"/>
      <c r="W8" s="1665"/>
      <c r="X8" s="1665"/>
      <c r="Y8" s="1665"/>
      <c r="Z8" s="1665"/>
      <c r="AA8" s="1665"/>
      <c r="AB8" s="1665"/>
      <c r="AC8" s="1665"/>
      <c r="AD8" s="1665"/>
      <c r="AE8" s="1665"/>
      <c r="AF8" s="1665"/>
      <c r="AG8" s="1665"/>
      <c r="AH8" s="1665"/>
      <c r="AI8" s="1665"/>
      <c r="AJ8" s="1665"/>
      <c r="AK8" s="1665"/>
      <c r="AL8" s="1665"/>
      <c r="AM8" s="1665"/>
      <c r="AN8" s="1665"/>
      <c r="AO8" s="1665"/>
      <c r="AP8" s="1665"/>
      <c r="AQ8" s="1665"/>
      <c r="AR8" s="1665"/>
      <c r="AS8" s="1665"/>
      <c r="AT8" s="1665"/>
      <c r="AU8" s="1665"/>
      <c r="AV8" s="1665"/>
      <c r="AW8" s="1665"/>
      <c r="AX8" s="1665"/>
      <c r="AY8" s="1665"/>
      <c r="AZ8" s="1665"/>
      <c r="BA8" s="1665"/>
      <c r="BB8" s="1665"/>
      <c r="BC8" s="1665"/>
      <c r="BD8" s="1665"/>
      <c r="BE8" s="1665"/>
      <c r="BF8" s="1665"/>
      <c r="BG8" s="1665"/>
      <c r="BH8" s="1665"/>
      <c r="BI8" s="1665"/>
      <c r="BJ8" s="1665"/>
      <c r="BK8" s="1665"/>
      <c r="BL8" s="1665"/>
      <c r="BM8" s="1665"/>
      <c r="BN8" s="1665"/>
      <c r="BO8" s="1665"/>
      <c r="BP8" s="1665"/>
      <c r="BQ8" s="1665"/>
      <c r="BR8" s="1665"/>
      <c r="BS8" s="1665"/>
      <c r="BT8" s="1665"/>
      <c r="BU8" s="1665"/>
      <c r="BV8" s="1665"/>
      <c r="BW8" s="1665"/>
      <c r="BX8" s="1665"/>
      <c r="BY8" s="1665"/>
      <c r="BZ8" s="1665"/>
      <c r="CA8" s="1665"/>
      <c r="CB8" s="1665"/>
      <c r="CC8" s="1665"/>
      <c r="CD8" s="1665"/>
      <c r="CE8" s="1665"/>
      <c r="CF8" s="1665"/>
      <c r="CG8" s="1665"/>
      <c r="CH8" s="1665"/>
      <c r="CI8" s="1665"/>
      <c r="CJ8" s="1665"/>
      <c r="CK8" s="1665"/>
      <c r="CL8" s="1665"/>
      <c r="CM8" s="1665"/>
      <c r="CN8" s="1665"/>
      <c r="CO8" s="1665"/>
      <c r="CP8" s="1665"/>
      <c r="CQ8" s="1665"/>
      <c r="CR8" s="1665"/>
      <c r="CS8" s="1665"/>
      <c r="CT8" s="1665"/>
      <c r="CU8" s="1665"/>
      <c r="CV8" s="1665"/>
      <c r="CW8" s="1665"/>
      <c r="CX8" s="1665"/>
      <c r="CY8" s="1665"/>
      <c r="CZ8" s="1665"/>
      <c r="DA8" s="1665"/>
      <c r="DB8" s="1665"/>
      <c r="DC8" s="1665"/>
      <c r="DD8" s="1665"/>
      <c r="DE8" s="1665"/>
      <c r="DF8" s="1665"/>
      <c r="DG8" s="1665"/>
      <c r="DH8" s="1665"/>
      <c r="DI8" s="1665"/>
      <c r="DJ8" s="1665"/>
      <c r="DK8" s="1665"/>
      <c r="DL8" s="1665"/>
      <c r="DM8" s="1665"/>
      <c r="DN8" s="1665"/>
      <c r="DO8" s="1665"/>
      <c r="DP8" s="1665"/>
      <c r="DQ8" s="1665"/>
      <c r="DR8" s="1665"/>
      <c r="DS8" s="1665"/>
      <c r="DT8" s="1665"/>
      <c r="DU8" s="1665"/>
      <c r="DV8" s="1665"/>
      <c r="DW8" s="1665"/>
      <c r="DX8" s="1665"/>
      <c r="DY8" s="1665"/>
      <c r="DZ8" s="1665"/>
      <c r="EA8" s="1665"/>
      <c r="EB8" s="1665"/>
      <c r="EC8" s="1665"/>
      <c r="ED8" s="1665"/>
      <c r="EE8" s="1665"/>
      <c r="EF8" s="1665"/>
      <c r="EG8" s="1665"/>
      <c r="EH8" s="1665"/>
      <c r="EI8" s="1665"/>
      <c r="EJ8" s="1665"/>
      <c r="EK8" s="1665"/>
      <c r="EL8" s="1665"/>
      <c r="EM8" s="1665"/>
      <c r="EN8" s="1665"/>
      <c r="EO8" s="1665"/>
      <c r="EP8" s="1665"/>
      <c r="EQ8" s="1665"/>
      <c r="ER8" s="1665"/>
      <c r="ES8" s="1665"/>
      <c r="ET8" s="1665"/>
      <c r="EU8" s="1665"/>
      <c r="EV8" s="1665"/>
      <c r="EW8" s="1665"/>
      <c r="EX8" s="1665"/>
      <c r="EY8" s="1665"/>
      <c r="EZ8" s="1665"/>
      <c r="FA8" s="1665"/>
      <c r="FB8" s="1665"/>
      <c r="FC8" s="1665"/>
      <c r="FD8" s="1665"/>
      <c r="FE8" s="1665"/>
      <c r="FF8" s="1665"/>
      <c r="FG8" s="1665"/>
      <c r="FH8" s="1665"/>
      <c r="FI8" s="1665"/>
      <c r="FJ8" s="1665"/>
      <c r="FK8" s="1665"/>
      <c r="FL8" s="1665"/>
      <c r="FM8" s="1665"/>
      <c r="FN8" s="1665"/>
      <c r="FO8" s="1665"/>
      <c r="FP8" s="1665"/>
      <c r="FQ8" s="1665"/>
      <c r="FR8" s="1665"/>
      <c r="FS8" s="1665"/>
      <c r="FT8" s="1665"/>
      <c r="FU8" s="1665"/>
      <c r="FV8" s="1665"/>
      <c r="FW8" s="1665"/>
      <c r="FX8" s="1665"/>
      <c r="FY8" s="1665"/>
      <c r="FZ8" s="1665"/>
      <c r="GA8" s="1665"/>
      <c r="GB8" s="1665"/>
      <c r="GC8" s="1665"/>
      <c r="GD8" s="1665"/>
      <c r="GE8" s="1665"/>
      <c r="GF8" s="1665"/>
      <c r="GG8" s="1665"/>
      <c r="GH8" s="1665"/>
      <c r="GI8" s="1665"/>
      <c r="GJ8" s="1665"/>
      <c r="GK8" s="1665"/>
      <c r="GL8" s="1665"/>
      <c r="GM8" s="1665"/>
      <c r="GN8" s="1665"/>
      <c r="GO8" s="1665"/>
      <c r="GP8" s="1665"/>
      <c r="GQ8" s="1665"/>
      <c r="GR8" s="1665"/>
      <c r="GS8" s="1665"/>
      <c r="GT8" s="1665"/>
      <c r="GU8" s="1665"/>
      <c r="GV8" s="1665"/>
      <c r="GW8" s="1665"/>
      <c r="GX8" s="1665"/>
      <c r="GY8" s="1665"/>
      <c r="GZ8" s="1665"/>
      <c r="HA8" s="1665"/>
      <c r="HB8" s="1665"/>
      <c r="HC8" s="1665"/>
      <c r="HD8" s="1665"/>
      <c r="HE8" s="1665"/>
      <c r="HF8" s="1665"/>
      <c r="HG8" s="1665"/>
      <c r="HH8" s="1665"/>
      <c r="HI8" s="1665"/>
      <c r="HJ8" s="1665"/>
      <c r="HK8" s="1665"/>
      <c r="HL8" s="1665"/>
      <c r="HM8" s="1665"/>
      <c r="HN8" s="1665"/>
      <c r="HO8" s="1665"/>
      <c r="HP8" s="1665"/>
      <c r="HQ8" s="1665"/>
      <c r="HR8" s="1665"/>
      <c r="HS8" s="1665"/>
      <c r="HT8" s="1665"/>
      <c r="HU8" s="1665"/>
      <c r="HV8" s="1665"/>
      <c r="HW8" s="1665"/>
      <c r="HX8" s="1665"/>
      <c r="HY8" s="1665"/>
      <c r="HZ8" s="1665"/>
      <c r="IA8" s="1665"/>
      <c r="IB8" s="1665"/>
      <c r="IC8" s="1665"/>
      <c r="ID8" s="1665"/>
      <c r="IE8" s="1665"/>
      <c r="IF8" s="1665"/>
      <c r="IG8" s="1665"/>
      <c r="IH8" s="1665"/>
      <c r="II8" s="1665"/>
      <c r="IJ8" s="1665"/>
      <c r="IK8" s="1665"/>
      <c r="IL8" s="1665"/>
      <c r="IM8" s="1665"/>
      <c r="IN8" s="1665"/>
      <c r="IO8" s="1665"/>
      <c r="IP8" s="1665"/>
      <c r="IQ8" s="1665"/>
      <c r="IR8" s="1665"/>
    </row>
    <row r="9" spans="1:252" s="1843" customFormat="1" ht="8.1" customHeight="1">
      <c r="A9" s="1845"/>
      <c r="B9" s="303"/>
      <c r="C9" s="303"/>
      <c r="D9" s="303"/>
      <c r="E9" s="303"/>
      <c r="F9" s="303"/>
      <c r="G9" s="1665"/>
      <c r="H9" s="303"/>
      <c r="I9" s="303"/>
      <c r="J9" s="303"/>
      <c r="K9" s="303"/>
      <c r="L9" s="303"/>
      <c r="M9" s="303"/>
      <c r="N9" s="303"/>
      <c r="O9" s="303"/>
      <c r="P9" s="303"/>
      <c r="Q9" s="1845"/>
      <c r="R9" s="1847"/>
      <c r="S9" s="1845"/>
      <c r="T9" s="1842"/>
      <c r="U9" s="1665"/>
      <c r="V9" s="1665"/>
      <c r="W9" s="1665"/>
      <c r="X9" s="1665"/>
      <c r="Y9" s="1665"/>
      <c r="Z9" s="1665"/>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row>
    <row r="10" spans="1:252" s="1843" customFormat="1" ht="15.6">
      <c r="A10" s="1845"/>
      <c r="B10" s="303"/>
      <c r="C10" s="303"/>
      <c r="D10" s="303"/>
      <c r="E10" s="303"/>
      <c r="F10" s="303"/>
      <c r="G10" s="1665"/>
      <c r="H10" s="303"/>
      <c r="I10" s="303"/>
      <c r="J10" s="303"/>
      <c r="K10" s="303"/>
      <c r="L10" s="303"/>
      <c r="M10" s="303"/>
      <c r="N10" s="303"/>
      <c r="O10" s="303"/>
      <c r="P10" s="303"/>
      <c r="Q10" s="1845"/>
      <c r="R10" s="1846"/>
      <c r="S10" s="1578"/>
      <c r="T10" s="1846"/>
      <c r="U10" s="1578"/>
      <c r="V10" s="1578"/>
      <c r="W10" s="1665"/>
      <c r="X10" s="1665"/>
      <c r="Y10" s="1665"/>
      <c r="Z10" s="1665"/>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row>
    <row r="11" spans="1:252" s="1843" customFormat="1" ht="15.6">
      <c r="A11" s="1845"/>
      <c r="B11" s="303"/>
      <c r="C11" s="303"/>
      <c r="D11" s="303"/>
      <c r="E11" s="303"/>
      <c r="F11" s="303"/>
      <c r="G11" s="1665"/>
      <c r="H11" s="303"/>
      <c r="I11" s="303"/>
      <c r="K11" s="308"/>
      <c r="L11" s="1666"/>
      <c r="M11" s="1666"/>
      <c r="N11" s="308"/>
      <c r="O11" s="308"/>
      <c r="P11" s="308"/>
      <c r="Q11" s="1845"/>
      <c r="R11" s="1846"/>
      <c r="S11" s="1578"/>
      <c r="T11" s="1846"/>
      <c r="U11" s="1578"/>
      <c r="V11" s="1578"/>
      <c r="W11" s="1665"/>
      <c r="X11" s="1665"/>
      <c r="Y11" s="1665"/>
      <c r="Z11" s="1665"/>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row>
    <row r="12" spans="1:252" ht="15.9" customHeight="1">
      <c r="A12" s="1845"/>
      <c r="B12" s="308" t="s">
        <v>81</v>
      </c>
      <c r="C12" s="1848"/>
      <c r="D12" s="308"/>
      <c r="E12" s="303"/>
      <c r="F12" s="308" t="s">
        <v>82</v>
      </c>
      <c r="G12" s="1848"/>
      <c r="H12" s="308"/>
      <c r="I12" s="303"/>
      <c r="J12" s="308" t="s">
        <v>83</v>
      </c>
      <c r="K12" s="308"/>
      <c r="L12" s="1666"/>
      <c r="M12" s="308"/>
      <c r="N12" s="308"/>
      <c r="O12" s="308"/>
      <c r="P12" s="308"/>
      <c r="Q12" s="1845"/>
      <c r="R12" s="1849"/>
      <c r="S12" s="3530" t="s">
        <v>989</v>
      </c>
      <c r="T12" s="3530"/>
      <c r="U12" s="3530"/>
      <c r="V12" s="1578"/>
    </row>
    <row r="13" spans="1:252" ht="12.9" customHeight="1">
      <c r="A13" s="1845"/>
      <c r="B13" s="1850"/>
      <c r="C13" s="1850"/>
      <c r="D13" s="1850"/>
      <c r="E13" s="1845"/>
      <c r="F13" s="1850"/>
      <c r="G13" s="1851"/>
      <c r="H13" s="1850"/>
      <c r="I13" s="1845"/>
      <c r="J13" s="1850"/>
      <c r="K13" s="1850"/>
      <c r="L13" s="1850"/>
      <c r="M13" s="1850"/>
      <c r="N13" s="1850"/>
      <c r="O13" s="1850"/>
      <c r="P13" s="1850"/>
      <c r="Q13" s="1845"/>
      <c r="R13" s="1852"/>
      <c r="S13" s="1279"/>
      <c r="T13" s="1853"/>
      <c r="U13" s="1577"/>
      <c r="V13" s="1578"/>
    </row>
    <row r="14" spans="1:252" ht="15.9" customHeight="1">
      <c r="A14" s="1845"/>
      <c r="B14" s="1385" t="s">
        <v>7</v>
      </c>
      <c r="C14" s="303"/>
      <c r="D14" s="1386" t="s">
        <v>1549</v>
      </c>
      <c r="E14" s="303"/>
      <c r="F14" s="1385" t="s">
        <v>7</v>
      </c>
      <c r="G14" s="1387"/>
      <c r="H14" s="1385" t="str">
        <f>D14</f>
        <v>10 MOS. ENDED</v>
      </c>
      <c r="I14" s="303"/>
      <c r="J14" s="1385" t="s">
        <v>7</v>
      </c>
      <c r="K14" s="303"/>
      <c r="L14" s="1385" t="str">
        <f>D14</f>
        <v>10 MOS. ENDED</v>
      </c>
      <c r="M14" s="303"/>
      <c r="N14" s="1385" t="s">
        <v>7</v>
      </c>
      <c r="O14" s="303"/>
      <c r="P14" s="1385" t="str">
        <f>H14</f>
        <v>10 MOS. ENDED</v>
      </c>
      <c r="Q14" s="1845"/>
      <c r="R14" s="1852"/>
      <c r="S14" s="1399" t="s">
        <v>8</v>
      </c>
      <c r="T14" s="411"/>
      <c r="U14" s="1400" t="s">
        <v>9</v>
      </c>
      <c r="V14" s="1578"/>
    </row>
    <row r="15" spans="1:252" ht="15.9" customHeight="1">
      <c r="A15" s="1845"/>
      <c r="B15" s="1687" t="s">
        <v>1548</v>
      </c>
      <c r="C15" s="303"/>
      <c r="D15" s="1687" t="s">
        <v>1550</v>
      </c>
      <c r="E15" s="303"/>
      <c r="F15" s="1388" t="str">
        <f>+B15</f>
        <v>JAN. 2018</v>
      </c>
      <c r="G15" s="303"/>
      <c r="H15" s="1389" t="str">
        <f>D15</f>
        <v>JAN. 31, 2018</v>
      </c>
      <c r="I15" s="303"/>
      <c r="J15" s="1388" t="str">
        <f>+F15</f>
        <v>JAN. 2018</v>
      </c>
      <c r="K15" s="303"/>
      <c r="L15" s="1389" t="str">
        <f>D15</f>
        <v>JAN. 31, 2018</v>
      </c>
      <c r="M15" s="303"/>
      <c r="N15" s="3509" t="s">
        <v>1551</v>
      </c>
      <c r="O15" s="303"/>
      <c r="P15" s="1687" t="s">
        <v>1552</v>
      </c>
      <c r="Q15" s="1845"/>
      <c r="R15" s="1852"/>
      <c r="S15" s="1405" t="s">
        <v>12</v>
      </c>
      <c r="T15" s="410"/>
      <c r="U15" s="1406" t="s">
        <v>13</v>
      </c>
      <c r="V15" s="1578"/>
    </row>
    <row r="16" spans="1:252" ht="12.9" customHeight="1">
      <c r="A16" s="1845"/>
      <c r="B16" s="1847"/>
      <c r="C16" s="1845"/>
      <c r="D16" s="1847" t="s">
        <v>15</v>
      </c>
      <c r="E16" s="1845"/>
      <c r="F16" s="1850"/>
      <c r="G16" s="1845"/>
      <c r="H16" s="1854" t="s">
        <v>15</v>
      </c>
      <c r="I16" s="1847"/>
      <c r="J16" s="1855"/>
      <c r="K16" s="1845"/>
      <c r="L16" s="1856"/>
      <c r="M16" s="1847"/>
      <c r="N16" s="1847"/>
      <c r="O16" s="1845"/>
      <c r="P16" s="1847"/>
      <c r="Q16" s="1845"/>
      <c r="R16" s="1857"/>
      <c r="S16" s="1578"/>
      <c r="T16" s="1847"/>
      <c r="U16" s="1578"/>
      <c r="V16" s="1578"/>
    </row>
    <row r="17" spans="1:245" ht="15.9" customHeight="1">
      <c r="A17" s="303" t="s">
        <v>14</v>
      </c>
      <c r="B17" s="1858"/>
      <c r="C17" s="1858"/>
      <c r="D17" s="1858"/>
      <c r="E17" s="1858"/>
      <c r="F17" s="1859"/>
      <c r="G17" s="1858"/>
      <c r="H17" s="1860"/>
      <c r="I17" s="1859"/>
      <c r="J17" s="1861"/>
      <c r="K17" s="1858"/>
      <c r="L17" s="1860"/>
      <c r="M17" s="1859"/>
      <c r="N17" s="1859"/>
      <c r="O17" s="1858"/>
      <c r="P17" s="1859"/>
      <c r="Q17" s="1845"/>
      <c r="R17" s="1862"/>
      <c r="S17" s="1578"/>
      <c r="T17" s="1859"/>
      <c r="U17" s="1578"/>
      <c r="V17" s="1578"/>
    </row>
    <row r="18" spans="1:245" ht="15.9" customHeight="1">
      <c r="A18" s="1845" t="s">
        <v>20</v>
      </c>
      <c r="B18" s="1863">
        <f>+'EXHIBIT L'!T16</f>
        <v>5</v>
      </c>
      <c r="C18" s="1671"/>
      <c r="D18" s="1670">
        <f>+'EXHIBIT L'!AA16</f>
        <v>77.8</v>
      </c>
      <c r="E18" s="1671"/>
      <c r="F18" s="1864">
        <f>+'EXHIBIT M'!T16</f>
        <v>0.1</v>
      </c>
      <c r="G18" s="1671"/>
      <c r="H18" s="1865">
        <f>+'EXHIBIT M'!AA16</f>
        <v>1.2</v>
      </c>
      <c r="I18" s="1866"/>
      <c r="J18" s="1867">
        <f>SUM(B18)+SUM(F18)</f>
        <v>5.0999999999999996</v>
      </c>
      <c r="K18" s="1671"/>
      <c r="L18" s="1865">
        <f>D18+SUM(H18)</f>
        <v>79</v>
      </c>
      <c r="M18" s="1866"/>
      <c r="N18" s="1868">
        <v>4.9000000000000004</v>
      </c>
      <c r="O18" s="1671"/>
      <c r="P18" s="1868">
        <v>71.099999999999994</v>
      </c>
      <c r="Q18" s="1869"/>
      <c r="R18" s="1870"/>
      <c r="S18" s="2070">
        <f>ROUND(SUM(L18-P18),1)</f>
        <v>7.9</v>
      </c>
      <c r="T18" s="1871"/>
      <c r="U18" s="2501">
        <f>ROUND(IF(S18=0,0,S18/ABS(P18)),3)</f>
        <v>0.111</v>
      </c>
      <c r="V18" s="1872"/>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73"/>
      <c r="AS18" s="1873"/>
      <c r="AT18" s="1873"/>
      <c r="AU18" s="1873"/>
      <c r="AV18" s="1873"/>
      <c r="AW18" s="1873"/>
      <c r="AX18" s="1873"/>
      <c r="AY18" s="1873"/>
      <c r="AZ18" s="1873"/>
      <c r="BA18" s="1873"/>
      <c r="BB18" s="1873"/>
      <c r="BC18" s="1873"/>
      <c r="BD18" s="1873"/>
      <c r="BE18" s="1873"/>
      <c r="BF18" s="1873"/>
      <c r="BG18" s="1873"/>
      <c r="BH18" s="1873"/>
      <c r="BI18" s="1873"/>
      <c r="BJ18" s="1873"/>
      <c r="BK18" s="1873"/>
      <c r="BL18" s="1873"/>
      <c r="BM18" s="1873"/>
      <c r="BN18" s="1873"/>
      <c r="BO18" s="1873"/>
      <c r="BP18" s="1873"/>
      <c r="BQ18" s="1873"/>
      <c r="BR18" s="1873"/>
      <c r="BS18" s="1873"/>
      <c r="BT18" s="1873"/>
      <c r="BU18" s="1873"/>
      <c r="BV18" s="1873"/>
      <c r="BW18" s="1873"/>
      <c r="BX18" s="1873"/>
      <c r="BY18" s="1873"/>
      <c r="BZ18" s="1873"/>
      <c r="CA18" s="1873"/>
      <c r="CB18" s="1873"/>
      <c r="CC18" s="1873"/>
      <c r="CD18" s="1873"/>
      <c r="CE18" s="1873"/>
      <c r="CF18" s="1873"/>
      <c r="CG18" s="1873"/>
      <c r="CH18" s="1873"/>
      <c r="CI18" s="1873"/>
      <c r="CJ18" s="1873"/>
      <c r="CK18" s="1873"/>
      <c r="CL18" s="1873"/>
      <c r="CM18" s="1873"/>
      <c r="CN18" s="1873"/>
      <c r="CO18" s="1873"/>
      <c r="CP18" s="1873"/>
      <c r="CQ18" s="1873"/>
      <c r="CR18" s="1873"/>
      <c r="CS18" s="1873"/>
      <c r="CT18" s="1873"/>
      <c r="CU18" s="1873"/>
      <c r="CV18" s="1873"/>
      <c r="CW18" s="1873"/>
      <c r="CX18" s="1873"/>
      <c r="CY18" s="1873"/>
      <c r="CZ18" s="1873"/>
      <c r="DA18" s="1873"/>
      <c r="DB18" s="1873"/>
      <c r="DC18" s="1873"/>
      <c r="DD18" s="1873"/>
      <c r="DE18" s="1873"/>
      <c r="DF18" s="1873"/>
      <c r="DG18" s="1873"/>
      <c r="DH18" s="1873"/>
      <c r="DI18" s="1873"/>
      <c r="DJ18" s="1873"/>
      <c r="DK18" s="1873"/>
      <c r="DL18" s="1873"/>
      <c r="DM18" s="1873"/>
      <c r="DN18" s="1873"/>
      <c r="DO18" s="1873"/>
      <c r="DP18" s="1873"/>
      <c r="DQ18" s="1873"/>
      <c r="DR18" s="1873"/>
      <c r="DS18" s="1873"/>
      <c r="DT18" s="1873"/>
      <c r="DU18" s="1873"/>
      <c r="DV18" s="1873"/>
      <c r="DW18" s="1873"/>
      <c r="DX18" s="1873"/>
      <c r="DY18" s="1873"/>
      <c r="DZ18" s="1873"/>
      <c r="EA18" s="1873"/>
      <c r="EB18" s="1873"/>
      <c r="EC18" s="1873"/>
      <c r="ED18" s="1873"/>
      <c r="EE18" s="1873"/>
      <c r="EF18" s="1873"/>
      <c r="EG18" s="1873"/>
      <c r="EH18" s="1873"/>
      <c r="EI18" s="1873"/>
      <c r="EJ18" s="1873"/>
      <c r="EK18" s="1873"/>
      <c r="EL18" s="1873"/>
      <c r="EM18" s="1873"/>
      <c r="EN18" s="1873"/>
      <c r="EO18" s="1873"/>
      <c r="EP18" s="1873"/>
      <c r="EQ18" s="1873"/>
      <c r="ER18" s="1873"/>
      <c r="ES18" s="1873"/>
      <c r="ET18" s="1873"/>
      <c r="EU18" s="1873"/>
      <c r="EV18" s="1873"/>
      <c r="EW18" s="1873"/>
      <c r="EX18" s="1873"/>
      <c r="EY18" s="1873"/>
      <c r="EZ18" s="1873"/>
      <c r="FA18" s="1873"/>
      <c r="FB18" s="1873"/>
      <c r="FC18" s="1873"/>
      <c r="FD18" s="1873"/>
      <c r="FE18" s="1873"/>
      <c r="FF18" s="1873"/>
      <c r="FG18" s="1873"/>
      <c r="FH18" s="1873"/>
      <c r="FI18" s="1873"/>
      <c r="FJ18" s="1873"/>
      <c r="FK18" s="1873"/>
      <c r="FL18" s="1873"/>
      <c r="FM18" s="1873"/>
      <c r="FN18" s="1873"/>
      <c r="FO18" s="1873"/>
      <c r="FP18" s="1873"/>
      <c r="FQ18" s="1873"/>
      <c r="FR18" s="1873"/>
      <c r="FS18" s="1873"/>
      <c r="FT18" s="1873"/>
      <c r="FU18" s="1873"/>
      <c r="FV18" s="1873"/>
      <c r="FW18" s="1873"/>
      <c r="FX18" s="1873"/>
      <c r="FY18" s="1873"/>
      <c r="FZ18" s="1873"/>
      <c r="GA18" s="1873"/>
      <c r="GB18" s="1873"/>
      <c r="GC18" s="1873"/>
      <c r="GD18" s="1873"/>
      <c r="GE18" s="1873"/>
      <c r="GF18" s="1873"/>
      <c r="GG18" s="1873"/>
      <c r="GH18" s="1873"/>
      <c r="GI18" s="1873"/>
      <c r="GJ18" s="1873"/>
      <c r="GK18" s="1873"/>
      <c r="GL18" s="1873"/>
      <c r="GM18" s="1873"/>
      <c r="GN18" s="1873"/>
      <c r="GO18" s="1873"/>
      <c r="GP18" s="1873"/>
      <c r="GQ18" s="1873"/>
      <c r="GR18" s="1873"/>
      <c r="GS18" s="1873"/>
      <c r="GT18" s="1873"/>
      <c r="GU18" s="1873"/>
      <c r="GV18" s="1873"/>
      <c r="GW18" s="1873"/>
      <c r="GX18" s="1873"/>
      <c r="GY18" s="1873"/>
      <c r="GZ18" s="1873"/>
      <c r="HA18" s="1873"/>
      <c r="HB18" s="1873"/>
      <c r="HC18" s="1873"/>
      <c r="HD18" s="1873"/>
      <c r="HE18" s="1873"/>
      <c r="HF18" s="1873"/>
      <c r="HG18" s="1873"/>
      <c r="HH18" s="1873"/>
      <c r="HI18" s="1873"/>
      <c r="HJ18" s="1873"/>
      <c r="HK18" s="1873"/>
      <c r="HL18" s="1873"/>
      <c r="HM18" s="1873"/>
      <c r="HN18" s="1873"/>
      <c r="HO18" s="1873"/>
      <c r="HP18" s="1873"/>
      <c r="HQ18" s="1873"/>
      <c r="HR18" s="1873"/>
      <c r="HS18" s="1873"/>
      <c r="HT18" s="1873"/>
      <c r="HU18" s="1873"/>
      <c r="HV18" s="1873"/>
      <c r="HW18" s="1873"/>
      <c r="HX18" s="1873"/>
      <c r="HY18" s="1873"/>
      <c r="HZ18" s="1873"/>
      <c r="IA18" s="1873"/>
      <c r="IB18" s="1873"/>
      <c r="IC18" s="1873"/>
      <c r="ID18" s="1873"/>
      <c r="IE18" s="1873"/>
      <c r="IF18" s="1873"/>
      <c r="IG18" s="1873"/>
      <c r="IH18" s="1873"/>
      <c r="II18" s="1873"/>
      <c r="IJ18" s="1873"/>
      <c r="IK18" s="1873"/>
    </row>
    <row r="19" spans="1:245" ht="15.6">
      <c r="A19" s="303" t="s">
        <v>22</v>
      </c>
      <c r="B19" s="309">
        <f>ROUND(SUM(B18),1)</f>
        <v>5</v>
      </c>
      <c r="C19" s="310"/>
      <c r="D19" s="309">
        <f>ROUND(SUM(D18),1)</f>
        <v>77.8</v>
      </c>
      <c r="E19" s="310"/>
      <c r="F19" s="311">
        <f>ROUND(SUM(F18),1)</f>
        <v>0.1</v>
      </c>
      <c r="G19" s="310"/>
      <c r="H19" s="312">
        <f>ROUND(SUM(H18),1)</f>
        <v>1.2</v>
      </c>
      <c r="I19" s="313"/>
      <c r="J19" s="314">
        <f>ROUND(SUM(J18),1)</f>
        <v>5.0999999999999996</v>
      </c>
      <c r="K19" s="310"/>
      <c r="L19" s="312">
        <f>ROUND(SUM(L18),1)</f>
        <v>79</v>
      </c>
      <c r="M19" s="313"/>
      <c r="N19" s="309">
        <f>ROUND(SUM(N18),1)</f>
        <v>4.9000000000000004</v>
      </c>
      <c r="O19" s="310"/>
      <c r="P19" s="309">
        <f>ROUND(SUM(P18),1)</f>
        <v>71.099999999999994</v>
      </c>
      <c r="Q19" s="1387"/>
      <c r="R19" s="1874"/>
      <c r="S19" s="1903">
        <f>ROUND(SUM(S18),3)</f>
        <v>7.9</v>
      </c>
      <c r="T19" s="1139"/>
      <c r="U19" s="1904">
        <f>ROUND(+S19/P19,3)</f>
        <v>0.111</v>
      </c>
      <c r="V19" s="1578"/>
    </row>
    <row r="20" spans="1:245" ht="15.6">
      <c r="A20" s="303"/>
      <c r="B20" s="1672"/>
      <c r="C20" s="1672"/>
      <c r="D20" s="1672"/>
      <c r="E20" s="1672"/>
      <c r="F20" s="1672"/>
      <c r="G20" s="1672"/>
      <c r="H20" s="1875"/>
      <c r="I20" s="1876"/>
      <c r="J20" s="1877"/>
      <c r="K20" s="1672"/>
      <c r="L20" s="1878"/>
      <c r="M20" s="1876"/>
      <c r="N20" s="1876"/>
      <c r="O20" s="1672"/>
      <c r="P20" s="1876"/>
      <c r="R20" s="1862"/>
      <c r="S20" s="1902"/>
      <c r="T20" s="1859"/>
      <c r="U20" s="1578"/>
      <c r="V20" s="1578"/>
    </row>
    <row r="21" spans="1:245" ht="15.9" customHeight="1">
      <c r="A21" s="303" t="s">
        <v>23</v>
      </c>
      <c r="B21" s="1672"/>
      <c r="C21" s="1672"/>
      <c r="D21" s="1672"/>
      <c r="E21" s="1672"/>
      <c r="F21" s="1672"/>
      <c r="G21" s="1672"/>
      <c r="H21" s="1878"/>
      <c r="I21" s="1876"/>
      <c r="J21" s="1877"/>
      <c r="K21" s="1672"/>
      <c r="L21" s="1878"/>
      <c r="M21" s="1876"/>
      <c r="N21" s="1876"/>
      <c r="O21" s="1672"/>
      <c r="P21" s="1876"/>
      <c r="R21" s="1862"/>
      <c r="S21" s="1902"/>
      <c r="T21" s="1859"/>
      <c r="U21" s="1578"/>
      <c r="V21" s="1578"/>
    </row>
    <row r="22" spans="1:245" ht="15.9" customHeight="1">
      <c r="A22" s="1845" t="s">
        <v>36</v>
      </c>
      <c r="B22" s="1672"/>
      <c r="C22" s="1672"/>
      <c r="D22" s="1672"/>
      <c r="E22" s="1672"/>
      <c r="F22" s="1672"/>
      <c r="G22" s="1672"/>
      <c r="H22" s="1878"/>
      <c r="I22" s="1876"/>
      <c r="J22" s="1877"/>
      <c r="K22" s="1672"/>
      <c r="L22" s="1878"/>
      <c r="M22" s="1876"/>
      <c r="N22" s="1876"/>
      <c r="O22" s="1672"/>
      <c r="P22" s="1876"/>
      <c r="R22" s="1862"/>
      <c r="S22" s="1902"/>
      <c r="T22" s="1859"/>
      <c r="U22" s="1578"/>
      <c r="V22" s="1578"/>
    </row>
    <row r="23" spans="1:245" ht="15.9" customHeight="1">
      <c r="A23" s="1845" t="s">
        <v>69</v>
      </c>
      <c r="B23" s="1272">
        <f>+'EXHIBIT L'!T22</f>
        <v>5</v>
      </c>
      <c r="C23" s="1672"/>
      <c r="D23" s="1272">
        <f>+'EXHIBIT L'!AA22</f>
        <v>50.5</v>
      </c>
      <c r="E23" s="1672"/>
      <c r="F23" s="1879">
        <f>+'EXHIBIT M'!T22</f>
        <v>0</v>
      </c>
      <c r="G23" s="1672"/>
      <c r="H23" s="1880">
        <f>+'EXHIBIT M'!AA22</f>
        <v>0.2</v>
      </c>
      <c r="I23" s="1876"/>
      <c r="J23" s="1881">
        <f>SUM(B23)+SUM(F23)</f>
        <v>5</v>
      </c>
      <c r="K23" s="1672"/>
      <c r="L23" s="1882">
        <f>SUM(D23)+SUM(H23)</f>
        <v>50.7</v>
      </c>
      <c r="M23" s="1876"/>
      <c r="N23" s="1883">
        <v>1.4</v>
      </c>
      <c r="O23" s="1672"/>
      <c r="P23" s="1883">
        <v>48.7</v>
      </c>
      <c r="R23" s="1862"/>
      <c r="S23" s="1902">
        <f>ROUND(SUM(L23-P23),1)</f>
        <v>2</v>
      </c>
      <c r="T23" s="1859"/>
      <c r="U23" s="2501">
        <f>ROUND(IF(S23=0,0,S23/ABS(P23)),3)</f>
        <v>4.1000000000000002E-2</v>
      </c>
      <c r="V23" s="1578"/>
    </row>
    <row r="24" spans="1:245" ht="15.9" customHeight="1">
      <c r="A24" s="1845" t="s">
        <v>70</v>
      </c>
      <c r="B24" s="1272">
        <f>+'EXHIBIT L'!T23</f>
        <v>9.8000000000000007</v>
      </c>
      <c r="C24" s="1672"/>
      <c r="D24" s="1883">
        <f>+'EXHIBIT L'!AA23</f>
        <v>21.1</v>
      </c>
      <c r="E24" s="1672"/>
      <c r="F24" s="1879">
        <f>+'EXHIBIT M'!T23</f>
        <v>0</v>
      </c>
      <c r="G24" s="1672"/>
      <c r="H24" s="1880">
        <f>+'EXHIBIT M'!AA23</f>
        <v>0</v>
      </c>
      <c r="I24" s="1876"/>
      <c r="J24" s="1881">
        <f>SUM(B24)+SUM(F24)</f>
        <v>9.8000000000000007</v>
      </c>
      <c r="K24" s="1672"/>
      <c r="L24" s="1882">
        <f>SUM(D24)+SUM(H24)</f>
        <v>21.1</v>
      </c>
      <c r="M24" s="1876"/>
      <c r="N24" s="1884">
        <v>7.9</v>
      </c>
      <c r="O24" s="1876"/>
      <c r="P24" s="1883">
        <v>19.7</v>
      </c>
      <c r="R24" s="1862"/>
      <c r="S24" s="1902">
        <f>ROUND(SUM(L24-P24),1)</f>
        <v>1.4</v>
      </c>
      <c r="T24" s="1859"/>
      <c r="U24" s="2501">
        <f>ROUND(IF(S24=0,0,S24/ABS(P24)),3)</f>
        <v>7.0999999999999994E-2</v>
      </c>
      <c r="V24" s="1578"/>
    </row>
    <row r="25" spans="1:245" ht="15.9" customHeight="1">
      <c r="A25" s="1845" t="s">
        <v>71</v>
      </c>
      <c r="B25" s="1272">
        <f>+'EXHIBIT L'!T24</f>
        <v>8.6</v>
      </c>
      <c r="C25" s="1672"/>
      <c r="D25" s="1884">
        <f>+'EXHIBIT L'!AA24</f>
        <v>32.700000000000003</v>
      </c>
      <c r="E25" s="1672"/>
      <c r="F25" s="1879">
        <f>+'EXHIBIT M'!T24</f>
        <v>0</v>
      </c>
      <c r="G25" s="1672"/>
      <c r="H25" s="1885">
        <f>+'EXHIBIT M'!AA24</f>
        <v>0.1</v>
      </c>
      <c r="I25" s="1876"/>
      <c r="J25" s="1881">
        <f>SUM(B25)+SUM(F25)</f>
        <v>8.6</v>
      </c>
      <c r="K25" s="1672"/>
      <c r="L25" s="1886">
        <f>SUM(D25)+SUM(H25)</f>
        <v>32.800000000000004</v>
      </c>
      <c r="M25" s="1876"/>
      <c r="N25" s="1884">
        <v>9.6</v>
      </c>
      <c r="O25" s="1887"/>
      <c r="P25" s="1883">
        <v>29.7</v>
      </c>
      <c r="R25" s="1862"/>
      <c r="S25" s="1902">
        <f>ROUND(SUM(L25-P25),1)</f>
        <v>3.1</v>
      </c>
      <c r="T25" s="1859"/>
      <c r="U25" s="2548">
        <f>ROUND(IF(P25=0,1,S25/ABS(P25)),3)</f>
        <v>0.104</v>
      </c>
      <c r="V25" s="1578"/>
    </row>
    <row r="26" spans="1:245" ht="15.6">
      <c r="A26" s="303" t="s">
        <v>59</v>
      </c>
      <c r="B26" s="309">
        <f>ROUND(SUM(B23:B25),1)</f>
        <v>23.4</v>
      </c>
      <c r="C26" s="310"/>
      <c r="D26" s="309">
        <f>ROUND(SUM(D23:D25),1)</f>
        <v>104.3</v>
      </c>
      <c r="E26" s="310"/>
      <c r="F26" s="309">
        <f>ROUND(SUM(F23:F25),1)</f>
        <v>0</v>
      </c>
      <c r="G26" s="310"/>
      <c r="H26" s="312">
        <f>ROUND(SUM(H23:H25),1)</f>
        <v>0.3</v>
      </c>
      <c r="I26" s="313"/>
      <c r="J26" s="314">
        <f>ROUND(SUM(J23:J25),1)</f>
        <v>23.4</v>
      </c>
      <c r="K26" s="310"/>
      <c r="L26" s="312">
        <f>ROUND(SUM(L23:L25),1)</f>
        <v>104.6</v>
      </c>
      <c r="M26" s="313"/>
      <c r="N26" s="309">
        <f>ROUND(SUM(N23:N25),1)</f>
        <v>18.899999999999999</v>
      </c>
      <c r="O26" s="310"/>
      <c r="P26" s="309">
        <f>ROUND(SUM(P23:P25),1)</f>
        <v>98.1</v>
      </c>
      <c r="Q26" s="1387"/>
      <c r="R26" s="1840"/>
      <c r="S26" s="1903">
        <f>ROUND(SUM(S23:S25),3)</f>
        <v>6.5</v>
      </c>
      <c r="T26" s="1139"/>
      <c r="U26" s="2579">
        <f>ROUND(S26/P26,3)</f>
        <v>6.6000000000000003E-2</v>
      </c>
      <c r="V26" s="1578"/>
    </row>
    <row r="27" spans="1:245" ht="15.6">
      <c r="A27" s="303"/>
      <c r="B27" s="1672"/>
      <c r="C27" s="1672"/>
      <c r="D27" s="1672"/>
      <c r="E27" s="1672"/>
      <c r="F27" s="1672"/>
      <c r="G27" s="1672"/>
      <c r="H27" s="1878"/>
      <c r="I27" s="1876"/>
      <c r="J27" s="1877"/>
      <c r="K27" s="1672"/>
      <c r="L27" s="1878"/>
      <c r="M27" s="1876"/>
      <c r="N27" s="1876"/>
      <c r="O27" s="1672"/>
      <c r="P27" s="1876"/>
      <c r="R27" s="1862"/>
      <c r="S27" s="1902"/>
      <c r="T27" s="1859"/>
      <c r="U27" s="1578"/>
      <c r="V27" s="1578"/>
    </row>
    <row r="28" spans="1:245" ht="15.9" customHeight="1">
      <c r="A28" s="303" t="s">
        <v>44</v>
      </c>
      <c r="B28" s="1672"/>
      <c r="C28" s="1672"/>
      <c r="D28" s="1672"/>
      <c r="E28" s="1672"/>
      <c r="F28" s="1672"/>
      <c r="G28" s="1672"/>
      <c r="H28" s="1878"/>
      <c r="I28" s="1876"/>
      <c r="J28" s="1877"/>
      <c r="K28" s="1672"/>
      <c r="L28" s="1878"/>
      <c r="M28" s="1876"/>
      <c r="N28" s="1876"/>
      <c r="O28" s="1672"/>
      <c r="P28" s="1876"/>
      <c r="R28" s="1862"/>
      <c r="S28" s="1902"/>
      <c r="T28" s="1859"/>
      <c r="U28" s="1578"/>
      <c r="V28" s="1578"/>
    </row>
    <row r="29" spans="1:245" ht="15.6">
      <c r="A29" s="303" t="s">
        <v>73</v>
      </c>
      <c r="B29" s="319">
        <f>ROUND(SUM(B19-B26),1)</f>
        <v>-18.399999999999999</v>
      </c>
      <c r="C29" s="310"/>
      <c r="D29" s="319">
        <f>ROUND(SUM(D19-D26),1)</f>
        <v>-26.5</v>
      </c>
      <c r="E29" s="310"/>
      <c r="F29" s="319">
        <f>ROUND(SUM(F19-F26),1)</f>
        <v>0.1</v>
      </c>
      <c r="G29" s="310"/>
      <c r="H29" s="320">
        <f>ROUND(SUM(H19-H26),1)</f>
        <v>0.9</v>
      </c>
      <c r="I29" s="313"/>
      <c r="J29" s="321">
        <f>ROUND(SUM(J19-J26),1)</f>
        <v>-18.3</v>
      </c>
      <c r="K29" s="313"/>
      <c r="L29" s="320">
        <f>ROUND(SUM(L19-L26),1)</f>
        <v>-25.6</v>
      </c>
      <c r="M29" s="313"/>
      <c r="N29" s="319">
        <f>ROUND(SUM(N19-N26),1)</f>
        <v>-14</v>
      </c>
      <c r="O29" s="313"/>
      <c r="P29" s="319">
        <f>ROUND(SUM(P19-P26),1)</f>
        <v>-27</v>
      </c>
      <c r="Q29" s="1387"/>
      <c r="R29" s="1862"/>
      <c r="S29" s="2896">
        <f>ROUND(SUM(L29-P29),1)</f>
        <v>1.4</v>
      </c>
      <c r="T29" s="1859"/>
      <c r="U29" s="3200">
        <f>ROUND(IF(P29=0,1,S29/ABS(P29)),3)</f>
        <v>5.1999999999999998E-2</v>
      </c>
      <c r="V29" s="1578"/>
    </row>
    <row r="30" spans="1:245">
      <c r="A30" s="1845"/>
      <c r="B30" s="1672"/>
      <c r="C30" s="1672"/>
      <c r="D30" s="1672"/>
      <c r="E30" s="1672"/>
      <c r="F30" s="1672"/>
      <c r="G30" s="1672"/>
      <c r="H30" s="1878"/>
      <c r="I30" s="1876"/>
      <c r="J30" s="1877"/>
      <c r="K30" s="1672"/>
      <c r="L30" s="1878"/>
      <c r="M30" s="1876"/>
      <c r="N30" s="1876"/>
      <c r="O30" s="1672"/>
      <c r="P30" s="1876"/>
      <c r="R30" s="1862"/>
      <c r="S30" s="1902"/>
      <c r="T30" s="1859"/>
      <c r="U30" s="1578"/>
      <c r="V30" s="1578"/>
    </row>
    <row r="31" spans="1:245" ht="15.9" customHeight="1">
      <c r="A31" s="303" t="s">
        <v>46</v>
      </c>
      <c r="B31" s="1672"/>
      <c r="C31" s="1672"/>
      <c r="D31" s="1672"/>
      <c r="E31" s="1672"/>
      <c r="F31" s="1672"/>
      <c r="G31" s="1672"/>
      <c r="H31" s="1878"/>
      <c r="I31" s="1876"/>
      <c r="J31" s="1877"/>
      <c r="K31" s="1672"/>
      <c r="L31" s="1878"/>
      <c r="M31" s="1876"/>
      <c r="N31" s="1876"/>
      <c r="O31" s="1672"/>
      <c r="P31" s="1876"/>
      <c r="R31" s="1862"/>
      <c r="S31" s="1902"/>
      <c r="T31" s="1859"/>
      <c r="U31" s="1578"/>
      <c r="V31" s="1578"/>
    </row>
    <row r="32" spans="1:245" ht="15.9" customHeight="1">
      <c r="A32" s="1845" t="s">
        <v>48</v>
      </c>
      <c r="B32" s="1879">
        <f>+'EXHIBIT L'!T31</f>
        <v>0</v>
      </c>
      <c r="C32" s="1672"/>
      <c r="D32" s="1879">
        <f>+'EXHIBIT L'!AA31</f>
        <v>0</v>
      </c>
      <c r="E32" s="1672"/>
      <c r="F32" s="1879">
        <f>+'EXHIBIT M'!T31</f>
        <v>0</v>
      </c>
      <c r="G32" s="1272"/>
      <c r="H32" s="1888">
        <f>+'EXHIBIT M'!AA31</f>
        <v>0</v>
      </c>
      <c r="I32" s="1876"/>
      <c r="J32" s="1889">
        <f>SUM(B32)+SUM(F32)</f>
        <v>0</v>
      </c>
      <c r="K32" s="1672"/>
      <c r="L32" s="1880">
        <f>SUM(D32)+SUM(H32)</f>
        <v>0</v>
      </c>
      <c r="M32" s="1876"/>
      <c r="N32" s="1884">
        <v>0</v>
      </c>
      <c r="O32" s="1876"/>
      <c r="P32" s="1884">
        <f>+'EXHIBIT L'!AD31+'EXHIBIT M'!AD31</f>
        <v>0</v>
      </c>
      <c r="R32" s="1890"/>
      <c r="S32" s="1902">
        <f>ROUND(SUM(L32-P32),1)</f>
        <v>0</v>
      </c>
      <c r="T32" s="1203"/>
      <c r="U32" s="2501">
        <f>ROUND(IF(S32=0,0,S32/ABS(P32)),3)</f>
        <v>0</v>
      </c>
      <c r="V32" s="1578"/>
    </row>
    <row r="33" spans="1:245" ht="15.9" customHeight="1">
      <c r="A33" s="1845" t="s">
        <v>74</v>
      </c>
      <c r="B33" s="1879">
        <f>+'EXHIBIT L'!T32</f>
        <v>0</v>
      </c>
      <c r="C33" s="1672"/>
      <c r="D33" s="1891">
        <f>+'EXHIBIT L'!AA32</f>
        <v>0</v>
      </c>
      <c r="E33" s="1672"/>
      <c r="F33" s="1879">
        <f>+'EXHIBIT M'!T32</f>
        <v>0</v>
      </c>
      <c r="G33" s="1672"/>
      <c r="H33" s="1888">
        <f>+'EXHIBIT M'!AA32</f>
        <v>0</v>
      </c>
      <c r="I33" s="1876"/>
      <c r="J33" s="1889">
        <f>SUM(B33)+SUM(F33)</f>
        <v>0</v>
      </c>
      <c r="K33" s="1672"/>
      <c r="L33" s="1892">
        <f>SUM(D33)+SUM(H33)</f>
        <v>0</v>
      </c>
      <c r="M33" s="1876"/>
      <c r="N33" s="1893">
        <v>0</v>
      </c>
      <c r="O33" s="1887"/>
      <c r="P33" s="1893">
        <f>+'EXHIBIT L'!AD32+'EXHIBIT M'!AD32</f>
        <v>0</v>
      </c>
      <c r="R33" s="1894"/>
      <c r="S33" s="1902">
        <f>ROUND(SUM(L33-P33),1)</f>
        <v>0</v>
      </c>
      <c r="T33" s="1203"/>
      <c r="U33" s="2501">
        <f>ROUND(IF(S33=0,0,S33/ABS(P33)),3)</f>
        <v>0</v>
      </c>
      <c r="V33" s="1578"/>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895"/>
      <c r="S34" s="281">
        <f>SUM(S32:S33)</f>
        <v>0</v>
      </c>
      <c r="T34" s="2523"/>
      <c r="U34" s="1958">
        <f>ROUND(IF(P34=0,0,S34/ABS(P34)),3)</f>
        <v>0</v>
      </c>
      <c r="V34" s="1578"/>
    </row>
    <row r="35" spans="1:245" ht="15.6">
      <c r="A35" s="303"/>
      <c r="B35" s="1896"/>
      <c r="C35" s="1672"/>
      <c r="D35" s="1896"/>
      <c r="E35" s="1672"/>
      <c r="F35" s="1876"/>
      <c r="G35" s="1672"/>
      <c r="H35" s="1878"/>
      <c r="I35" s="1876"/>
      <c r="J35" s="1877"/>
      <c r="K35" s="1672"/>
      <c r="L35" s="1897"/>
      <c r="M35" s="1876"/>
      <c r="N35" s="1876"/>
      <c r="O35" s="1672"/>
      <c r="P35" s="1876"/>
      <c r="R35" s="1862"/>
      <c r="S35" s="1902"/>
      <c r="T35" s="1859"/>
      <c r="U35" s="1578"/>
      <c r="V35" s="1578"/>
    </row>
    <row r="36" spans="1:245" ht="15.75" customHeight="1">
      <c r="A36" s="303" t="s">
        <v>44</v>
      </c>
      <c r="B36" s="1672"/>
      <c r="C36" s="1672"/>
      <c r="D36" s="1672"/>
      <c r="E36" s="1672"/>
      <c r="F36" s="1672"/>
      <c r="G36" s="1672"/>
      <c r="H36" s="1878"/>
      <c r="I36" s="1876"/>
      <c r="J36" s="1877"/>
      <c r="K36" s="1672"/>
      <c r="L36" s="1878"/>
      <c r="M36" s="1876"/>
      <c r="N36" s="1876"/>
      <c r="O36" s="1672"/>
      <c r="P36" s="1876"/>
      <c r="R36" s="1862"/>
      <c r="S36" s="1902"/>
      <c r="T36" s="1859"/>
      <c r="U36" s="1578"/>
      <c r="V36" s="1578"/>
    </row>
    <row r="37" spans="1:245" ht="15.75" customHeight="1">
      <c r="A37" s="303" t="s">
        <v>75</v>
      </c>
      <c r="B37" s="1672"/>
      <c r="C37" s="1672"/>
      <c r="D37" s="1672"/>
      <c r="E37" s="1672"/>
      <c r="F37" s="1672"/>
      <c r="G37" s="1672"/>
      <c r="H37" s="1878"/>
      <c r="I37" s="1876"/>
      <c r="J37" s="1877"/>
      <c r="K37" s="1672"/>
      <c r="L37" s="1878"/>
      <c r="M37" s="1876"/>
      <c r="N37" s="1876"/>
      <c r="O37" s="1672"/>
      <c r="P37" s="1876"/>
      <c r="R37" s="1862"/>
      <c r="S37" s="1902"/>
      <c r="T37" s="1859"/>
      <c r="U37" s="1578"/>
      <c r="V37" s="1578"/>
    </row>
    <row r="38" spans="1:245" ht="15.75" customHeight="1">
      <c r="A38" s="303" t="s">
        <v>76</v>
      </c>
      <c r="B38" s="1672"/>
      <c r="C38" s="1672"/>
      <c r="D38" s="1672"/>
      <c r="E38" s="1672"/>
      <c r="F38" s="1898"/>
      <c r="G38" s="1672"/>
      <c r="H38" s="1878"/>
      <c r="I38" s="1876"/>
      <c r="J38" s="1877"/>
      <c r="K38" s="1672"/>
      <c r="L38" s="1878"/>
      <c r="M38" s="1876"/>
      <c r="N38" s="1876"/>
      <c r="O38" s="1672"/>
      <c r="P38" s="1876"/>
      <c r="R38" s="1862"/>
      <c r="S38" s="1902"/>
      <c r="T38" s="1859"/>
      <c r="U38" s="1578"/>
      <c r="V38" s="1578"/>
    </row>
    <row r="39" spans="1:245" ht="15.75" customHeight="1">
      <c r="A39" s="303" t="s">
        <v>77</v>
      </c>
      <c r="B39" s="327">
        <f>ROUND(SUM(B29+B34),1)</f>
        <v>-18.399999999999999</v>
      </c>
      <c r="C39" s="310"/>
      <c r="D39" s="327">
        <f>ROUND(SUM(D29+D34),1)</f>
        <v>-26.5</v>
      </c>
      <c r="E39" s="310"/>
      <c r="F39" s="327">
        <f>ROUND(SUM(F29+F34),1)</f>
        <v>0.1</v>
      </c>
      <c r="G39" s="310"/>
      <c r="H39" s="328">
        <f>ROUND(SUM(H29+H34),1)</f>
        <v>0.9</v>
      </c>
      <c r="I39" s="313"/>
      <c r="J39" s="329">
        <f>ROUND(SUM(J29+J34),1)</f>
        <v>-18.3</v>
      </c>
      <c r="K39" s="310"/>
      <c r="L39" s="328">
        <f>ROUND(SUM(L29+L34),1)</f>
        <v>-25.6</v>
      </c>
      <c r="M39" s="313"/>
      <c r="N39" s="327">
        <f>ROUND(SUM(N29+N34),1)</f>
        <v>-14</v>
      </c>
      <c r="O39" s="313"/>
      <c r="P39" s="327">
        <f>ROUND(SUM(P29+P34),1)</f>
        <v>-27</v>
      </c>
      <c r="Q39" s="1387"/>
      <c r="R39" s="1862"/>
      <c r="S39" s="2613">
        <f>ROUND(SUM(L39-P39),1)</f>
        <v>1.4</v>
      </c>
      <c r="T39" s="1859"/>
      <c r="U39" s="3201">
        <f>ROUND(IF(P39=0,1,S39/ABS(P39)),3)</f>
        <v>5.1999999999999998E-2</v>
      </c>
      <c r="V39" s="1578"/>
    </row>
    <row r="40" spans="1:245" ht="15.6">
      <c r="A40" s="303"/>
      <c r="B40" s="1672"/>
      <c r="C40" s="1672"/>
      <c r="D40" s="1672"/>
      <c r="E40" s="1672"/>
      <c r="F40" s="1672"/>
      <c r="G40" s="1672"/>
      <c r="H40" s="1878"/>
      <c r="I40" s="1876"/>
      <c r="J40" s="1877"/>
      <c r="K40" s="1672"/>
      <c r="L40" s="1878"/>
      <c r="M40" s="1876"/>
      <c r="N40" s="1876"/>
      <c r="O40" s="1672"/>
      <c r="P40" s="1876"/>
      <c r="R40" s="1862"/>
      <c r="S40" s="1715"/>
      <c r="T40" s="2512"/>
      <c r="U40" s="1715"/>
      <c r="V40" s="1578"/>
    </row>
    <row r="41" spans="1:245" s="1387" customFormat="1" ht="15.6">
      <c r="A41" s="303" t="s">
        <v>53</v>
      </c>
      <c r="B41" s="330">
        <f>+'EXHIBIT L'!T13</f>
        <v>-10</v>
      </c>
      <c r="C41" s="310"/>
      <c r="D41" s="330">
        <f>+'EXHIBIT L'!AA13</f>
        <v>-1.9</v>
      </c>
      <c r="E41" s="310"/>
      <c r="F41" s="330">
        <f>+'EXHIBIT M'!T13</f>
        <v>11.5</v>
      </c>
      <c r="G41" s="310"/>
      <c r="H41" s="331">
        <f>+'EXHIBIT M'!AA13</f>
        <v>10.7</v>
      </c>
      <c r="I41" s="313"/>
      <c r="J41" s="332">
        <f>ROUND(SUM(B41)+SUM(F41),1)</f>
        <v>1.5</v>
      </c>
      <c r="K41" s="310"/>
      <c r="L41" s="328">
        <f>ROUND(SUM(D41+H41),1)</f>
        <v>8.8000000000000007</v>
      </c>
      <c r="M41" s="313"/>
      <c r="N41" s="319">
        <v>-1.3</v>
      </c>
      <c r="O41" s="310"/>
      <c r="P41" s="319">
        <v>11.7</v>
      </c>
      <c r="R41" s="1841"/>
      <c r="S41" s="287">
        <f>ROUND(SUM(+L41-P41),1)</f>
        <v>-2.9</v>
      </c>
      <c r="T41" s="289"/>
      <c r="U41" s="2502">
        <f>ROUND(IF(S41=0,0,S41/ABS(P41)),3)</f>
        <v>-0.248</v>
      </c>
      <c r="V41" s="1899"/>
    </row>
    <row r="42" spans="1:245" ht="16.2" thickBot="1">
      <c r="A42" s="303" t="s">
        <v>79</v>
      </c>
      <c r="B42" s="333">
        <f>ROUND(SUM(B41)+SUM(B39),1)</f>
        <v>-28.4</v>
      </c>
      <c r="C42" s="334"/>
      <c r="D42" s="333">
        <f>ROUND(SUM(D41)+SUM(D39),1)</f>
        <v>-28.4</v>
      </c>
      <c r="E42" s="334"/>
      <c r="F42" s="335">
        <f>ROUND(SUM(F41)+SUM(F39),1)</f>
        <v>11.6</v>
      </c>
      <c r="G42" s="336"/>
      <c r="H42" s="1488">
        <f>ROUND(SUM(H41)+SUM(H39),1)</f>
        <v>11.6</v>
      </c>
      <c r="I42" s="1489"/>
      <c r="J42" s="1488">
        <f>ROUND(SUM(J41)+SUM(J39),1)</f>
        <v>-16.8</v>
      </c>
      <c r="K42" s="338"/>
      <c r="L42" s="337">
        <f>ROUND(SUM(L41)+SUM(L39),1)</f>
        <v>-16.8</v>
      </c>
      <c r="M42" s="338"/>
      <c r="N42" s="1488">
        <f>ROUND(SUM(N41)+SUM(N39),1)</f>
        <v>-15.3</v>
      </c>
      <c r="O42" s="338"/>
      <c r="P42" s="1488">
        <f>ROUND(SUM(P41)+SUM(P39),1)</f>
        <v>-15.3</v>
      </c>
      <c r="Q42" s="488"/>
      <c r="R42" s="1870"/>
      <c r="S42" s="2472">
        <f>ROUND(SUM(S39+S41),3)</f>
        <v>-1.5</v>
      </c>
      <c r="T42" s="2197"/>
      <c r="U42" s="2580">
        <f>-ROUND(S42/P42,3)</f>
        <v>-9.8000000000000004E-2</v>
      </c>
      <c r="V42" s="1578"/>
    </row>
    <row r="43" spans="1:245" ht="15.6" thickTop="1">
      <c r="A43" s="1845"/>
      <c r="B43" s="1900"/>
      <c r="C43" s="1869"/>
      <c r="D43" s="1900"/>
      <c r="E43" s="1869"/>
      <c r="F43" s="1900"/>
      <c r="G43" s="1869"/>
      <c r="H43" s="1900"/>
      <c r="I43" s="1871"/>
      <c r="J43" s="1900"/>
      <c r="K43" s="1869"/>
      <c r="L43" s="1900"/>
      <c r="M43" s="1869"/>
      <c r="N43" s="1900"/>
      <c r="O43" s="1869"/>
      <c r="P43" s="1900"/>
      <c r="Q43" s="1869"/>
      <c r="R43" s="1901"/>
      <c r="S43" s="1872"/>
      <c r="T43" s="1901"/>
      <c r="U43" s="1872" t="s">
        <v>188</v>
      </c>
      <c r="V43" s="1872"/>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c r="BG43" s="1873"/>
      <c r="BH43" s="1873"/>
      <c r="BI43" s="1873"/>
      <c r="BJ43" s="1873"/>
      <c r="BK43" s="1873"/>
      <c r="BL43" s="1873"/>
      <c r="BM43" s="1873"/>
      <c r="BN43" s="1873"/>
      <c r="BO43" s="1873"/>
      <c r="BP43" s="1873"/>
      <c r="BQ43" s="1873"/>
      <c r="BR43" s="1873"/>
      <c r="BS43" s="1873"/>
      <c r="BT43" s="1873"/>
      <c r="BU43" s="1873"/>
      <c r="BV43" s="1873"/>
      <c r="BW43" s="1873"/>
      <c r="BX43" s="1873"/>
      <c r="BY43" s="1873"/>
      <c r="BZ43" s="1873"/>
      <c r="CA43" s="1873"/>
      <c r="CB43" s="1873"/>
      <c r="CC43" s="1873"/>
      <c r="CD43" s="1873"/>
      <c r="CE43" s="1873"/>
      <c r="CF43" s="1873"/>
      <c r="CG43" s="1873"/>
      <c r="CH43" s="1873"/>
      <c r="CI43" s="1873"/>
      <c r="CJ43" s="1873"/>
      <c r="CK43" s="1873"/>
      <c r="CL43" s="1873"/>
      <c r="CM43" s="1873"/>
      <c r="CN43" s="1873"/>
      <c r="CO43" s="1873"/>
      <c r="CP43" s="1873"/>
      <c r="CQ43" s="1873"/>
      <c r="CR43" s="1873"/>
      <c r="CS43" s="1873"/>
      <c r="CT43" s="1873"/>
      <c r="CU43" s="1873"/>
      <c r="CV43" s="1873"/>
      <c r="CW43" s="1873"/>
      <c r="CX43" s="1873"/>
      <c r="CY43" s="1873"/>
      <c r="CZ43" s="1873"/>
      <c r="DA43" s="1873"/>
      <c r="DB43" s="1873"/>
      <c r="DC43" s="1873"/>
      <c r="DD43" s="1873"/>
      <c r="DE43" s="1873"/>
      <c r="DF43" s="1873"/>
      <c r="DG43" s="1873"/>
      <c r="DH43" s="1873"/>
      <c r="DI43" s="1873"/>
      <c r="DJ43" s="1873"/>
      <c r="DK43" s="1873"/>
      <c r="DL43" s="1873"/>
      <c r="DM43" s="1873"/>
      <c r="DN43" s="1873"/>
      <c r="DO43" s="1873"/>
      <c r="DP43" s="1873"/>
      <c r="DQ43" s="1873"/>
      <c r="DR43" s="1873"/>
      <c r="DS43" s="1873"/>
      <c r="DT43" s="1873"/>
      <c r="DU43" s="1873"/>
      <c r="DV43" s="1873"/>
      <c r="DW43" s="1873"/>
      <c r="DX43" s="1873"/>
      <c r="DY43" s="1873"/>
      <c r="DZ43" s="1873"/>
      <c r="EA43" s="1873"/>
      <c r="EB43" s="1873"/>
      <c r="EC43" s="1873"/>
      <c r="ED43" s="1873"/>
      <c r="EE43" s="1873"/>
      <c r="EF43" s="1873"/>
      <c r="EG43" s="1873"/>
      <c r="EH43" s="1873"/>
      <c r="EI43" s="1873"/>
      <c r="EJ43" s="1873"/>
      <c r="EK43" s="1873"/>
      <c r="EL43" s="1873"/>
      <c r="EM43" s="1873"/>
      <c r="EN43" s="1873"/>
      <c r="EO43" s="1873"/>
      <c r="EP43" s="1873"/>
      <c r="EQ43" s="1873"/>
      <c r="ER43" s="1873"/>
      <c r="ES43" s="1873"/>
      <c r="ET43" s="1873"/>
      <c r="EU43" s="1873"/>
      <c r="EV43" s="1873"/>
      <c r="EW43" s="1873"/>
      <c r="EX43" s="1873"/>
      <c r="EY43" s="1873"/>
      <c r="EZ43" s="1873"/>
      <c r="FA43" s="1873"/>
      <c r="FB43" s="1873"/>
      <c r="FC43" s="1873"/>
      <c r="FD43" s="1873"/>
      <c r="FE43" s="1873"/>
      <c r="FF43" s="1873"/>
      <c r="FG43" s="1873"/>
      <c r="FH43" s="1873"/>
      <c r="FI43" s="1873"/>
      <c r="FJ43" s="1873"/>
      <c r="FK43" s="1873"/>
      <c r="FL43" s="1873"/>
      <c r="FM43" s="1873"/>
      <c r="FN43" s="1873"/>
      <c r="FO43" s="1873"/>
      <c r="FP43" s="1873"/>
      <c r="FQ43" s="1873"/>
      <c r="FR43" s="1873"/>
      <c r="FS43" s="1873"/>
      <c r="FT43" s="1873"/>
      <c r="FU43" s="1873"/>
      <c r="FV43" s="1873"/>
      <c r="FW43" s="1873"/>
      <c r="FX43" s="1873"/>
      <c r="FY43" s="1873"/>
      <c r="FZ43" s="1873"/>
      <c r="GA43" s="1873"/>
      <c r="GB43" s="1873"/>
      <c r="GC43" s="1873"/>
      <c r="GD43" s="1873"/>
      <c r="GE43" s="1873"/>
      <c r="GF43" s="1873"/>
      <c r="GG43" s="1873"/>
      <c r="GH43" s="1873"/>
      <c r="GI43" s="1873"/>
      <c r="GJ43" s="1873"/>
      <c r="GK43" s="1873"/>
      <c r="GL43" s="1873"/>
      <c r="GM43" s="1873"/>
      <c r="GN43" s="1873"/>
      <c r="GO43" s="1873"/>
      <c r="GP43" s="1873"/>
      <c r="GQ43" s="1873"/>
      <c r="GR43" s="1873"/>
      <c r="GS43" s="1873"/>
      <c r="GT43" s="1873"/>
      <c r="GU43" s="1873"/>
      <c r="GV43" s="1873"/>
      <c r="GW43" s="1873"/>
      <c r="GX43" s="1873"/>
      <c r="GY43" s="1873"/>
      <c r="GZ43" s="1873"/>
      <c r="HA43" s="1873"/>
      <c r="HB43" s="1873"/>
      <c r="HC43" s="1873"/>
      <c r="HD43" s="1873"/>
      <c r="HE43" s="1873"/>
      <c r="HF43" s="1873"/>
      <c r="HG43" s="1873"/>
      <c r="HH43" s="1873"/>
      <c r="HI43" s="1873"/>
      <c r="HJ43" s="1873"/>
      <c r="HK43" s="1873"/>
      <c r="HL43" s="1873"/>
      <c r="HM43" s="1873"/>
      <c r="HN43" s="1873"/>
      <c r="HO43" s="1873"/>
      <c r="HP43" s="1873"/>
      <c r="HQ43" s="1873"/>
      <c r="HR43" s="1873"/>
      <c r="HS43" s="1873"/>
      <c r="HT43" s="1873"/>
      <c r="HU43" s="1873"/>
      <c r="HV43" s="1873"/>
      <c r="HW43" s="1873"/>
      <c r="HX43" s="1873"/>
      <c r="HY43" s="1873"/>
      <c r="HZ43" s="1873"/>
      <c r="IA43" s="1873"/>
      <c r="IB43" s="1873"/>
      <c r="IC43" s="1873"/>
      <c r="ID43" s="1873"/>
      <c r="IE43" s="1873"/>
      <c r="IF43" s="1873"/>
      <c r="IG43" s="1873"/>
      <c r="IH43" s="1873"/>
      <c r="II43" s="1873"/>
      <c r="IJ43" s="1873"/>
      <c r="IK43" s="1873"/>
    </row>
    <row r="44" spans="1:245">
      <c r="A44" s="1845"/>
      <c r="B44" s="1845"/>
      <c r="C44" s="1845"/>
      <c r="D44" s="1845"/>
      <c r="E44" s="1845"/>
      <c r="F44" s="1843"/>
      <c r="G44" s="1845"/>
      <c r="H44" s="1845"/>
      <c r="I44" s="1845"/>
      <c r="J44" s="1845"/>
      <c r="K44" s="1845"/>
      <c r="L44" s="1845"/>
      <c r="M44" s="1845"/>
      <c r="N44" s="1845"/>
      <c r="O44" s="1845"/>
      <c r="P44" s="1845"/>
      <c r="Q44" s="1845"/>
      <c r="R44" s="1846"/>
      <c r="S44" s="2435"/>
      <c r="T44" s="1846"/>
      <c r="U44" s="1578"/>
      <c r="V44" s="1578"/>
    </row>
    <row r="45" spans="1:245">
      <c r="A45" s="1845"/>
      <c r="B45" s="1845"/>
      <c r="C45" s="1845"/>
      <c r="D45" s="1845"/>
      <c r="E45" s="1845"/>
      <c r="F45" s="1843"/>
      <c r="G45" s="1845"/>
      <c r="H45" s="1845"/>
      <c r="I45" s="1845"/>
      <c r="J45" s="1845"/>
      <c r="K45" s="1845"/>
      <c r="L45" s="1845"/>
      <c r="N45" s="1845"/>
      <c r="O45" s="1845"/>
      <c r="P45" s="1845"/>
      <c r="Q45" s="1845"/>
      <c r="R45" s="1846"/>
      <c r="S45" s="1578"/>
      <c r="T45" s="1846"/>
      <c r="U45" s="1578"/>
      <c r="V45" s="1578"/>
    </row>
    <row r="46" spans="1:245">
      <c r="A46" s="1668"/>
      <c r="B46" s="1845"/>
      <c r="C46" s="1845"/>
      <c r="D46" s="1845"/>
      <c r="E46" s="1845"/>
      <c r="F46" s="1845"/>
      <c r="G46" s="1845"/>
      <c r="H46" s="1845"/>
      <c r="I46" s="1845"/>
      <c r="J46" s="1845"/>
      <c r="K46" s="1845"/>
      <c r="L46" s="1845"/>
      <c r="M46" s="1845"/>
      <c r="N46" s="1845"/>
      <c r="O46" s="1845"/>
      <c r="P46" s="1845"/>
      <c r="Q46" s="1845"/>
      <c r="R46" s="1846"/>
      <c r="S46" s="1578"/>
      <c r="T46" s="1846"/>
      <c r="U46" s="1578"/>
      <c r="V46" s="1578"/>
    </row>
    <row r="47" spans="1:245">
      <c r="A47" s="1845"/>
      <c r="B47" s="1845"/>
      <c r="C47" s="1845"/>
      <c r="D47" s="1845"/>
      <c r="E47" s="1845"/>
      <c r="F47" s="1845"/>
      <c r="G47" s="1845"/>
      <c r="H47" s="1845"/>
      <c r="I47" s="1845"/>
      <c r="J47" s="1845"/>
      <c r="K47" s="1845"/>
      <c r="L47" s="1845"/>
      <c r="M47" s="1845"/>
      <c r="N47" s="1845"/>
      <c r="O47" s="1845"/>
      <c r="P47" s="1845"/>
      <c r="Q47" s="1845"/>
      <c r="R47" s="1846"/>
      <c r="S47" s="1578"/>
      <c r="T47" s="1846"/>
      <c r="U47" s="1578"/>
      <c r="V47" s="1578"/>
    </row>
    <row r="48" spans="1:245">
      <c r="A48" s="1845"/>
      <c r="B48" s="1845"/>
      <c r="C48" s="1845"/>
      <c r="D48" s="1845"/>
      <c r="E48" s="1845"/>
      <c r="F48" s="1845"/>
      <c r="G48" s="1845"/>
      <c r="H48" s="1845"/>
      <c r="I48" s="1845"/>
      <c r="J48" s="1845"/>
      <c r="K48" s="1845"/>
      <c r="L48" s="1845"/>
      <c r="M48" s="1845"/>
      <c r="N48" s="1845"/>
      <c r="O48" s="1845"/>
      <c r="P48" s="1845"/>
      <c r="Q48" s="1845"/>
      <c r="R48" s="1846"/>
      <c r="S48" s="1578"/>
      <c r="T48" s="1846"/>
      <c r="U48" s="1578"/>
      <c r="V48" s="1578"/>
    </row>
    <row r="49" spans="1:22">
      <c r="A49" s="1845"/>
      <c r="B49" s="1845"/>
      <c r="C49" s="1845"/>
      <c r="D49" s="1845"/>
      <c r="E49" s="1845"/>
      <c r="F49" s="1845"/>
      <c r="G49" s="1845"/>
      <c r="H49" s="1845"/>
      <c r="I49" s="1845"/>
      <c r="J49" s="1845"/>
      <c r="K49" s="1845"/>
      <c r="L49" s="1845"/>
      <c r="M49" s="1845"/>
      <c r="N49" s="1845"/>
      <c r="O49" s="1845"/>
      <c r="P49" s="1845"/>
      <c r="Q49" s="1845"/>
      <c r="R49" s="1846"/>
      <c r="S49" s="1578"/>
      <c r="T49" s="1846"/>
      <c r="U49" s="1578"/>
      <c r="V49" s="1578"/>
    </row>
    <row r="50" spans="1:22">
      <c r="A50" s="1845"/>
      <c r="B50" s="1845"/>
      <c r="C50" s="1845"/>
      <c r="D50" s="1845"/>
      <c r="E50" s="1845"/>
      <c r="F50" s="1845"/>
      <c r="G50" s="1845"/>
      <c r="H50" s="1845"/>
      <c r="I50" s="1845"/>
      <c r="J50" s="1845"/>
      <c r="K50" s="1845"/>
      <c r="L50" s="1845"/>
      <c r="M50" s="1845"/>
      <c r="N50" s="1845"/>
      <c r="O50" s="1845"/>
      <c r="P50" s="1845"/>
      <c r="Q50" s="1845"/>
      <c r="R50" s="1846"/>
      <c r="S50" s="1578"/>
      <c r="T50" s="1846"/>
      <c r="U50" s="1578"/>
      <c r="V50" s="1578"/>
    </row>
    <row r="51" spans="1:22">
      <c r="A51" s="1845"/>
      <c r="B51" s="1845"/>
      <c r="C51" s="1845"/>
      <c r="D51" s="1845"/>
      <c r="E51" s="1845"/>
      <c r="F51" s="1845"/>
      <c r="G51" s="1845"/>
      <c r="H51" s="1845"/>
      <c r="I51" s="1845"/>
      <c r="J51" s="1845"/>
      <c r="K51" s="1845"/>
      <c r="L51" s="1845"/>
      <c r="M51" s="1845"/>
      <c r="N51" s="1845"/>
      <c r="O51" s="1845"/>
      <c r="P51" s="1845"/>
      <c r="Q51" s="1845"/>
      <c r="R51" s="1846"/>
      <c r="S51" s="1578"/>
      <c r="T51" s="1846"/>
      <c r="U51" s="1578"/>
      <c r="V51" s="1578"/>
    </row>
    <row r="52" spans="1:22">
      <c r="A52" s="1845"/>
      <c r="B52" s="1845"/>
      <c r="C52" s="1845"/>
      <c r="D52" s="1845"/>
      <c r="E52" s="1845"/>
      <c r="F52" s="1845"/>
      <c r="G52" s="1845"/>
      <c r="H52" s="1845"/>
      <c r="I52" s="1845"/>
      <c r="J52" s="1845"/>
      <c r="K52" s="1845"/>
      <c r="L52" s="1845"/>
      <c r="M52" s="1845"/>
      <c r="N52" s="1845"/>
      <c r="O52" s="1845"/>
      <c r="P52" s="1845"/>
      <c r="Q52" s="1845"/>
      <c r="R52" s="1846"/>
      <c r="S52" s="1578"/>
      <c r="T52" s="1846"/>
      <c r="U52" s="1578"/>
      <c r="V52" s="1578"/>
    </row>
    <row r="53" spans="1:22">
      <c r="A53" s="1845"/>
      <c r="B53" s="1845"/>
      <c r="C53" s="1845"/>
      <c r="D53" s="1845"/>
      <c r="E53" s="1845"/>
      <c r="F53" s="1845"/>
      <c r="G53" s="1845"/>
      <c r="H53" s="1845"/>
      <c r="I53" s="1845"/>
      <c r="J53" s="1845"/>
      <c r="K53" s="1845"/>
      <c r="L53" s="1845"/>
      <c r="M53" s="1845"/>
      <c r="N53" s="1845"/>
      <c r="O53" s="1845"/>
      <c r="P53" s="1845"/>
      <c r="Q53" s="1845"/>
      <c r="R53" s="1846"/>
      <c r="S53" s="1578"/>
      <c r="T53" s="1846"/>
      <c r="U53" s="1578"/>
      <c r="V53" s="1578"/>
    </row>
    <row r="54" spans="1:22">
      <c r="A54" s="1845"/>
      <c r="B54" s="1845"/>
      <c r="C54" s="1845"/>
      <c r="D54" s="1845"/>
      <c r="E54" s="1845"/>
      <c r="F54" s="1845"/>
      <c r="G54" s="1845"/>
      <c r="H54" s="1845"/>
      <c r="I54" s="1845"/>
      <c r="J54" s="1845"/>
      <c r="K54" s="1845"/>
      <c r="L54" s="1845"/>
      <c r="M54" s="1845"/>
      <c r="N54" s="1845"/>
      <c r="O54" s="1845"/>
      <c r="P54" s="1845"/>
      <c r="Q54" s="1845"/>
      <c r="R54" s="1846"/>
      <c r="S54" s="1578"/>
      <c r="T54" s="1846"/>
      <c r="U54" s="1578"/>
      <c r="V54" s="1578"/>
    </row>
    <row r="55" spans="1:22">
      <c r="A55" s="1845"/>
      <c r="B55" s="1845"/>
      <c r="C55" s="1845"/>
      <c r="D55" s="1845"/>
      <c r="E55" s="1845"/>
      <c r="F55" s="1845"/>
      <c r="G55" s="1845"/>
      <c r="H55" s="1845"/>
      <c r="I55" s="1845"/>
      <c r="J55" s="1845"/>
      <c r="K55" s="1845"/>
      <c r="L55" s="1845"/>
      <c r="M55" s="1845"/>
      <c r="N55" s="1845"/>
      <c r="O55" s="1845"/>
      <c r="P55" s="1845"/>
      <c r="Q55" s="1845"/>
      <c r="R55" s="1846"/>
      <c r="S55" s="1578"/>
      <c r="T55" s="1846"/>
      <c r="U55" s="1578"/>
      <c r="V55" s="1578"/>
    </row>
    <row r="56" spans="1:22">
      <c r="A56" s="1845"/>
      <c r="B56" s="1845"/>
      <c r="C56" s="1845"/>
      <c r="D56" s="1845"/>
      <c r="E56" s="1845"/>
      <c r="F56" s="1845"/>
      <c r="G56" s="1845"/>
      <c r="H56" s="1845"/>
      <c r="I56" s="1845"/>
      <c r="J56" s="1845"/>
      <c r="K56" s="1845"/>
      <c r="L56" s="1845"/>
      <c r="M56" s="1845"/>
      <c r="N56" s="1845"/>
      <c r="O56" s="1845"/>
      <c r="P56" s="1845"/>
      <c r="Q56" s="1845"/>
      <c r="R56" s="1847"/>
      <c r="S56" s="1845"/>
    </row>
    <row r="57" spans="1:22">
      <c r="A57" s="1845"/>
      <c r="B57" s="1845"/>
      <c r="C57" s="1845"/>
      <c r="D57" s="1845"/>
      <c r="E57" s="1845"/>
      <c r="F57" s="1845"/>
      <c r="G57" s="1845"/>
      <c r="H57" s="1845"/>
      <c r="I57" s="1845"/>
      <c r="J57" s="1845"/>
      <c r="K57" s="1845"/>
      <c r="L57" s="1845"/>
      <c r="M57" s="1845"/>
      <c r="N57" s="1845"/>
      <c r="O57" s="1845"/>
      <c r="P57" s="1845"/>
      <c r="Q57" s="1845"/>
      <c r="R57" s="1847"/>
      <c r="S57" s="1845"/>
    </row>
    <row r="58" spans="1:22">
      <c r="A58" s="1845"/>
      <c r="B58" s="1845"/>
      <c r="C58" s="1845"/>
      <c r="D58" s="1845"/>
      <c r="E58" s="1845"/>
      <c r="F58" s="1845"/>
      <c r="G58" s="1845"/>
      <c r="H58" s="1845"/>
      <c r="I58" s="1845"/>
      <c r="J58" s="1845"/>
      <c r="K58" s="1845"/>
      <c r="L58" s="1845"/>
      <c r="M58" s="1845"/>
      <c r="N58" s="1845"/>
      <c r="O58" s="1845"/>
      <c r="P58" s="1845"/>
      <c r="Q58" s="1845"/>
      <c r="R58" s="1847"/>
      <c r="S58" s="1845"/>
    </row>
    <row r="59" spans="1:22">
      <c r="A59" s="1845"/>
      <c r="B59" s="1845"/>
      <c r="C59" s="1845"/>
      <c r="D59" s="1845"/>
      <c r="E59" s="1845"/>
      <c r="F59" s="1845"/>
      <c r="G59" s="1845"/>
      <c r="H59" s="1845"/>
      <c r="I59" s="1845"/>
      <c r="J59" s="1845"/>
      <c r="K59" s="1845"/>
      <c r="L59" s="1845"/>
      <c r="M59" s="1845"/>
      <c r="N59" s="1845"/>
      <c r="O59" s="1845"/>
      <c r="P59" s="1845"/>
      <c r="Q59" s="1845"/>
      <c r="R59" s="1847"/>
      <c r="S59" s="1845"/>
    </row>
    <row r="60" spans="1:22">
      <c r="A60" s="1845"/>
      <c r="B60" s="1845"/>
      <c r="C60" s="1845"/>
      <c r="D60" s="1845"/>
      <c r="E60" s="1845"/>
      <c r="F60" s="1845"/>
      <c r="G60" s="1845"/>
      <c r="H60" s="1845"/>
      <c r="I60" s="1845"/>
      <c r="J60" s="1845"/>
      <c r="K60" s="1845"/>
      <c r="L60" s="1845"/>
      <c r="M60" s="1845"/>
      <c r="N60" s="1845"/>
      <c r="O60" s="1845"/>
      <c r="P60" s="1845"/>
      <c r="Q60" s="1845"/>
      <c r="R60" s="1847"/>
      <c r="S60" s="1845"/>
    </row>
    <row r="61" spans="1:22">
      <c r="A61" s="1845"/>
      <c r="B61" s="1845"/>
      <c r="C61" s="1845"/>
      <c r="D61" s="1845"/>
      <c r="E61" s="1845"/>
      <c r="F61" s="1845"/>
      <c r="G61" s="1845"/>
      <c r="H61" s="1845"/>
      <c r="I61" s="1845"/>
      <c r="J61" s="1845"/>
      <c r="K61" s="1845"/>
      <c r="L61" s="1845"/>
      <c r="M61" s="1845"/>
      <c r="N61" s="1845"/>
      <c r="O61" s="1845"/>
      <c r="P61" s="1845"/>
      <c r="Q61" s="1845"/>
      <c r="R61" s="1847"/>
      <c r="S61" s="184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4" t="s">
        <v>1066</v>
      </c>
    </row>
    <row r="2" spans="1:11">
      <c r="A2" s="1579"/>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31" t="s">
        <v>1437</v>
      </c>
      <c r="B5" s="3532"/>
      <c r="C5" s="3532"/>
      <c r="D5" s="3532"/>
      <c r="E5" s="3532"/>
      <c r="F5" s="342"/>
      <c r="G5" s="345"/>
      <c r="H5" s="342"/>
      <c r="I5" s="342"/>
      <c r="J5" s="342"/>
      <c r="K5" s="342"/>
    </row>
    <row r="6" spans="1:11" ht="18.75" customHeight="1">
      <c r="A6" s="1574" t="s">
        <v>1553</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33" t="s">
        <v>1230</v>
      </c>
      <c r="D11" s="3533"/>
      <c r="E11" s="3533"/>
      <c r="F11" s="3533"/>
      <c r="G11" s="3533"/>
      <c r="H11" s="3533"/>
      <c r="I11" s="3533"/>
      <c r="J11" s="2161"/>
      <c r="K11" s="2162"/>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1174</v>
      </c>
      <c r="D14" s="352"/>
      <c r="E14" s="353" t="s">
        <v>1175</v>
      </c>
      <c r="F14" s="352"/>
      <c r="G14" s="352"/>
      <c r="H14" s="352"/>
      <c r="I14" s="353" t="s">
        <v>87</v>
      </c>
      <c r="J14" s="353"/>
      <c r="K14" s="353" t="s">
        <v>87</v>
      </c>
    </row>
    <row r="15" spans="1:11" ht="15.6">
      <c r="A15" s="223"/>
      <c r="B15" s="351"/>
      <c r="C15" s="353" t="s">
        <v>1216</v>
      </c>
      <c r="D15" s="352"/>
      <c r="E15" s="353" t="s">
        <v>1216</v>
      </c>
      <c r="F15" s="352"/>
      <c r="G15" s="352"/>
      <c r="H15" s="352"/>
      <c r="I15" s="353" t="s">
        <v>1174</v>
      </c>
      <c r="J15" s="353"/>
      <c r="K15" s="353" t="s">
        <v>1175</v>
      </c>
    </row>
    <row r="16" spans="1:11" ht="15.6">
      <c r="A16" s="223"/>
      <c r="B16" s="351"/>
      <c r="C16" s="353" t="s">
        <v>1217</v>
      </c>
      <c r="D16" s="352"/>
      <c r="E16" s="353" t="s">
        <v>1493</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66"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42606</v>
      </c>
      <c r="D20" s="363"/>
      <c r="E20" s="242">
        <f>+'Exh D General Fund  '!E20+'Exh D Special Revenue'!E20+'Exh D Debt Service'!E20</f>
        <v>44921</v>
      </c>
      <c r="F20" s="363"/>
      <c r="G20" s="242">
        <f>+'Exh D General Fund  '!G20+'Exh D Special Revenue'!G20+'Exh D Debt Service'!G20</f>
        <v>45261.3</v>
      </c>
      <c r="H20" s="363"/>
      <c r="I20" s="242">
        <f>ROUND(SUM(G20)-SUM(C20),1)</f>
        <v>2655.3</v>
      </c>
      <c r="J20" s="364"/>
      <c r="K20" s="242">
        <f>ROUND(SUM(G20)-SUM(E20),1)</f>
        <v>340.3</v>
      </c>
    </row>
    <row r="21" spans="1:11">
      <c r="A21" s="1566" t="s">
        <v>91</v>
      </c>
      <c r="B21" s="358" t="s">
        <v>15</v>
      </c>
      <c r="C21" s="260">
        <f>+'Exh D General Fund  '!C21+'Exh D Debt Service'!C21+'Exh D Special Revenue'!C21+'Exh D Capital Projects'!C20</f>
        <v>14237</v>
      </c>
      <c r="D21" s="260"/>
      <c r="E21" s="260">
        <f>+'Exh D General Fund  '!E21+'Exh D Special Revenue'!E21+'Exh D Debt Service'!E21+'Exh D Capital Projects'!E20</f>
        <v>14094</v>
      </c>
      <c r="F21" s="260"/>
      <c r="G21" s="260">
        <f>+'Exh D General Fund  '!G21+'Exh D Special Revenue'!G21+'Exh D Debt Service'!G21+'Exh D Capital Projects'!G20</f>
        <v>14101.800000000001</v>
      </c>
      <c r="H21" s="260"/>
      <c r="I21" s="260">
        <f t="shared" ref="I21:I25" si="0">ROUND(SUM(G21)-SUM(C21),1)</f>
        <v>-135.19999999999999</v>
      </c>
      <c r="J21" s="364"/>
      <c r="K21" s="260">
        <f>ROUND(SUM(G21)-SUM(E21),1)</f>
        <v>7.8</v>
      </c>
    </row>
    <row r="22" spans="1:11" ht="17.25" customHeight="1">
      <c r="A22" s="1566" t="s">
        <v>92</v>
      </c>
      <c r="B22" s="360" t="s">
        <v>15</v>
      </c>
      <c r="C22" s="260">
        <f>+'Exh D General Fund  '!C22+'Exh D Special Revenue'!C22+'Exh D Capital Projects'!C21</f>
        <v>5426</v>
      </c>
      <c r="D22" s="273"/>
      <c r="E22" s="260">
        <f>+'Exh D General Fund  '!E22+'Exh D Special Revenue'!E22+'Exh D Capital Projects'!E21</f>
        <v>5171</v>
      </c>
      <c r="F22" s="273"/>
      <c r="G22" s="260">
        <f>+'Exh D General Fund  '!G22+'Exh D Special Revenue'!G22+'Exh D Capital Projects'!G21</f>
        <v>5345.2</v>
      </c>
      <c r="H22" s="273"/>
      <c r="I22" s="260">
        <f t="shared" si="0"/>
        <v>-80.8</v>
      </c>
      <c r="J22" s="364"/>
      <c r="K22" s="260">
        <f t="shared" ref="K22:K25" si="1">ROUND(SUM(G22)-SUM(E22),1)</f>
        <v>174.2</v>
      </c>
    </row>
    <row r="23" spans="1:11" ht="14.25" customHeight="1">
      <c r="A23" s="1566" t="s">
        <v>93</v>
      </c>
      <c r="B23" s="358" t="s">
        <v>15</v>
      </c>
      <c r="C23" s="260">
        <f>+'Exh D General Fund  '!C23+'Exh D Special Revenue'!C23+'Exh D Capital Projects'!C22+'Exh D Debt Service'!C22</f>
        <v>3091</v>
      </c>
      <c r="D23" s="260"/>
      <c r="E23" s="260">
        <f>+'Exh D General Fund  '!E23+'Exh D Special Revenue'!E23+'Exh D Debt Service'!E22+'Exh D Capital Projects'!E22</f>
        <v>3289</v>
      </c>
      <c r="F23" s="260"/>
      <c r="G23" s="260">
        <f>+'Exh D General Fund  '!G23+'Exh D Special Revenue'!G23+'Exh D Debt Service'!G22+'Exh D Capital Projects'!G22</f>
        <v>3278.3</v>
      </c>
      <c r="H23" s="260"/>
      <c r="I23" s="260">
        <f t="shared" si="0"/>
        <v>187.3</v>
      </c>
      <c r="J23" s="364"/>
      <c r="K23" s="260">
        <f t="shared" si="1"/>
        <v>-10.7</v>
      </c>
    </row>
    <row r="24" spans="1:11">
      <c r="A24" s="1566" t="s">
        <v>20</v>
      </c>
      <c r="B24" s="358" t="s">
        <v>15</v>
      </c>
      <c r="C24" s="260">
        <f>+'Exh D General Fund  '!C24+'Exh D Special Revenue'!C24+'Exh D Debt Service'!C23+'Exh D Capital Projects'!C23</f>
        <v>21173</v>
      </c>
      <c r="D24" s="260"/>
      <c r="E24" s="260">
        <f>+'Exh D General Fund  '!E24+'Exh D Special Revenue'!E24+'Exh D Debt Service'!E23+'Exh D Capital Projects'!E23</f>
        <v>22508</v>
      </c>
      <c r="F24" s="260"/>
      <c r="G24" s="260">
        <f>+'Exh D General Fund  '!G24+'Exh D Special Revenue'!G24+'Exh D Debt Service'!G23+'Exh D Capital Projects'!G23</f>
        <v>22589.200000000001</v>
      </c>
      <c r="H24" s="260"/>
      <c r="I24" s="260">
        <f t="shared" si="0"/>
        <v>1416.2</v>
      </c>
      <c r="J24" s="365"/>
      <c r="K24" s="260">
        <f t="shared" si="1"/>
        <v>81.2</v>
      </c>
    </row>
    <row r="25" spans="1:11" ht="15" customHeight="1">
      <c r="A25" s="1566" t="s">
        <v>21</v>
      </c>
      <c r="B25" s="358" t="s">
        <v>15</v>
      </c>
      <c r="C25" s="512">
        <f>+'Exh D General Fund  '!C25+'Exh D Debt Service'!C24+'Exh D Special Revenue'!C25+'Exh D Capital Projects'!C24</f>
        <v>46296</v>
      </c>
      <c r="D25" s="260"/>
      <c r="E25" s="512">
        <f>+'Exh D General Fund  '!E25+'Exh D Special Revenue'!E25+'Exh D Debt Service'!E24+'Exh D Capital Projects'!E24</f>
        <v>47533</v>
      </c>
      <c r="F25" s="260"/>
      <c r="G25" s="512">
        <f>+'Exh D General Fund  '!G25+'Exh D Special Revenue'!G25+'Exh D Debt Service'!G24+'Exh D Capital Projects'!G24</f>
        <v>46413</v>
      </c>
      <c r="H25" s="260"/>
      <c r="I25" s="260">
        <f t="shared" si="0"/>
        <v>117</v>
      </c>
      <c r="J25" s="365"/>
      <c r="K25" s="260">
        <f t="shared" si="1"/>
        <v>-1120</v>
      </c>
    </row>
    <row r="26" spans="1:11" ht="15.6">
      <c r="A26" s="373" t="s">
        <v>94</v>
      </c>
      <c r="B26" s="351" t="s">
        <v>15</v>
      </c>
      <c r="C26" s="417">
        <f>ROUND(SUM(C20:C25),1)</f>
        <v>132829</v>
      </c>
      <c r="D26" s="1719"/>
      <c r="E26" s="417">
        <f>ROUND(SUM(E20:E25),1)</f>
        <v>137516</v>
      </c>
      <c r="F26" s="256"/>
      <c r="G26" s="417">
        <f>ROUND(SUM(G20:G25),1)</f>
        <v>136988.79999999999</v>
      </c>
      <c r="H26" s="256"/>
      <c r="I26" s="417">
        <f>ROUND(SUM(I20:I25),1)</f>
        <v>4159.8</v>
      </c>
      <c r="J26" s="366"/>
      <c r="K26" s="417">
        <f>ROUND(SUM(K20:K25),1)</f>
        <v>-527.20000000000005</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66" t="s">
        <v>95</v>
      </c>
      <c r="B29" s="358" t="s">
        <v>15</v>
      </c>
      <c r="C29" s="512">
        <f>+'Exh D General Fund  '!C34+'Exh D Special Revenue'!C30+'Exh D Capital Projects'!C30</f>
        <v>97133</v>
      </c>
      <c r="D29" s="260"/>
      <c r="E29" s="512">
        <f>+'Exh D General Fund  '!E34+'Exh D Special Revenue'!E30+'Exh D Capital Projects'!E30</f>
        <v>96212</v>
      </c>
      <c r="F29" s="260"/>
      <c r="G29" s="512">
        <f>+'Exh D General Fund  '!G34+'Exh D Special Revenue'!G30+'Exh D Capital Projects'!G30</f>
        <v>95404.7</v>
      </c>
      <c r="H29" s="260"/>
      <c r="I29" s="260">
        <f>ROUND(SUM(G29)-SUM(C29),1)</f>
        <v>-1728.3</v>
      </c>
      <c r="J29" s="365"/>
      <c r="K29" s="260">
        <f t="shared" ref="K29:K33" si="2">ROUND(SUM(G29)-SUM(E29),1)</f>
        <v>-807.3</v>
      </c>
    </row>
    <row r="30" spans="1:11">
      <c r="A30" s="1566" t="s">
        <v>96</v>
      </c>
      <c r="B30" s="358" t="s">
        <v>15</v>
      </c>
      <c r="C30" s="273">
        <f>+'Exh D General Fund  '!C35+'Exh D Special Revenue'!C31+'Exh D Debt Service'!C29</f>
        <v>16989</v>
      </c>
      <c r="D30" s="260"/>
      <c r="E30" s="273">
        <f>+'Exh D General Fund  '!E35+'Exh D Special Revenue'!E31+'Exh D Debt Service'!E29</f>
        <v>17289</v>
      </c>
      <c r="F30" s="260"/>
      <c r="G30" s="273">
        <f>+'Exh D General Fund  '!G35+'Exh D Special Revenue'!G31+'Exh D Debt Service'!G29</f>
        <v>17338.7</v>
      </c>
      <c r="H30" s="260"/>
      <c r="I30" s="260">
        <f>ROUND(SUM(G30)-SUM(C30),1)</f>
        <v>349.7</v>
      </c>
      <c r="J30" s="365"/>
      <c r="K30" s="260">
        <f t="shared" si="2"/>
        <v>49.7</v>
      </c>
    </row>
    <row r="31" spans="1:11">
      <c r="A31" s="1566" t="s">
        <v>71</v>
      </c>
      <c r="B31" s="358" t="s">
        <v>15</v>
      </c>
      <c r="C31" s="512">
        <f>+'Exh D General Fund  '!C36+'Exh D Special Revenue'!C32</f>
        <v>7326</v>
      </c>
      <c r="D31" s="260"/>
      <c r="E31" s="1213">
        <f>+'Exh D General Fund  '!E36+'Exh D Special Revenue'!E32</f>
        <v>7437</v>
      </c>
      <c r="F31" s="260"/>
      <c r="G31" s="512">
        <f>+'Exh D General Fund  '!G36+'Exh D Special Revenue'!G32</f>
        <v>7327.5</v>
      </c>
      <c r="H31" s="260"/>
      <c r="I31" s="260">
        <f>ROUND(SUM(G31)-SUM(C31),1)</f>
        <v>1.5</v>
      </c>
      <c r="J31" s="365"/>
      <c r="K31" s="260">
        <f t="shared" si="2"/>
        <v>-109.5</v>
      </c>
    </row>
    <row r="32" spans="1:11">
      <c r="A32" s="1566" t="s">
        <v>97</v>
      </c>
      <c r="B32" s="358" t="s">
        <v>15</v>
      </c>
      <c r="C32" s="273">
        <f>+'Exh D Debt Service'!C30</f>
        <v>2283</v>
      </c>
      <c r="D32" s="260"/>
      <c r="E32" s="273">
        <f>+'Exh D Debt Service'!E30</f>
        <v>2214</v>
      </c>
      <c r="F32" s="260"/>
      <c r="G32" s="273">
        <f>+'Exh D Debt Service'!G30</f>
        <v>2224.1</v>
      </c>
      <c r="H32" s="260"/>
      <c r="I32" s="260">
        <f>ROUND(SUM(G32)-SUM(C32),1)</f>
        <v>-58.9</v>
      </c>
      <c r="J32" s="365"/>
      <c r="K32" s="260">
        <f t="shared" si="2"/>
        <v>10.1</v>
      </c>
    </row>
    <row r="33" spans="1:11" ht="15" customHeight="1">
      <c r="A33" s="1566" t="s">
        <v>42</v>
      </c>
      <c r="B33" s="358" t="s">
        <v>15</v>
      </c>
      <c r="C33" s="512">
        <f>+'Exh D Special Revenue'!C33+'Exh D Capital Projects'!C31</f>
        <v>7078</v>
      </c>
      <c r="D33" s="260"/>
      <c r="E33" s="512">
        <f>+'Exh D Special Revenue'!E33+'Exh D Capital Projects'!E31</f>
        <v>5907</v>
      </c>
      <c r="F33" s="260"/>
      <c r="G33" s="512">
        <f>+'Exh D Special Revenue'!G33+'Exh D Capital Projects'!G31</f>
        <v>5564.3</v>
      </c>
      <c r="H33" s="260"/>
      <c r="I33" s="260">
        <f>ROUND(SUM(G33)-SUM(C33),1)</f>
        <v>-1513.7</v>
      </c>
      <c r="J33" s="365"/>
      <c r="K33" s="260">
        <f t="shared" si="2"/>
        <v>-342.7</v>
      </c>
    </row>
    <row r="34" spans="1:11" ht="15.75" customHeight="1">
      <c r="A34" s="373" t="s">
        <v>98</v>
      </c>
      <c r="B34" s="351" t="s">
        <v>15</v>
      </c>
      <c r="C34" s="540">
        <f>ROUND(SUM(C29:C33),1)</f>
        <v>130809</v>
      </c>
      <c r="D34" s="1719"/>
      <c r="E34" s="540">
        <f>ROUND(SUM(E29:E33),1)</f>
        <v>129059</v>
      </c>
      <c r="F34" s="256"/>
      <c r="G34" s="540">
        <f>ROUND(SUM(G29:G33),1)</f>
        <v>127859.3</v>
      </c>
      <c r="H34" s="256"/>
      <c r="I34" s="540">
        <f>ROUND(SUM(I29:I33),1)</f>
        <v>-2949.7</v>
      </c>
      <c r="J34" s="366"/>
      <c r="K34" s="540">
        <f>ROUND(SUM(K29:K33),1)</f>
        <v>-1199.7</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2020</v>
      </c>
      <c r="D37" s="260"/>
      <c r="E37" s="270">
        <f>ROUND(SUM(+E26-E34),1)</f>
        <v>8457</v>
      </c>
      <c r="F37" s="260"/>
      <c r="G37" s="270">
        <f>ROUND(SUM(+G26-G34),1)</f>
        <v>9129.5</v>
      </c>
      <c r="H37" s="260"/>
      <c r="I37" s="270">
        <f>ROUND(SUM(+I26-I34),1)</f>
        <v>7109.5</v>
      </c>
      <c r="J37" s="252"/>
      <c r="K37" s="1584">
        <f>ROUND(SUM(+K26-K34),1)</f>
        <v>672.5</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66"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66" t="s">
        <v>48</v>
      </c>
      <c r="B41" s="358" t="s">
        <v>15</v>
      </c>
      <c r="C41" s="273">
        <f>+'Exh D General Fund  '!C27+'Exh D General Fund  '!C28+'Exh D General Fund  '!C29+'Exh D General Fund  '!C30+'Exh D Special Revenue'!C26+'Exh D Debt Service'!C25+'Exh D Capital Projects'!C26</f>
        <v>26591</v>
      </c>
      <c r="D41" s="260"/>
      <c r="E41" s="317">
        <f>+'Exh D General Fund  '!E27+'Exh D General Fund  '!E28+'Exh D General Fund  '!E29+'Exh D General Fund  '!E30+'Exh D Special Revenue'!E26+'Exh D Debt Service'!E25+'Exh D Capital Projects'!E26</f>
        <v>26469</v>
      </c>
      <c r="F41" s="260"/>
      <c r="G41" s="273">
        <f>+'Exh D General Fund  '!G27+'Exh D General Fund  '!G28+'Exh D General Fund  '!G29+'Exh D General Fund  '!G30+'Exh D Special Revenue'!K26+'Exh D Debt Service'!G25+'Exh D Capital Projects'!K26</f>
        <v>25593.100000000006</v>
      </c>
      <c r="H41" s="260"/>
      <c r="I41" s="260">
        <f>ROUND(SUM(G41)-SUM(C41),1)</f>
        <v>-997.9</v>
      </c>
      <c r="J41" s="365"/>
      <c r="K41" s="260">
        <f t="shared" ref="K41" si="3">ROUND(SUM(G41)-SUM(E41),1)</f>
        <v>-875.9</v>
      </c>
    </row>
    <row r="42" spans="1:11">
      <c r="A42" s="1566" t="s">
        <v>100</v>
      </c>
      <c r="B42" s="358" t="s">
        <v>15</v>
      </c>
      <c r="C42" s="517">
        <f>-(+'Exh D General Fund  '!C38+'Exh D General Fund  '!C39+'Exh D General Fund  '!C40+'Exh D General Fund  '!C41+'Exh D General Fund  '!C42+'Exh D Special Revenue'!C34+'Exh D Debt Service'!C31+'Exh D Capital Projects'!C32)</f>
        <v>-26651</v>
      </c>
      <c r="D42" s="260"/>
      <c r="E42" s="2556">
        <f>-(+'Exh D General Fund  '!E38+'Exh D General Fund  '!E39+'Exh D General Fund  '!E40+'Exh D General Fund  '!E41+'Exh D General Fund  '!E42+'Exh D Special Revenue'!E34+'Exh D Debt Service'!E31+'Exh D Capital Projects'!E32)</f>
        <v>-26573</v>
      </c>
      <c r="F42" s="260"/>
      <c r="G42" s="517">
        <f>-(+'Exh D General Fund  '!G38+'Exh D General Fund  '!G39+'Exh D General Fund  '!G40+'Exh D General Fund  '!G41+'Exh D General Fund  '!G42+'Exh D Special Revenue'!K34+'Exh D Debt Service'!G31+'Exh D Capital Projects'!K32)</f>
        <v>-25690.7</v>
      </c>
      <c r="H42" s="260"/>
      <c r="I42" s="248">
        <f>-ROUND(SUM(G42)-SUM(C42),1)</f>
        <v>-960.3</v>
      </c>
      <c r="J42" s="252"/>
      <c r="K42" s="260">
        <f>-ROUND(SUM(G42)-SUM(E42),1)</f>
        <v>-882.3</v>
      </c>
    </row>
    <row r="43" spans="1:11" ht="15.6">
      <c r="A43" s="373" t="s">
        <v>101</v>
      </c>
      <c r="B43" s="358" t="s">
        <v>15</v>
      </c>
      <c r="C43" s="519">
        <f>ROUND(+SUM(C40)+C41+C42,1)</f>
        <v>-60</v>
      </c>
      <c r="D43" s="260"/>
      <c r="E43" s="519">
        <f>ROUND(+SUM(E40)+E41+E42,1)</f>
        <v>-104</v>
      </c>
      <c r="F43" s="260"/>
      <c r="G43" s="519">
        <f>ROUND(+SUM(G40)+G41+G42,1)</f>
        <v>-97.6</v>
      </c>
      <c r="H43" s="260"/>
      <c r="I43" s="3342">
        <f>ROUND(SUM(I40+I41-I42),1)</f>
        <v>-37.6</v>
      </c>
      <c r="J43" s="372"/>
      <c r="K43" s="2921">
        <f>ROUND(SUM(K40+K41-K42),1)</f>
        <v>6.4</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1960</v>
      </c>
      <c r="D47" s="282"/>
      <c r="E47" s="272">
        <f>ROUND(SUM(E26)-SUM(E34)+E43,1)</f>
        <v>8353</v>
      </c>
      <c r="F47" s="282"/>
      <c r="G47" s="272">
        <f>ROUND(SUM(G26)-SUM(G34)+G43,1)</f>
        <v>9031.9</v>
      </c>
      <c r="H47" s="282"/>
      <c r="I47" s="272">
        <f>ROUND(SUM(I26)-SUM(I34)+I43,1)</f>
        <v>7071.9</v>
      </c>
      <c r="J47" s="366"/>
      <c r="K47" s="272">
        <f>ROUND(SUM(K26)-SUM(K34)+K43,1)</f>
        <v>678.9</v>
      </c>
    </row>
    <row r="48" spans="1:11">
      <c r="A48" s="226"/>
      <c r="B48" s="376"/>
      <c r="C48" s="657"/>
      <c r="D48" s="1224"/>
      <c r="E48" s="657"/>
      <c r="F48" s="1224"/>
      <c r="G48" s="657"/>
      <c r="H48" s="1224"/>
      <c r="I48" s="657"/>
      <c r="J48" s="378"/>
      <c r="K48" s="657"/>
    </row>
    <row r="49" spans="1:11" ht="15.6">
      <c r="A49" s="373" t="s">
        <v>105</v>
      </c>
      <c r="B49" s="379" t="s">
        <v>15</v>
      </c>
      <c r="C49" s="272">
        <f>'Exh D General Fund  '!C49+'Exh D Special Revenue'!C41+'Exh D Debt Service'!C38+'Exh D Capital Projects'!C39</f>
        <v>11105</v>
      </c>
      <c r="D49" s="1224"/>
      <c r="E49" s="272">
        <f>'Exh D General Fund  '!E49+'Exh D Special Revenue'!E41+'Exh D Debt Service'!E38+'Exh D Capital Projects'!E39</f>
        <v>11105</v>
      </c>
      <c r="F49" s="1224"/>
      <c r="G49" s="272">
        <f>'Exh D General Fund  '!G49+'Exh D Special Revenue'!G41+'Exh D Debt Service'!G38+'Exh D Capital Projects'!G39</f>
        <v>11104.699999999999</v>
      </c>
      <c r="H49" s="1224"/>
      <c r="I49" s="272">
        <f>ROUND(SUM(G49)-SUM(C49),1)</f>
        <v>-0.3</v>
      </c>
      <c r="J49" s="366"/>
      <c r="K49" s="1719">
        <f t="shared" ref="K49" si="4">ROUND(SUM(G49)-SUM(E49),1)</f>
        <v>-0.3</v>
      </c>
    </row>
    <row r="50" spans="1:11" ht="16.2" thickBot="1">
      <c r="A50" s="2926" t="s">
        <v>1554</v>
      </c>
      <c r="B50" s="380" t="s">
        <v>15</v>
      </c>
      <c r="C50" s="296">
        <f>ROUND(SUM(C47:C49),1)</f>
        <v>13065</v>
      </c>
      <c r="D50" s="381"/>
      <c r="E50" s="296">
        <f>ROUND(SUM(E47:E49),1)</f>
        <v>19458</v>
      </c>
      <c r="F50" s="381"/>
      <c r="G50" s="296">
        <f>ROUND(SUM(G47:G49),1)</f>
        <v>20136.599999999999</v>
      </c>
      <c r="H50" s="381"/>
      <c r="I50" s="296">
        <f>ROUND(SUM(I47:I49),1)</f>
        <v>7071.6</v>
      </c>
      <c r="J50" s="382"/>
      <c r="K50" s="296">
        <f>ROUND(SUM(K47:K49),1)</f>
        <v>678.6</v>
      </c>
    </row>
    <row r="51" spans="1:11" ht="15.6" thickTop="1">
      <c r="A51" s="226"/>
      <c r="B51" s="376"/>
      <c r="C51" s="376"/>
      <c r="D51" s="377"/>
      <c r="E51" s="376"/>
      <c r="F51" s="377"/>
      <c r="G51" s="377"/>
      <c r="H51" s="377"/>
      <c r="I51" s="377"/>
      <c r="J51" s="377"/>
      <c r="K51" s="376"/>
    </row>
    <row r="52" spans="1:11">
      <c r="A52" s="1733" t="s">
        <v>1471</v>
      </c>
      <c r="K52" s="2198"/>
    </row>
    <row r="53" spans="1:11">
      <c r="A53" s="3199" t="s">
        <v>1561</v>
      </c>
      <c r="G53" s="2163"/>
    </row>
    <row r="54" spans="1:11">
      <c r="A54" s="384"/>
    </row>
    <row r="55" spans="1:11">
      <c r="A55" s="383"/>
      <c r="G55" s="2163"/>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6" t="s">
        <v>1066</v>
      </c>
      <c r="B1" s="640"/>
      <c r="C1" s="640"/>
      <c r="D1" s="640"/>
      <c r="E1" s="640"/>
      <c r="F1" s="640"/>
      <c r="G1" s="640"/>
      <c r="H1" s="640"/>
      <c r="I1" s="640"/>
      <c r="J1" s="640"/>
      <c r="K1" s="640"/>
      <c r="L1" s="640"/>
      <c r="M1" s="640"/>
    </row>
    <row r="2" spans="1:13">
      <c r="A2" s="3186"/>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76"/>
    </row>
    <row r="5" spans="1:13" ht="20.25" customHeight="1">
      <c r="A5" s="3534" t="str">
        <f>+'Exh D-Governmental  '!A5:E5</f>
        <v>FISCAL YEAR 2017-2018</v>
      </c>
      <c r="B5" s="3535"/>
      <c r="C5" s="3535"/>
      <c r="D5" s="3535"/>
      <c r="E5" s="3535"/>
      <c r="F5" s="342"/>
      <c r="G5" s="345"/>
      <c r="H5" s="342"/>
      <c r="I5" s="1576"/>
      <c r="J5" s="342"/>
    </row>
    <row r="6" spans="1:13" ht="18.75" customHeight="1">
      <c r="A6" s="2629" t="str">
        <f>'Exh D-Governmental  '!A6</f>
        <v>FOR TEN MONTHS ENDED JANUARY 31, 2018</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79"/>
      <c r="B11" s="351"/>
      <c r="C11" s="3533" t="s">
        <v>1494</v>
      </c>
      <c r="D11" s="3533"/>
      <c r="E11" s="3533"/>
      <c r="F11" s="3533"/>
      <c r="G11" s="3533"/>
      <c r="H11" s="3533"/>
      <c r="I11" s="3533"/>
      <c r="J11" s="2168"/>
      <c r="K11" s="2162"/>
    </row>
    <row r="12" spans="1:13" ht="15.6">
      <c r="A12" s="1279"/>
      <c r="B12" s="351"/>
      <c r="C12" s="352"/>
      <c r="D12" s="352"/>
      <c r="E12" s="352"/>
      <c r="F12" s="352"/>
      <c r="G12" s="352"/>
      <c r="H12" s="352"/>
      <c r="I12" s="353" t="s">
        <v>86</v>
      </c>
      <c r="J12" s="353"/>
      <c r="K12" s="353" t="s">
        <v>86</v>
      </c>
    </row>
    <row r="13" spans="1:13" ht="15.6">
      <c r="A13" s="1279"/>
      <c r="B13" s="351"/>
      <c r="C13" s="352"/>
      <c r="D13" s="352"/>
      <c r="E13" s="352"/>
      <c r="F13" s="352"/>
      <c r="G13" s="352"/>
      <c r="H13" s="352"/>
      <c r="I13" s="353" t="s">
        <v>966</v>
      </c>
      <c r="J13" s="353"/>
      <c r="K13" s="353" t="s">
        <v>966</v>
      </c>
    </row>
    <row r="14" spans="1:13" ht="15.6">
      <c r="A14" s="1279"/>
      <c r="B14" s="351"/>
      <c r="C14" s="354" t="s">
        <v>1174</v>
      </c>
      <c r="D14" s="352"/>
      <c r="E14" s="353" t="s">
        <v>1175</v>
      </c>
      <c r="F14" s="352"/>
      <c r="G14" s="352"/>
      <c r="H14" s="352"/>
      <c r="I14" s="353" t="s">
        <v>87</v>
      </c>
      <c r="J14" s="353"/>
      <c r="K14" s="353" t="s">
        <v>87</v>
      </c>
    </row>
    <row r="15" spans="1:13" ht="15.6">
      <c r="A15" s="1279"/>
      <c r="B15" s="351"/>
      <c r="C15" s="353" t="s">
        <v>1216</v>
      </c>
      <c r="D15" s="352"/>
      <c r="E15" s="353" t="s">
        <v>1216</v>
      </c>
      <c r="F15" s="352"/>
      <c r="G15" s="352"/>
      <c r="H15" s="352"/>
      <c r="I15" s="353" t="s">
        <v>1174</v>
      </c>
      <c r="J15" s="353"/>
      <c r="K15" s="353" t="s">
        <v>1175</v>
      </c>
    </row>
    <row r="16" spans="1:13" ht="15.6">
      <c r="A16" s="1279"/>
      <c r="B16" s="351"/>
      <c r="C16" s="353" t="s">
        <v>1217</v>
      </c>
      <c r="D16" s="352"/>
      <c r="E16" s="353" t="s">
        <v>1493</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20"/>
      <c r="C18" s="1189"/>
      <c r="D18" s="1189"/>
      <c r="E18" s="1189"/>
      <c r="F18" s="1189"/>
      <c r="G18" s="1189"/>
      <c r="H18" s="1189"/>
      <c r="I18" s="1720"/>
      <c r="J18" s="1189"/>
      <c r="K18" s="1720"/>
    </row>
    <row r="19" spans="1:12" ht="15" customHeight="1">
      <c r="A19" s="1566" t="s">
        <v>89</v>
      </c>
      <c r="B19" s="1721" t="s">
        <v>15</v>
      </c>
      <c r="C19" s="1722"/>
      <c r="D19" s="1721"/>
      <c r="E19" s="1722"/>
      <c r="F19" s="1721"/>
      <c r="G19" s="1723"/>
      <c r="H19" s="1721"/>
      <c r="I19" s="2197"/>
      <c r="J19" s="1723"/>
      <c r="K19" s="2197"/>
    </row>
    <row r="20" spans="1:12">
      <c r="A20" s="1566" t="s">
        <v>90</v>
      </c>
      <c r="B20" s="1721" t="s">
        <v>15</v>
      </c>
      <c r="C20" s="1190">
        <f>'Exh D General Fund  '!C20+'Exh D Special Revenue State Fed'!C20+'Exh D Debt Service'!C20</f>
        <v>42606</v>
      </c>
      <c r="D20" s="1192"/>
      <c r="E20" s="1190">
        <f>'Exh D General Fund  '!E20+'Exh D Special Revenue State Fed'!E20+'Exh D Debt Service'!E20</f>
        <v>44921</v>
      </c>
      <c r="F20" s="1192"/>
      <c r="G20" s="1190">
        <f>+'Exh A Supp'!T17</f>
        <v>45261.3</v>
      </c>
      <c r="H20" s="1192"/>
      <c r="I20" s="1806">
        <f>ROUND(SUM(G20)-SUM(C20),1)</f>
        <v>2655.3</v>
      </c>
      <c r="J20" s="1724"/>
      <c r="K20" s="1806">
        <f>ROUND(SUM(G20)-SUM(E20),1)</f>
        <v>340.3</v>
      </c>
    </row>
    <row r="21" spans="1:12">
      <c r="A21" s="1566" t="s">
        <v>91</v>
      </c>
      <c r="B21" s="1720" t="s">
        <v>15</v>
      </c>
      <c r="C21" s="1111">
        <f>'Exh D General Fund  '!C21+'Exh D Special Revenue State Fed'!C21+'Exh D Debt Service'!C21</f>
        <v>13742</v>
      </c>
      <c r="D21" s="1111"/>
      <c r="E21" s="1111">
        <f>'Exh D General Fund  '!E21+'Exh D Special Revenue State Fed'!E21+'Exh D Debt Service'!E21</f>
        <v>13618</v>
      </c>
      <c r="F21" s="1111"/>
      <c r="G21" s="1111">
        <f>+'Exh A Supp'!T18</f>
        <v>13622.4</v>
      </c>
      <c r="H21" s="1111"/>
      <c r="I21" s="1740">
        <f>ROUND(SUM(G21)-SUM(C21),1)</f>
        <v>-119.6</v>
      </c>
      <c r="J21" s="1724"/>
      <c r="K21" s="1740">
        <f>ROUND(SUM(G21)-SUM(E21),1)</f>
        <v>4.4000000000000004</v>
      </c>
    </row>
    <row r="22" spans="1:12" ht="17.25" customHeight="1">
      <c r="A22" s="1566" t="s">
        <v>92</v>
      </c>
      <c r="B22" s="1721" t="s">
        <v>15</v>
      </c>
      <c r="C22" s="1111">
        <f>'Exh D General Fund  '!C22+'Exh D Special Revenue State Fed'!C22</f>
        <v>4912</v>
      </c>
      <c r="D22" s="1262"/>
      <c r="E22" s="1111">
        <f>'Exh D General Fund  '!E22+'Exh D Special Revenue State Fed'!E22</f>
        <v>4652</v>
      </c>
      <c r="F22" s="1262"/>
      <c r="G22" s="1111">
        <f>+'Exh A Supp'!T19</f>
        <v>4826.8</v>
      </c>
      <c r="H22" s="1262"/>
      <c r="I22" s="1740">
        <f>ROUND(SUM(G22)-SUM(C22),1)</f>
        <v>-85.2</v>
      </c>
      <c r="J22" s="1724"/>
      <c r="K22" s="1740">
        <f t="shared" ref="K22:K24" si="0">ROUND(SUM(G22)-SUM(E22),1)</f>
        <v>174.8</v>
      </c>
    </row>
    <row r="23" spans="1:12" ht="14.25" customHeight="1">
      <c r="A23" s="1566" t="s">
        <v>93</v>
      </c>
      <c r="B23" s="1720" t="s">
        <v>15</v>
      </c>
      <c r="C23" s="1111">
        <f>'Exh D General Fund  '!C23+'Exh D Special Revenue State Fed'!C23+'Exh D Debt Service'!C22</f>
        <v>2995</v>
      </c>
      <c r="D23" s="1111"/>
      <c r="E23" s="1111">
        <f>'Exh D General Fund  '!E23+'Exh D Special Revenue State Fed'!E23+'Exh D Debt Service'!E22</f>
        <v>3194</v>
      </c>
      <c r="F23" s="1111"/>
      <c r="G23" s="1111">
        <f>+'Exh A Supp'!T20</f>
        <v>3183</v>
      </c>
      <c r="H23" s="1111"/>
      <c r="I23" s="1740">
        <f>ROUND(SUM(G23)-SUM(C23),1)</f>
        <v>188</v>
      </c>
      <c r="J23" s="1724"/>
      <c r="K23" s="1740">
        <f t="shared" si="0"/>
        <v>-11</v>
      </c>
    </row>
    <row r="24" spans="1:12">
      <c r="A24" s="1566" t="s">
        <v>20</v>
      </c>
      <c r="B24" s="1720" t="s">
        <v>15</v>
      </c>
      <c r="C24" s="1111">
        <f>'Exh D General Fund  '!C24+'Exh D Special Revenue State Fed'!C24+'Exh D Debt Service'!C23</f>
        <v>15811</v>
      </c>
      <c r="D24" s="1111"/>
      <c r="E24" s="1111">
        <f>'Exh D General Fund  '!E24+'Exh D Special Revenue State Fed'!E24+'Exh D Debt Service'!E23</f>
        <v>17398</v>
      </c>
      <c r="F24" s="1111"/>
      <c r="G24" s="1111">
        <f>+'Exh A Supp'!T21</f>
        <v>17399.5</v>
      </c>
      <c r="H24" s="1111"/>
      <c r="I24" s="1740">
        <f>ROUND(SUM(G24)-SUM(C24),1)</f>
        <v>1588.5</v>
      </c>
      <c r="J24" s="1560"/>
      <c r="K24" s="1740">
        <f t="shared" si="0"/>
        <v>1.5</v>
      </c>
    </row>
    <row r="25" spans="1:12" ht="15" customHeight="1">
      <c r="A25" s="1566" t="s">
        <v>21</v>
      </c>
      <c r="B25" s="1720" t="s">
        <v>15</v>
      </c>
      <c r="C25" s="1275">
        <f>'Exh D General Fund  '!C25+'Exh D Special Revenue State Fed'!C25+'Exh D Debt Service'!C24</f>
        <v>37</v>
      </c>
      <c r="D25" s="1111"/>
      <c r="E25" s="1275">
        <f>'Exh D General Fund  '!E25+'Exh D Special Revenue State Fed'!E25+'Exh D Debt Service'!E24</f>
        <v>37</v>
      </c>
      <c r="F25" s="1111"/>
      <c r="G25" s="1111">
        <f>+'Exh A Supp'!T22</f>
        <v>39</v>
      </c>
      <c r="H25" s="1111"/>
      <c r="I25" s="1740">
        <f t="shared" ref="I25" si="1">ROUND(SUM(G25)-SUM(C25),1)</f>
        <v>2</v>
      </c>
      <c r="J25" s="1560"/>
      <c r="K25" s="1740">
        <f t="shared" ref="K25" si="2">ROUND(SUM(G25)-SUM(E25),1)</f>
        <v>2</v>
      </c>
    </row>
    <row r="26" spans="1:12" ht="15.6">
      <c r="A26" s="373" t="s">
        <v>94</v>
      </c>
      <c r="B26" s="351" t="s">
        <v>15</v>
      </c>
      <c r="C26" s="417">
        <f>ROUND(SUM(C20:C25),1)</f>
        <v>80103</v>
      </c>
      <c r="D26" s="1719"/>
      <c r="E26" s="417">
        <f>ROUND(SUM(E20:E25),1)</f>
        <v>83820</v>
      </c>
      <c r="F26" s="1719"/>
      <c r="G26" s="417">
        <f>ROUND(SUM(G20:G25),1)</f>
        <v>84332</v>
      </c>
      <c r="H26" s="1719"/>
      <c r="I26" s="417">
        <f>ROUND(SUM(I20:I25),1)</f>
        <v>4229</v>
      </c>
      <c r="J26" s="366"/>
      <c r="K26" s="417">
        <f>ROUND(SUM(K20:K25),1)</f>
        <v>512</v>
      </c>
      <c r="L26" s="674"/>
    </row>
    <row r="27" spans="1:12">
      <c r="A27" s="1279"/>
      <c r="B27" s="1720" t="s">
        <v>15</v>
      </c>
      <c r="C27" s="1277"/>
      <c r="D27" s="1111"/>
      <c r="E27" s="1277"/>
      <c r="F27" s="1111"/>
      <c r="G27" s="1277"/>
      <c r="H27" s="1111"/>
      <c r="I27" s="1277"/>
      <c r="J27" s="1203"/>
      <c r="K27" s="1277"/>
    </row>
    <row r="28" spans="1:12" ht="15.6">
      <c r="A28" s="221" t="s">
        <v>23</v>
      </c>
      <c r="B28" s="1720" t="s">
        <v>15</v>
      </c>
      <c r="C28" s="1111"/>
      <c r="D28" s="1111"/>
      <c r="E28" s="1111"/>
      <c r="F28" s="1111"/>
      <c r="G28" s="1111"/>
      <c r="H28" s="1111"/>
      <c r="I28" s="1740"/>
      <c r="J28" s="1560"/>
      <c r="K28" s="1740"/>
    </row>
    <row r="29" spans="1:12">
      <c r="A29" s="1566" t="s">
        <v>95</v>
      </c>
      <c r="B29" s="1720" t="s">
        <v>15</v>
      </c>
      <c r="C29" s="1275">
        <f>'Exh D General Fund  '!C34+'Exh D Special Revenue State Fed'!C30</f>
        <v>51155</v>
      </c>
      <c r="D29" s="1111"/>
      <c r="E29" s="1275">
        <f>'Exh D General Fund  '!E34+'Exh D Special Revenue State Fed'!E30</f>
        <v>50436</v>
      </c>
      <c r="F29" s="1111"/>
      <c r="G29" s="1275">
        <f>+'Exh A Supp'!T37</f>
        <v>50228.6</v>
      </c>
      <c r="H29" s="1111"/>
      <c r="I29" s="1740">
        <f>ROUND(SUM(G29)-SUM(C29),1)</f>
        <v>-926.4</v>
      </c>
      <c r="J29" s="1560"/>
      <c r="K29" s="1740">
        <f>ROUND(SUM(G29)-SUM(E29),1)</f>
        <v>-207.4</v>
      </c>
      <c r="L29" s="674"/>
    </row>
    <row r="30" spans="1:12">
      <c r="A30" s="1566" t="s">
        <v>96</v>
      </c>
      <c r="B30" s="1720" t="s">
        <v>15</v>
      </c>
      <c r="C30" s="1262">
        <f>'Exh D General Fund  '!C35+'Exh D Special Revenue State Fed'!C31+'Exh D Debt Service'!C29</f>
        <v>15433</v>
      </c>
      <c r="D30" s="1111"/>
      <c r="E30" s="1262">
        <f>'Exh D General Fund  '!E35+'Exh D Special Revenue State Fed'!E31+'Exh D Debt Service'!E29</f>
        <v>15651</v>
      </c>
      <c r="F30" s="1111"/>
      <c r="G30" s="1262">
        <f>+'Exh A Supp'!T39+'Exh A Supp'!T40</f>
        <v>15692.099999999999</v>
      </c>
      <c r="H30" s="1111"/>
      <c r="I30" s="1740">
        <f>ROUND(SUM(G30)-SUM(C30),1)</f>
        <v>259.10000000000002</v>
      </c>
      <c r="J30" s="1560"/>
      <c r="K30" s="1740">
        <f t="shared" ref="K30:K33" si="3">ROUND(SUM(G30)-SUM(E30),1)</f>
        <v>41.1</v>
      </c>
      <c r="L30" s="674"/>
    </row>
    <row r="31" spans="1:12">
      <c r="A31" s="1566" t="s">
        <v>71</v>
      </c>
      <c r="B31" s="1720" t="s">
        <v>15</v>
      </c>
      <c r="C31" s="1275">
        <f>'Exh D General Fund  '!C36+'Exh D Special Revenue State Fed'!C32</f>
        <v>7088</v>
      </c>
      <c r="D31" s="1111"/>
      <c r="E31" s="1275">
        <f>'Exh D General Fund  '!E36+'Exh D Special Revenue State Fed'!E32</f>
        <v>7193</v>
      </c>
      <c r="F31" s="1111"/>
      <c r="G31" s="1275">
        <f>+'Exh A Supp'!T41</f>
        <v>7092.6</v>
      </c>
      <c r="H31" s="1111"/>
      <c r="I31" s="1740">
        <f>ROUND(SUM(G31)-SUM(C31),1)</f>
        <v>4.5999999999999996</v>
      </c>
      <c r="J31" s="1560"/>
      <c r="K31" s="1740">
        <f t="shared" si="3"/>
        <v>-100.4</v>
      </c>
      <c r="L31" s="674"/>
    </row>
    <row r="32" spans="1:12">
      <c r="A32" s="1566" t="s">
        <v>97</v>
      </c>
      <c r="B32" s="1720" t="s">
        <v>15</v>
      </c>
      <c r="C32" s="1262">
        <f>'Exh D Debt Service'!C30</f>
        <v>2283</v>
      </c>
      <c r="D32" s="1111"/>
      <c r="E32" s="1262">
        <f>'Exh D Debt Service'!E30</f>
        <v>2214</v>
      </c>
      <c r="F32" s="1111"/>
      <c r="G32" s="1275">
        <f>+'Exh A Supp'!T43</f>
        <v>2224.1</v>
      </c>
      <c r="H32" s="1111"/>
      <c r="I32" s="1740">
        <f>ROUND(SUM(G32)-SUM(C32),1)</f>
        <v>-58.9</v>
      </c>
      <c r="J32" s="1560"/>
      <c r="K32" s="1740">
        <f t="shared" si="3"/>
        <v>10.1</v>
      </c>
      <c r="L32" s="674"/>
    </row>
    <row r="33" spans="1:12" ht="15" customHeight="1">
      <c r="A33" s="1566" t="s">
        <v>42</v>
      </c>
      <c r="B33" s="1720" t="s">
        <v>15</v>
      </c>
      <c r="C33" s="1275">
        <f>'Exh D Special Revenue State Fed'!C33</f>
        <v>0</v>
      </c>
      <c r="D33" s="1111"/>
      <c r="E33" s="1275">
        <f>'Exh D Special Revenue State Fed'!E33</f>
        <v>0</v>
      </c>
      <c r="F33" s="1111"/>
      <c r="G33" s="1275">
        <f>+'Exh A Supp'!T44</f>
        <v>0</v>
      </c>
      <c r="H33" s="1111"/>
      <c r="I33" s="1740">
        <f>ROUND(SUM(G33)-SUM(C33),1)</f>
        <v>0</v>
      </c>
      <c r="J33" s="1560"/>
      <c r="K33" s="1740">
        <f t="shared" si="3"/>
        <v>0</v>
      </c>
      <c r="L33" s="674"/>
    </row>
    <row r="34" spans="1:12" ht="15.75" customHeight="1">
      <c r="A34" s="373" t="s">
        <v>98</v>
      </c>
      <c r="B34" s="351" t="s">
        <v>15</v>
      </c>
      <c r="C34" s="540">
        <f>ROUND(SUM(C29:C33),1)</f>
        <v>75959</v>
      </c>
      <c r="D34" s="1719"/>
      <c r="E34" s="540">
        <f>ROUND(SUM(E29:E33),1)</f>
        <v>75494</v>
      </c>
      <c r="F34" s="1719"/>
      <c r="G34" s="540">
        <f>ROUND(SUM(G29:G33),1)</f>
        <v>75237.399999999994</v>
      </c>
      <c r="H34" s="1719"/>
      <c r="I34" s="540">
        <f>ROUND(SUM(I29:I33),1)</f>
        <v>-721.6</v>
      </c>
      <c r="J34" s="366"/>
      <c r="K34" s="540">
        <f>ROUND(SUM(K29:K33),1)</f>
        <v>-256.60000000000002</v>
      </c>
      <c r="L34" s="674"/>
    </row>
    <row r="35" spans="1:12">
      <c r="A35" s="1279"/>
      <c r="B35" s="1720"/>
      <c r="C35" s="1111"/>
      <c r="D35" s="1111"/>
      <c r="E35" s="1111"/>
      <c r="F35" s="1111"/>
      <c r="G35" s="1111"/>
      <c r="H35" s="1111"/>
      <c r="I35" s="1740"/>
      <c r="J35" s="1560"/>
      <c r="K35" s="1740"/>
      <c r="L35" s="674"/>
    </row>
    <row r="36" spans="1:12" ht="15.6">
      <c r="A36" s="373" t="s">
        <v>44</v>
      </c>
      <c r="B36" s="1720"/>
      <c r="C36" s="1111"/>
      <c r="D36" s="1111"/>
      <c r="E36" s="1111"/>
      <c r="F36" s="1111"/>
      <c r="G36" s="1111"/>
      <c r="H36" s="1111"/>
      <c r="I36" s="1740"/>
      <c r="J36" s="1560"/>
      <c r="K36" s="1740"/>
      <c r="L36" s="674"/>
    </row>
    <row r="37" spans="1:12" ht="15.6">
      <c r="A37" s="373" t="s">
        <v>45</v>
      </c>
      <c r="B37" s="1720" t="s">
        <v>15</v>
      </c>
      <c r="C37" s="1584">
        <f>ROUND(SUM(+C26-C34),1)</f>
        <v>4144</v>
      </c>
      <c r="D37" s="1111"/>
      <c r="E37" s="1584">
        <f>ROUND(SUM(+E26-E34),1)</f>
        <v>8326</v>
      </c>
      <c r="F37" s="1111"/>
      <c r="G37" s="1584">
        <f>ROUND(SUM(+G26-G34),1)</f>
        <v>9094.6</v>
      </c>
      <c r="H37" s="1111"/>
      <c r="I37" s="1584">
        <f>ROUND(SUM(+I26-I34),1)</f>
        <v>4950.6000000000004</v>
      </c>
      <c r="J37" s="1203"/>
      <c r="K37" s="1584">
        <f>ROUND(SUM(+K26-K34),1)</f>
        <v>768.6</v>
      </c>
      <c r="L37" s="674"/>
    </row>
    <row r="38" spans="1:12">
      <c r="A38" s="1279"/>
      <c r="B38" s="1720"/>
      <c r="C38" s="1111"/>
      <c r="D38" s="1111"/>
      <c r="E38" s="1111"/>
      <c r="F38" s="1111"/>
      <c r="G38" s="1111"/>
      <c r="H38" s="1111"/>
      <c r="I38" s="1740"/>
      <c r="J38" s="1560"/>
      <c r="K38" s="1740"/>
      <c r="L38" s="674"/>
    </row>
    <row r="39" spans="1:12" ht="15.6">
      <c r="A39" s="373" t="s">
        <v>46</v>
      </c>
      <c r="B39" s="1720"/>
      <c r="C39" s="1111"/>
      <c r="D39" s="1111"/>
      <c r="E39" s="1111"/>
      <c r="F39" s="1111"/>
      <c r="G39" s="1111"/>
      <c r="H39" s="1111"/>
      <c r="I39" s="1740"/>
      <c r="J39" s="1560"/>
      <c r="K39" s="1740"/>
      <c r="L39" s="674"/>
    </row>
    <row r="40" spans="1:12">
      <c r="A40" s="1566" t="s">
        <v>48</v>
      </c>
      <c r="B40" s="1720" t="s">
        <v>15</v>
      </c>
      <c r="C40" s="1262">
        <f>'Exh D General Fund  '!C27+'Exh D General Fund  '!C28+'Exh D General Fund  '!C29+'Exh D General Fund  '!C30+'Exh D Special Revenue State Fed'!C26+'Exh D Debt Service'!C25</f>
        <v>24604</v>
      </c>
      <c r="D40" s="1111"/>
      <c r="E40" s="1262">
        <f>'Exh D General Fund  '!E27+'Exh D General Fund  '!E28+'Exh D General Fund  '!E29+'Exh D General Fund  '!E30+'Exh D Special Revenue State Fed'!E26+'Exh D Debt Service'!E25</f>
        <v>25055</v>
      </c>
      <c r="F40" s="1111"/>
      <c r="G40" s="1262">
        <f>+'Exh A Supp'!T51</f>
        <v>24842</v>
      </c>
      <c r="H40" s="2448" t="s">
        <v>1497</v>
      </c>
      <c r="I40" s="1740">
        <f>ROUND(SUM(G40)-SUM(C40),1)</f>
        <v>238</v>
      </c>
      <c r="J40" s="1560"/>
      <c r="K40" s="1740">
        <f>ROUND(SUM(G40)-SUM(E40),1)</f>
        <v>-213</v>
      </c>
      <c r="L40" s="674"/>
    </row>
    <row r="41" spans="1:12">
      <c r="A41" s="1566" t="s">
        <v>100</v>
      </c>
      <c r="B41" s="1720" t="s">
        <v>15</v>
      </c>
      <c r="C41" s="1725">
        <f>-('Exh D General Fund  '!C38+'Exh D General Fund  '!C39+'Exh D General Fund  '!C40+'Exh D General Fund  '!C41+'Exh D General Fund  '!C42+'Exh D Special Revenue State Fed'!C34+'Exh D Debt Service'!C31)</f>
        <v>-24423</v>
      </c>
      <c r="D41" s="1111"/>
      <c r="E41" s="1725">
        <f>-('Exh D General Fund  '!E38+'Exh D General Fund  '!E39+'Exh D General Fund  '!E40+'Exh D General Fund  '!E41+'Exh D General Fund  '!E42+'Exh D Special Revenue State Fed'!E34+'Exh D Debt Service'!E31)</f>
        <v>-24390</v>
      </c>
      <c r="F41" s="1111"/>
      <c r="G41" s="1262">
        <f>+'Exh A Supp'!T52</f>
        <v>-24000.7</v>
      </c>
      <c r="H41" s="2448" t="s">
        <v>1497</v>
      </c>
      <c r="I41" s="1740">
        <f>-ROUND(SUM(G41)-SUM(C41),1)</f>
        <v>-422.3</v>
      </c>
      <c r="J41" s="1203"/>
      <c r="K41" s="1740">
        <f>-ROUND(SUM(G41)-SUM(E41),1)</f>
        <v>-389.3</v>
      </c>
      <c r="L41" s="674"/>
    </row>
    <row r="42" spans="1:12" ht="15.6">
      <c r="A42" s="373" t="s">
        <v>101</v>
      </c>
      <c r="B42" s="1720" t="s">
        <v>15</v>
      </c>
      <c r="C42" s="540">
        <f>ROUND(SUM(C40:C41),1)</f>
        <v>181</v>
      </c>
      <c r="D42" s="1111"/>
      <c r="E42" s="540">
        <f>ROUND(SUM(E40:E41),1)</f>
        <v>665</v>
      </c>
      <c r="F42" s="1111"/>
      <c r="G42" s="540">
        <f>ROUND(SUM(G40:G41),1)</f>
        <v>841.3</v>
      </c>
      <c r="H42" s="1111"/>
      <c r="I42" s="540">
        <f>ROUND(SUM(I40-I41),1)</f>
        <v>660.3</v>
      </c>
      <c r="J42" s="1727"/>
      <c r="K42" s="540">
        <f>ROUND(SUM(K40-K41),1)</f>
        <v>176.3</v>
      </c>
      <c r="L42" s="674"/>
    </row>
    <row r="43" spans="1:12" ht="15.6">
      <c r="A43" s="373"/>
      <c r="B43" s="1720"/>
      <c r="C43" s="1262"/>
      <c r="D43" s="1111"/>
      <c r="E43" s="1262"/>
      <c r="F43" s="1111"/>
      <c r="G43" s="1262"/>
      <c r="H43" s="1111"/>
      <c r="I43" s="1741"/>
      <c r="J43" s="1721"/>
      <c r="K43" s="1741"/>
      <c r="L43" s="674"/>
    </row>
    <row r="44" spans="1:12" ht="15.6">
      <c r="A44" s="221" t="s">
        <v>102</v>
      </c>
      <c r="B44" s="1720"/>
      <c r="C44" s="1111"/>
      <c r="D44" s="1111"/>
      <c r="E44" s="1111"/>
      <c r="F44" s="1111"/>
      <c r="G44" s="1111"/>
      <c r="H44" s="1111"/>
      <c r="I44" s="1740"/>
      <c r="J44" s="1560"/>
      <c r="K44" s="1740"/>
      <c r="L44" s="674"/>
    </row>
    <row r="45" spans="1:12" ht="15" customHeight="1">
      <c r="A45" s="221" t="s">
        <v>103</v>
      </c>
      <c r="B45" s="1720"/>
      <c r="C45" s="1111"/>
      <c r="D45" s="1111"/>
      <c r="E45" s="1111"/>
      <c r="F45" s="1111"/>
      <c r="G45" s="1111"/>
      <c r="H45" s="1111"/>
      <c r="I45" s="1740"/>
      <c r="J45" s="1560"/>
      <c r="K45" s="1740"/>
      <c r="L45" s="674"/>
    </row>
    <row r="46" spans="1:12" ht="15.6">
      <c r="A46" s="373" t="s">
        <v>104</v>
      </c>
      <c r="B46" s="374" t="s">
        <v>15</v>
      </c>
      <c r="C46" s="272">
        <f>ROUND(SUM(C26)-SUM(C34)+C42,1)</f>
        <v>4325</v>
      </c>
      <c r="D46" s="282"/>
      <c r="E46" s="272">
        <f>ROUND(SUM(E26)-SUM(E34)+E42,1)</f>
        <v>8991</v>
      </c>
      <c r="F46" s="282"/>
      <c r="G46" s="272">
        <f>ROUND(SUM(G26)-SUM(G34)+G42,1)</f>
        <v>9935.9</v>
      </c>
      <c r="H46" s="282"/>
      <c r="I46" s="272">
        <f>ROUND(SUM(I26)-SUM(I34)+I42,1)</f>
        <v>5610.9</v>
      </c>
      <c r="J46" s="366"/>
      <c r="K46" s="272">
        <f>ROUND(SUM(K26)-SUM(K34)+K42,1)</f>
        <v>944.9</v>
      </c>
      <c r="L46" s="674"/>
    </row>
    <row r="47" spans="1:12">
      <c r="A47" s="1728"/>
      <c r="B47" s="1106"/>
      <c r="C47" s="1205"/>
      <c r="D47" s="1729"/>
      <c r="E47" s="1205"/>
      <c r="F47" s="1729"/>
      <c r="G47" s="1205"/>
      <c r="H47" s="1729"/>
      <c r="I47" s="1205"/>
      <c r="J47" s="1730"/>
      <c r="K47" s="1205"/>
      <c r="L47" s="674"/>
    </row>
    <row r="48" spans="1:12" ht="15.6">
      <c r="A48" s="373" t="str">
        <f>'Exh D-Governmental  '!A49</f>
        <v>Fund Balances (Deficits) at April 1</v>
      </c>
      <c r="B48" s="1731" t="s">
        <v>15</v>
      </c>
      <c r="C48" s="272">
        <f>'Exh D General Fund  '!C49+'Exh D Special Revenue State Fed'!C41+'Exh D Debt Service'!C38</f>
        <v>11625</v>
      </c>
      <c r="D48" s="1729"/>
      <c r="E48" s="2801">
        <f>'Exh D General Fund  '!E49+'Exh D Special Revenue State Fed'!E41+'Exh D Debt Service'!E38</f>
        <v>11625</v>
      </c>
      <c r="F48" s="1729"/>
      <c r="G48" s="272">
        <f>'Exh A Supp'!T59</f>
        <v>11625.3</v>
      </c>
      <c r="H48" s="1729"/>
      <c r="I48" s="1584">
        <f>ROUND(SUM(G48)-SUM(C48),1)</f>
        <v>0.3</v>
      </c>
      <c r="J48" s="366"/>
      <c r="K48" s="2801">
        <f>ROUND(SUM(G48)-SUM(E48),1)</f>
        <v>0.3</v>
      </c>
      <c r="L48" s="674"/>
    </row>
    <row r="49" spans="1:12" ht="16.2" thickBot="1">
      <c r="A49" s="373" t="str">
        <f>'Exh D-Governmental  '!A50</f>
        <v>Fund Balances (Deficits) at January 31, 2018</v>
      </c>
      <c r="B49" s="380" t="s">
        <v>15</v>
      </c>
      <c r="C49" s="296">
        <f>ROUND(SUM(C46:C48),1)</f>
        <v>15950</v>
      </c>
      <c r="D49" s="381"/>
      <c r="E49" s="296">
        <f>ROUND(SUM(E46:E48),1)</f>
        <v>20616</v>
      </c>
      <c r="F49" s="381"/>
      <c r="G49" s="296">
        <f>ROUND(SUM(G46:G48),1)</f>
        <v>21561.200000000001</v>
      </c>
      <c r="H49" s="1810"/>
      <c r="I49" s="296">
        <f>ROUND(SUM(I46:I48),1)</f>
        <v>5611.2</v>
      </c>
      <c r="J49" s="382"/>
      <c r="K49" s="296">
        <f>ROUND(SUM(K46:K48),1)</f>
        <v>945.2</v>
      </c>
      <c r="L49" s="674"/>
    </row>
    <row r="50" spans="1:12" ht="15.6" thickTop="1">
      <c r="A50" s="1728"/>
      <c r="B50" s="1106"/>
      <c r="C50" s="1106"/>
      <c r="D50" s="1732"/>
      <c r="E50" s="1106"/>
      <c r="F50" s="1732"/>
      <c r="G50" s="1732"/>
      <c r="H50" s="1732"/>
      <c r="I50" s="1732"/>
      <c r="J50" s="1732"/>
      <c r="K50" s="1732"/>
    </row>
    <row r="51" spans="1:12">
      <c r="A51" s="1733" t="str">
        <f>'Exh D-Governmental  '!A52</f>
        <v>(*)     Source:  2017-18 Enacted Financial Plan dated May 26, 2017.</v>
      </c>
      <c r="I51" s="2163"/>
      <c r="K51" s="2163"/>
    </row>
    <row r="52" spans="1:12">
      <c r="A52" s="1733" t="str">
        <f>'Exh D-Governmental  '!A53</f>
        <v>(**)    Source: 2018-19 Executive Budget dated January 17, 2018.</v>
      </c>
      <c r="I52" s="2163"/>
      <c r="K52" s="2163"/>
    </row>
    <row r="53" spans="1:12">
      <c r="A53" s="1082" t="s">
        <v>1495</v>
      </c>
    </row>
    <row r="54" spans="1:12">
      <c r="A54" s="1082" t="s">
        <v>1304</v>
      </c>
      <c r="G54" s="2163"/>
    </row>
    <row r="55" spans="1:12">
      <c r="A55" s="2662" t="s">
        <v>1496</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28" customWidth="1"/>
    <col min="2" max="2" width="2" style="1106" customWidth="1"/>
    <col min="3" max="3" width="15.36328125" style="783" customWidth="1"/>
    <col min="4" max="4" width="4.81640625" style="1732" customWidth="1"/>
    <col min="5" max="5" width="15.36328125" style="783" customWidth="1"/>
    <col min="6" max="6" width="4.81640625" style="1732" customWidth="1"/>
    <col min="7" max="7" width="15.36328125" style="1732" customWidth="1"/>
    <col min="8" max="8" width="4.54296875" style="1732" customWidth="1"/>
    <col min="9" max="9" width="15.36328125" style="1732" customWidth="1"/>
    <col min="10" max="10" width="2.453125" style="1732" customWidth="1"/>
    <col min="11" max="11" width="12.81640625" style="1106" customWidth="1"/>
    <col min="12" max="12" width="18.08984375" style="783" bestFit="1" customWidth="1"/>
    <col min="13" max="13" width="2.6328125" style="1732" customWidth="1"/>
    <col min="14" max="14" width="14.36328125" style="1732" customWidth="1"/>
    <col min="15" max="15" width="2.6328125" style="1732" customWidth="1"/>
    <col min="16" max="16" width="15.6328125" style="1732" bestFit="1" customWidth="1"/>
    <col min="17" max="17" width="2" style="1106" customWidth="1"/>
    <col min="18" max="18" width="11.90625" style="1106" customWidth="1"/>
    <col min="19" max="19" width="11.453125" style="1106" customWidth="1"/>
    <col min="20" max="20" width="1.90625" style="1106" customWidth="1"/>
    <col min="21" max="21" width="11.6328125" style="1106" customWidth="1"/>
    <col min="22" max="22" width="2.08984375" style="1106" customWidth="1"/>
    <col min="23" max="23" width="11.453125" style="1106" customWidth="1"/>
    <col min="24" max="24" width="0.54296875" style="1106" customWidth="1"/>
    <col min="25" max="25" width="2.36328125" style="1106" customWidth="1"/>
    <col min="26" max="26" width="10.54296875" style="1106" customWidth="1"/>
    <col min="27" max="27" width="11.08984375" style="1106" customWidth="1"/>
    <col min="28" max="28" width="2.1796875" style="1106" customWidth="1"/>
    <col min="29" max="29" width="11.08984375" style="1106" customWidth="1"/>
    <col min="30" max="30" width="2.08984375" style="1106" customWidth="1"/>
    <col min="31" max="31" width="12.453125" style="1106" customWidth="1"/>
    <col min="32" max="36" width="8.90625" style="1106"/>
    <col min="37" max="37" width="8.90625" style="1732"/>
    <col min="38" max="16384" width="8.90625" style="1728"/>
  </cols>
  <sheetData>
    <row r="1" spans="1:31">
      <c r="A1" s="1734" t="s">
        <v>1066</v>
      </c>
      <c r="B1" s="386"/>
      <c r="C1" s="777"/>
      <c r="D1" s="387"/>
      <c r="E1" s="777"/>
      <c r="F1" s="387"/>
      <c r="G1" s="387"/>
      <c r="H1" s="387"/>
      <c r="I1" s="387"/>
      <c r="J1" s="387"/>
      <c r="K1" s="386"/>
      <c r="L1" s="777"/>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8"/>
      <c r="D2" s="387"/>
      <c r="E2" s="778"/>
      <c r="F2" s="387"/>
      <c r="G2" s="387"/>
      <c r="H2" s="387"/>
      <c r="I2" s="387"/>
      <c r="J2" s="387"/>
      <c r="K2" s="386"/>
      <c r="L2" s="777"/>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79"/>
      <c r="D3" s="342"/>
      <c r="E3" s="779"/>
      <c r="F3" s="342"/>
      <c r="G3" s="342"/>
      <c r="H3" s="342"/>
      <c r="I3" s="1575"/>
      <c r="K3" s="1575" t="s">
        <v>85</v>
      </c>
      <c r="L3" s="780"/>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79"/>
      <c r="D4" s="342"/>
      <c r="E4" s="779"/>
      <c r="F4" s="342"/>
      <c r="G4" s="342"/>
      <c r="H4" s="342"/>
      <c r="I4" s="1576"/>
      <c r="K4" s="1576"/>
      <c r="L4" s="780"/>
      <c r="M4" s="342"/>
      <c r="N4" s="342"/>
      <c r="O4" s="342"/>
      <c r="Q4" s="342"/>
      <c r="R4" s="356"/>
      <c r="S4" s="356"/>
      <c r="T4" s="356"/>
      <c r="U4" s="356"/>
      <c r="V4" s="356"/>
      <c r="W4" s="356"/>
      <c r="X4" s="356"/>
      <c r="Y4" s="356"/>
      <c r="Z4" s="356"/>
      <c r="AA4" s="356"/>
      <c r="AB4" s="356"/>
      <c r="AC4" s="356"/>
      <c r="AD4" s="356"/>
      <c r="AE4" s="356"/>
    </row>
    <row r="5" spans="1:31" ht="21.75" customHeight="1">
      <c r="A5" s="3534" t="str">
        <f>+'Exh D-Governmental  '!A5:E5</f>
        <v>FISCAL YEAR 2017-2018</v>
      </c>
      <c r="B5" s="3535"/>
      <c r="C5" s="3535"/>
      <c r="D5" s="3535"/>
      <c r="E5" s="3535"/>
      <c r="F5" s="342"/>
      <c r="G5" s="1560"/>
      <c r="H5" s="342"/>
      <c r="I5" s="342"/>
      <c r="J5" s="342"/>
      <c r="K5" s="356"/>
      <c r="L5" s="780"/>
      <c r="M5" s="342"/>
      <c r="N5" s="342"/>
      <c r="O5" s="342"/>
      <c r="Q5" s="342"/>
      <c r="R5" s="356"/>
      <c r="S5" s="356"/>
      <c r="T5" s="356"/>
      <c r="U5" s="356"/>
      <c r="V5" s="356"/>
      <c r="W5" s="356"/>
      <c r="X5" s="356"/>
      <c r="Y5" s="356"/>
      <c r="Z5" s="356"/>
      <c r="AA5" s="356"/>
      <c r="AB5" s="356"/>
      <c r="AC5" s="356"/>
      <c r="AD5" s="356"/>
      <c r="AE5" s="356"/>
    </row>
    <row r="6" spans="1:31" ht="17.25" customHeight="1">
      <c r="A6" s="2629" t="str">
        <f>'Exh D-Governmental  '!A6</f>
        <v>FOR TEN MONTHS ENDED JANUARY 31, 2018</v>
      </c>
      <c r="B6" s="347"/>
      <c r="C6" s="779"/>
      <c r="D6" s="342"/>
      <c r="E6" s="779"/>
      <c r="F6" s="342"/>
      <c r="G6" s="342"/>
      <c r="H6" s="342"/>
      <c r="I6" s="342"/>
      <c r="J6" s="342"/>
      <c r="K6" s="356"/>
      <c r="L6" s="780"/>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79"/>
      <c r="D7" s="342"/>
      <c r="E7" s="779"/>
      <c r="F7" s="342"/>
      <c r="G7" s="342"/>
      <c r="H7" s="342"/>
      <c r="I7" s="342"/>
      <c r="J7" s="342"/>
      <c r="K7" s="356"/>
      <c r="L7" s="780"/>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79"/>
      <c r="D8" s="342"/>
      <c r="E8" s="779"/>
      <c r="F8" s="342"/>
      <c r="G8" s="342"/>
      <c r="H8" s="342"/>
      <c r="I8" s="342"/>
      <c r="J8" s="342"/>
      <c r="K8" s="356"/>
      <c r="L8" s="780"/>
      <c r="M8" s="342"/>
      <c r="N8" s="342"/>
      <c r="O8" s="342"/>
      <c r="P8" s="342"/>
      <c r="Q8" s="342"/>
      <c r="R8" s="356"/>
      <c r="S8" s="356"/>
      <c r="T8" s="356"/>
      <c r="U8" s="356"/>
      <c r="V8" s="356"/>
      <c r="W8" s="356"/>
      <c r="X8" s="356"/>
      <c r="Y8" s="356"/>
      <c r="Z8" s="356"/>
      <c r="AA8" s="356"/>
      <c r="AB8" s="356"/>
      <c r="AC8" s="356"/>
      <c r="AD8" s="356"/>
      <c r="AE8" s="356"/>
    </row>
    <row r="9" spans="1:31">
      <c r="A9" s="350"/>
      <c r="B9" s="356"/>
      <c r="C9" s="780"/>
      <c r="D9" s="342"/>
      <c r="E9" s="780"/>
      <c r="F9" s="342"/>
      <c r="G9" s="342"/>
      <c r="H9" s="342"/>
      <c r="I9" s="342"/>
      <c r="J9" s="342"/>
      <c r="K9" s="356"/>
      <c r="L9" s="780"/>
      <c r="M9" s="342"/>
      <c r="N9" s="342"/>
      <c r="O9" s="342"/>
      <c r="P9" s="342"/>
      <c r="Q9" s="342"/>
      <c r="R9" s="356"/>
      <c r="S9" s="356"/>
      <c r="T9" s="356"/>
      <c r="U9" s="356"/>
      <c r="V9" s="356"/>
      <c r="W9" s="356"/>
      <c r="X9" s="356"/>
      <c r="Y9" s="356"/>
      <c r="Z9" s="356"/>
      <c r="AA9" s="356"/>
      <c r="AB9" s="356"/>
      <c r="AC9" s="356"/>
      <c r="AD9" s="356"/>
      <c r="AE9" s="356"/>
    </row>
    <row r="10" spans="1:31">
      <c r="A10" s="350"/>
      <c r="B10" s="356"/>
      <c r="C10" s="780"/>
      <c r="D10" s="342"/>
      <c r="E10" s="780"/>
      <c r="F10" s="342"/>
      <c r="G10" s="342"/>
      <c r="H10" s="342"/>
      <c r="I10" s="342"/>
      <c r="J10" s="342"/>
      <c r="K10" s="356"/>
      <c r="L10" s="1799"/>
      <c r="M10" s="347"/>
      <c r="N10" s="347"/>
      <c r="O10" s="347"/>
      <c r="P10" s="347"/>
      <c r="Q10" s="342"/>
      <c r="R10" s="356"/>
      <c r="S10" s="356"/>
      <c r="T10" s="356"/>
      <c r="U10" s="356"/>
      <c r="V10" s="356"/>
      <c r="W10" s="356"/>
      <c r="X10" s="356"/>
      <c r="Y10" s="356"/>
      <c r="Z10" s="356"/>
      <c r="AA10" s="356"/>
      <c r="AB10" s="356"/>
      <c r="AC10" s="356"/>
      <c r="AD10" s="356"/>
      <c r="AE10" s="356"/>
    </row>
    <row r="11" spans="1:31" ht="15.6">
      <c r="A11" s="1279"/>
      <c r="C11" s="3536" t="s">
        <v>1231</v>
      </c>
      <c r="D11" s="3536"/>
      <c r="E11" s="3536"/>
      <c r="F11" s="3536"/>
      <c r="G11" s="3536"/>
      <c r="H11" s="3536"/>
      <c r="I11" s="3536"/>
      <c r="J11" s="2166"/>
      <c r="K11" s="2167"/>
      <c r="L11" s="784"/>
      <c r="M11" s="396"/>
      <c r="N11" s="396"/>
      <c r="O11" s="396"/>
      <c r="P11" s="396"/>
      <c r="Q11" s="351"/>
      <c r="R11" s="394"/>
      <c r="S11" s="394"/>
      <c r="T11" s="394"/>
      <c r="U11" s="394"/>
      <c r="V11" s="394"/>
      <c r="W11" s="394"/>
      <c r="X11" s="394"/>
      <c r="Y11" s="351"/>
      <c r="Z11" s="394"/>
      <c r="AA11" s="395"/>
      <c r="AB11" s="394"/>
      <c r="AC11" s="394"/>
      <c r="AD11" s="394"/>
      <c r="AE11" s="394"/>
    </row>
    <row r="12" spans="1:31" ht="15.6">
      <c r="A12" s="1279"/>
      <c r="C12" s="781"/>
      <c r="D12" s="396"/>
      <c r="E12" s="781"/>
      <c r="F12" s="396"/>
      <c r="G12" s="397"/>
      <c r="H12" s="396"/>
      <c r="I12" s="396" t="s">
        <v>86</v>
      </c>
      <c r="J12" s="394"/>
      <c r="K12" s="396" t="s">
        <v>86</v>
      </c>
      <c r="L12" s="784"/>
      <c r="M12" s="396"/>
      <c r="N12" s="397"/>
      <c r="O12" s="396"/>
      <c r="P12" s="396"/>
      <c r="Q12" s="351"/>
      <c r="R12" s="394"/>
      <c r="S12" s="394"/>
      <c r="T12" s="394"/>
      <c r="U12" s="394"/>
      <c r="V12" s="394"/>
      <c r="W12" s="394"/>
      <c r="X12" s="394"/>
      <c r="Y12" s="351"/>
      <c r="Z12" s="394"/>
      <c r="AA12" s="395"/>
      <c r="AB12" s="394"/>
      <c r="AC12" s="394"/>
      <c r="AD12" s="394"/>
      <c r="AE12" s="394"/>
    </row>
    <row r="13" spans="1:31" ht="15.6">
      <c r="A13" s="1279"/>
      <c r="B13" s="351"/>
      <c r="C13" s="782"/>
      <c r="D13" s="398"/>
      <c r="E13" s="782"/>
      <c r="F13" s="398"/>
      <c r="G13" s="398"/>
      <c r="H13" s="398"/>
      <c r="I13" s="399" t="s">
        <v>966</v>
      </c>
      <c r="J13" s="401"/>
      <c r="K13" s="399" t="s">
        <v>966</v>
      </c>
      <c r="L13" s="1800"/>
      <c r="M13" s="1801"/>
      <c r="N13" s="1801"/>
      <c r="O13" s="1801"/>
      <c r="P13" s="1802"/>
      <c r="Q13" s="351"/>
      <c r="R13" s="351"/>
      <c r="S13" s="351"/>
      <c r="T13" s="351"/>
      <c r="U13" s="351"/>
      <c r="V13" s="351"/>
      <c r="W13" s="400"/>
      <c r="X13" s="401"/>
      <c r="Y13" s="351"/>
      <c r="Z13" s="351"/>
      <c r="AA13" s="351"/>
      <c r="AB13" s="351"/>
      <c r="AC13" s="351"/>
      <c r="AD13" s="351"/>
      <c r="AE13" s="400"/>
    </row>
    <row r="14" spans="1:31" ht="15.6">
      <c r="A14" s="1279"/>
      <c r="B14" s="402"/>
      <c r="C14" s="354" t="s">
        <v>1174</v>
      </c>
      <c r="D14" s="1728"/>
      <c r="E14" s="353" t="s">
        <v>1175</v>
      </c>
      <c r="F14" s="352"/>
      <c r="G14" s="352"/>
      <c r="H14" s="352"/>
      <c r="I14" s="353" t="s">
        <v>87</v>
      </c>
      <c r="J14" s="401"/>
      <c r="K14" s="353" t="s">
        <v>87</v>
      </c>
      <c r="L14" s="1803"/>
      <c r="M14" s="351"/>
      <c r="N14" s="351"/>
      <c r="O14" s="351"/>
      <c r="P14" s="401"/>
      <c r="Q14" s="351"/>
      <c r="R14" s="400"/>
      <c r="S14" s="401"/>
      <c r="T14" s="351"/>
      <c r="U14" s="351"/>
      <c r="V14" s="351"/>
      <c r="W14" s="400"/>
      <c r="X14" s="401"/>
      <c r="Y14" s="351"/>
      <c r="Z14" s="400"/>
      <c r="AA14" s="401"/>
      <c r="AB14" s="351"/>
      <c r="AC14" s="351"/>
      <c r="AD14" s="351"/>
      <c r="AE14" s="400"/>
    </row>
    <row r="15" spans="1:31" ht="15.6">
      <c r="A15" s="1279"/>
      <c r="B15" s="402"/>
      <c r="C15" s="353" t="s">
        <v>1216</v>
      </c>
      <c r="D15" s="352"/>
      <c r="E15" s="353" t="s">
        <v>1216</v>
      </c>
      <c r="F15" s="352"/>
      <c r="G15" s="352"/>
      <c r="H15" s="352"/>
      <c r="I15" s="353" t="s">
        <v>1174</v>
      </c>
      <c r="J15" s="401"/>
      <c r="K15" s="353" t="s">
        <v>1175</v>
      </c>
      <c r="L15" s="1803"/>
      <c r="M15" s="351"/>
      <c r="N15" s="351"/>
      <c r="O15" s="351"/>
      <c r="P15" s="401"/>
      <c r="Q15" s="351"/>
      <c r="R15" s="400"/>
      <c r="S15" s="401"/>
      <c r="T15" s="351"/>
      <c r="U15" s="351"/>
      <c r="V15" s="351"/>
      <c r="W15" s="400"/>
      <c r="X15" s="401"/>
      <c r="Y15" s="351"/>
      <c r="Z15" s="400"/>
      <c r="AA15" s="401"/>
      <c r="AB15" s="351"/>
      <c r="AC15" s="351"/>
      <c r="AD15" s="351"/>
      <c r="AE15" s="400"/>
    </row>
    <row r="16" spans="1:31" ht="15.6">
      <c r="A16" s="1279"/>
      <c r="B16" s="401"/>
      <c r="C16" s="353" t="s">
        <v>1217</v>
      </c>
      <c r="D16" s="352"/>
      <c r="E16" s="353" t="s">
        <v>1493</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20"/>
      <c r="C18" s="1189"/>
      <c r="D18" s="1189"/>
      <c r="E18" s="1189"/>
      <c r="F18" s="1189"/>
      <c r="G18" s="1189"/>
      <c r="H18" s="1189"/>
      <c r="I18" s="1189"/>
      <c r="J18" s="1720"/>
      <c r="K18" s="1720"/>
      <c r="L18" s="1720"/>
      <c r="M18" s="1720"/>
      <c r="N18" s="1720"/>
      <c r="O18" s="1720"/>
      <c r="P18" s="1720"/>
      <c r="Q18" s="1720"/>
      <c r="R18" s="1720"/>
      <c r="S18" s="1720"/>
      <c r="T18" s="1720"/>
      <c r="U18" s="1720"/>
      <c r="V18" s="1720"/>
      <c r="W18" s="1720"/>
      <c r="X18" s="1720"/>
      <c r="Y18" s="1720"/>
      <c r="Z18" s="1720"/>
      <c r="AA18" s="1720"/>
      <c r="AB18" s="1720"/>
      <c r="AC18" s="1720"/>
      <c r="AD18" s="1720"/>
      <c r="AE18" s="1720"/>
    </row>
    <row r="19" spans="1:31">
      <c r="A19" s="1566" t="s">
        <v>89</v>
      </c>
      <c r="B19" s="1721"/>
      <c r="C19" s="1189"/>
      <c r="D19" s="1721"/>
      <c r="E19" s="1189"/>
      <c r="F19" s="1721"/>
      <c r="G19" s="1189"/>
      <c r="H19" s="1721"/>
      <c r="I19" s="1189"/>
      <c r="J19" s="1720"/>
      <c r="K19" s="1720"/>
      <c r="L19" s="1720"/>
      <c r="M19" s="1720"/>
      <c r="N19" s="1720"/>
      <c r="O19" s="1742"/>
      <c r="P19" s="1720"/>
      <c r="Q19" s="1720"/>
      <c r="R19" s="1720"/>
      <c r="S19" s="1720"/>
      <c r="T19" s="1720"/>
      <c r="U19" s="1720"/>
      <c r="V19" s="1720"/>
      <c r="W19" s="1720"/>
      <c r="X19" s="1720"/>
      <c r="Y19" s="1720"/>
      <c r="Z19" s="1720"/>
      <c r="AA19" s="1720"/>
      <c r="AB19" s="1720"/>
      <c r="AC19" s="1720"/>
      <c r="AD19" s="1720"/>
      <c r="AE19" s="1720"/>
    </row>
    <row r="20" spans="1:31">
      <c r="A20" s="1566" t="s">
        <v>90</v>
      </c>
      <c r="B20" s="1721" t="s">
        <v>15</v>
      </c>
      <c r="C20" s="1190">
        <v>29334</v>
      </c>
      <c r="D20" s="1192"/>
      <c r="E20" s="1190">
        <v>31115</v>
      </c>
      <c r="F20" s="1192"/>
      <c r="G20" s="1190">
        <f>+'Exhibit F'!AC28</f>
        <v>31370.3</v>
      </c>
      <c r="H20" s="1192"/>
      <c r="I20" s="1190">
        <f t="shared" ref="I20:I25" si="0">ROUND(SUM(G20)-SUM(C20),1)</f>
        <v>2036.3</v>
      </c>
      <c r="J20" s="1720"/>
      <c r="K20" s="1190">
        <f>G20-E20</f>
        <v>255.29999999999927</v>
      </c>
      <c r="L20" s="1804"/>
      <c r="M20" s="1804"/>
      <c r="N20" s="1805"/>
      <c r="O20" s="1804"/>
      <c r="P20" s="1806"/>
      <c r="Q20" s="1720"/>
      <c r="R20" s="1720"/>
      <c r="S20" s="1720"/>
      <c r="T20" s="1720"/>
      <c r="U20" s="1720"/>
      <c r="V20" s="1720"/>
      <c r="W20" s="1720"/>
      <c r="X20" s="1720"/>
      <c r="Y20" s="1720"/>
      <c r="Z20" s="1720"/>
      <c r="AA20" s="1720"/>
      <c r="AB20" s="1720"/>
      <c r="AC20" s="1720"/>
      <c r="AD20" s="1720"/>
      <c r="AE20" s="1720"/>
    </row>
    <row r="21" spans="1:31">
      <c r="A21" s="1566" t="s">
        <v>91</v>
      </c>
      <c r="B21" s="1720" t="s">
        <v>15</v>
      </c>
      <c r="C21" s="1739">
        <v>6269</v>
      </c>
      <c r="D21" s="1111"/>
      <c r="E21" s="1739">
        <v>6210</v>
      </c>
      <c r="F21" s="1111"/>
      <c r="G21" s="1111">
        <f>+'Exhibit F'!AC37</f>
        <v>6213.2</v>
      </c>
      <c r="H21" s="1111"/>
      <c r="I21" s="2800">
        <f t="shared" si="0"/>
        <v>-55.8</v>
      </c>
      <c r="J21" s="1720"/>
      <c r="K21" s="2800">
        <f>G21-E21</f>
        <v>3.1999999999998181</v>
      </c>
      <c r="L21" s="1807"/>
      <c r="M21" s="1740"/>
      <c r="N21" s="1740"/>
      <c r="O21" s="1740"/>
      <c r="P21" s="1740"/>
      <c r="Q21" s="1740"/>
      <c r="R21" s="1740"/>
      <c r="S21" s="1720"/>
      <c r="T21" s="1720"/>
      <c r="U21" s="1720"/>
      <c r="V21" s="1720"/>
      <c r="W21" s="1720"/>
      <c r="X21" s="1720"/>
      <c r="Y21" s="1720"/>
      <c r="Z21" s="1720"/>
      <c r="AA21" s="1720"/>
      <c r="AB21" s="1720"/>
      <c r="AC21" s="1720"/>
      <c r="AD21" s="1720"/>
      <c r="AE21" s="1720"/>
    </row>
    <row r="22" spans="1:31">
      <c r="A22" s="1566" t="s">
        <v>92</v>
      </c>
      <c r="B22" s="1721" t="s">
        <v>15</v>
      </c>
      <c r="C22" s="1739">
        <v>3748</v>
      </c>
      <c r="D22" s="1262"/>
      <c r="E22" s="1739">
        <v>3389</v>
      </c>
      <c r="F22" s="1262"/>
      <c r="G22" s="1729">
        <f>+'Exhibit F'!AC44</f>
        <v>3517.8</v>
      </c>
      <c r="H22" s="1262"/>
      <c r="I22" s="2800">
        <f t="shared" si="0"/>
        <v>-230.2</v>
      </c>
      <c r="J22" s="1720"/>
      <c r="K22" s="2800">
        <f t="shared" ref="K22:K30" si="1">G22-E22</f>
        <v>128.80000000000018</v>
      </c>
      <c r="L22" s="1807"/>
      <c r="M22" s="1741"/>
      <c r="N22" s="1740"/>
      <c r="O22" s="1741"/>
      <c r="P22" s="1740"/>
      <c r="Q22" s="1741"/>
      <c r="R22" s="1740"/>
      <c r="S22" s="1720"/>
      <c r="T22" s="1742"/>
      <c r="U22" s="1720"/>
      <c r="V22" s="1742"/>
      <c r="W22" s="1720"/>
      <c r="X22" s="1720"/>
      <c r="Y22" s="1742"/>
      <c r="Z22" s="1720"/>
      <c r="AA22" s="1720"/>
      <c r="AB22" s="1742"/>
      <c r="AC22" s="403"/>
      <c r="AD22" s="1742"/>
      <c r="AE22" s="1720"/>
    </row>
    <row r="23" spans="1:31">
      <c r="A23" s="1566" t="s">
        <v>93</v>
      </c>
      <c r="B23" s="1720" t="s">
        <v>15</v>
      </c>
      <c r="C23" s="1739">
        <v>894</v>
      </c>
      <c r="D23" s="1111"/>
      <c r="E23" s="1739">
        <v>1166</v>
      </c>
      <c r="F23" s="1111"/>
      <c r="G23" s="1111">
        <f>+'Exhibit F'!AC52</f>
        <v>1152.2</v>
      </c>
      <c r="H23" s="1111"/>
      <c r="I23" s="2800">
        <f t="shared" si="0"/>
        <v>258.2</v>
      </c>
      <c r="J23" s="1720"/>
      <c r="K23" s="2800">
        <f t="shared" si="1"/>
        <v>-13.799999999999955</v>
      </c>
      <c r="L23" s="1808"/>
      <c r="M23" s="1740"/>
      <c r="N23" s="1740"/>
      <c r="O23" s="1740"/>
      <c r="P23" s="1740"/>
      <c r="Q23" s="1740"/>
      <c r="R23" s="1740"/>
      <c r="S23" s="1720"/>
      <c r="T23" s="1720"/>
      <c r="U23" s="1720"/>
      <c r="V23" s="1720"/>
      <c r="W23" s="1720"/>
      <c r="X23" s="1720"/>
      <c r="Y23" s="1720"/>
      <c r="Z23" s="1720"/>
      <c r="AA23" s="1720"/>
      <c r="AB23" s="1720"/>
      <c r="AC23" s="1720"/>
      <c r="AD23" s="1720"/>
      <c r="AE23" s="1720"/>
    </row>
    <row r="24" spans="1:31" ht="15" customHeight="1">
      <c r="A24" s="1566" t="s">
        <v>20</v>
      </c>
      <c r="B24" s="1720" t="s">
        <v>15</v>
      </c>
      <c r="C24" s="1739">
        <v>1652</v>
      </c>
      <c r="D24" s="1739"/>
      <c r="E24" s="1739">
        <v>2543</v>
      </c>
      <c r="F24" s="1739"/>
      <c r="G24" s="1275">
        <f>+'Exhibit F'!AC91</f>
        <v>2563.6999999999998</v>
      </c>
      <c r="H24" s="1111"/>
      <c r="I24" s="2800">
        <f t="shared" si="0"/>
        <v>911.7</v>
      </c>
      <c r="J24" s="1720"/>
      <c r="K24" s="2800">
        <f t="shared" si="1"/>
        <v>20.699999999999818</v>
      </c>
      <c r="L24" s="1808"/>
      <c r="M24" s="1740"/>
      <c r="N24" s="1740"/>
      <c r="O24" s="1740"/>
      <c r="P24" s="1740"/>
      <c r="Q24" s="1740"/>
      <c r="R24" s="1740"/>
      <c r="S24" s="1720"/>
      <c r="T24" s="1720"/>
      <c r="U24" s="1720"/>
      <c r="V24" s="1720"/>
      <c r="W24" s="1720"/>
      <c r="X24" s="1720"/>
      <c r="Y24" s="1720"/>
      <c r="Z24" s="1720"/>
      <c r="AA24" s="1720"/>
      <c r="AB24" s="1720"/>
      <c r="AC24" s="1720"/>
      <c r="AD24" s="1720"/>
      <c r="AE24" s="1720"/>
    </row>
    <row r="25" spans="1:31" ht="15" customHeight="1">
      <c r="A25" s="1566" t="s">
        <v>21</v>
      </c>
      <c r="B25" s="1720" t="s">
        <v>15</v>
      </c>
      <c r="C25" s="1191">
        <v>0</v>
      </c>
      <c r="D25" s="1111"/>
      <c r="E25" s="1191">
        <v>0</v>
      </c>
      <c r="F25" s="1111"/>
      <c r="G25" s="1275">
        <f>+'Exhibit F'!AC93</f>
        <v>0.2</v>
      </c>
      <c r="H25" s="1111"/>
      <c r="I25" s="2800">
        <f t="shared" si="0"/>
        <v>0.2</v>
      </c>
      <c r="J25" s="1720"/>
      <c r="K25" s="2800">
        <f t="shared" si="1"/>
        <v>0.2</v>
      </c>
      <c r="L25" s="1807"/>
      <c r="M25" s="1740"/>
      <c r="N25" s="1740"/>
      <c r="O25" s="1740"/>
      <c r="P25" s="1740"/>
      <c r="Q25" s="1740"/>
      <c r="R25" s="1744"/>
      <c r="S25" s="1745"/>
      <c r="T25" s="1720"/>
      <c r="U25" s="1745"/>
      <c r="V25" s="1720"/>
      <c r="W25" s="1745"/>
      <c r="X25" s="1746"/>
      <c r="Y25" s="1720"/>
      <c r="Z25" s="1720"/>
      <c r="AA25" s="1720"/>
      <c r="AB25" s="1720"/>
      <c r="AC25" s="1720"/>
      <c r="AD25" s="1720"/>
      <c r="AE25" s="1720"/>
    </row>
    <row r="26" spans="1:31" ht="18" customHeight="1">
      <c r="A26" s="1566" t="s">
        <v>107</v>
      </c>
      <c r="B26" s="1746"/>
      <c r="C26" s="1191"/>
      <c r="D26" s="1111"/>
      <c r="E26" s="1191"/>
      <c r="F26" s="1111"/>
      <c r="G26" s="1274"/>
      <c r="H26" s="1111"/>
      <c r="I26" s="2800"/>
      <c r="J26" s="1746"/>
      <c r="K26" s="2800"/>
      <c r="L26" s="1744"/>
      <c r="M26" s="1740"/>
      <c r="N26" s="1744"/>
      <c r="O26" s="1740"/>
      <c r="P26" s="1744"/>
      <c r="Q26" s="1740"/>
      <c r="R26" s="1744"/>
      <c r="S26" s="1745"/>
      <c r="T26" s="1720"/>
      <c r="U26" s="1745"/>
      <c r="V26" s="1720"/>
      <c r="W26" s="1745"/>
      <c r="X26" s="1746"/>
      <c r="Y26" s="1720"/>
      <c r="Z26" s="1720"/>
      <c r="AA26" s="1720"/>
      <c r="AB26" s="1720"/>
      <c r="AC26" s="1720"/>
      <c r="AD26" s="1720"/>
      <c r="AE26" s="1720"/>
    </row>
    <row r="27" spans="1:31">
      <c r="A27" s="1566" t="s">
        <v>108</v>
      </c>
      <c r="B27" s="1746" t="s">
        <v>15</v>
      </c>
      <c r="C27" s="1111">
        <v>8589</v>
      </c>
      <c r="D27" s="1111"/>
      <c r="E27" s="1111">
        <v>9124</v>
      </c>
      <c r="F27" s="1111"/>
      <c r="G27" s="1272">
        <f>'Exhibit F'!AC122</f>
        <v>8854.1</v>
      </c>
      <c r="H27" s="1111"/>
      <c r="I27" s="2800">
        <f>ROUND(SUM(G27)-SUM(C27),1)</f>
        <v>265.10000000000002</v>
      </c>
      <c r="J27" s="1746"/>
      <c r="K27" s="2800">
        <f t="shared" si="1"/>
        <v>-269.89999999999964</v>
      </c>
      <c r="L27" s="1744"/>
      <c r="M27" s="1740"/>
      <c r="N27" s="1744"/>
      <c r="O27" s="1740"/>
      <c r="P27" s="1740"/>
      <c r="Q27" s="1740"/>
      <c r="R27" s="1744"/>
      <c r="S27" s="1745"/>
      <c r="T27" s="1720"/>
      <c r="U27" s="1745"/>
      <c r="V27" s="1720"/>
      <c r="W27" s="1745"/>
      <c r="X27" s="1746"/>
      <c r="Y27" s="1720"/>
      <c r="Z27" s="1720"/>
      <c r="AA27" s="1720"/>
      <c r="AB27" s="1720"/>
      <c r="AC27" s="1720"/>
      <c r="AD27" s="1720"/>
      <c r="AE27" s="1720"/>
    </row>
    <row r="28" spans="1:31">
      <c r="A28" s="1566" t="s">
        <v>1172</v>
      </c>
      <c r="B28" s="1746" t="s">
        <v>15</v>
      </c>
      <c r="C28" s="1111">
        <v>5090</v>
      </c>
      <c r="D28" s="1111"/>
      <c r="E28" s="1111">
        <v>5058</v>
      </c>
      <c r="F28" s="1111"/>
      <c r="G28" s="1273">
        <f>'Exhibit F'!AC123</f>
        <v>5062.3</v>
      </c>
      <c r="H28" s="1111"/>
      <c r="I28" s="2800">
        <f>ROUND(SUM(G28)-SUM(C28),1)</f>
        <v>-27.7</v>
      </c>
      <c r="J28" s="1746"/>
      <c r="K28" s="2800">
        <f t="shared" si="1"/>
        <v>4.3000000000001819</v>
      </c>
      <c r="L28" s="1744"/>
      <c r="M28" s="1740"/>
      <c r="N28" s="1744"/>
      <c r="O28" s="1740"/>
      <c r="P28" s="1740"/>
      <c r="Q28" s="1740"/>
      <c r="R28" s="1744"/>
      <c r="S28" s="1745"/>
      <c r="T28" s="1720"/>
      <c r="U28" s="1745"/>
      <c r="V28" s="1720"/>
      <c r="W28" s="1745"/>
      <c r="X28" s="1746"/>
      <c r="Y28" s="1720"/>
      <c r="Z28" s="1720"/>
      <c r="AA28" s="1720"/>
      <c r="AB28" s="1720"/>
      <c r="AC28" s="1720"/>
      <c r="AD28" s="1720"/>
      <c r="AE28" s="1720"/>
    </row>
    <row r="29" spans="1:31">
      <c r="A29" s="1566" t="s">
        <v>109</v>
      </c>
      <c r="B29" s="1746" t="s">
        <v>15</v>
      </c>
      <c r="C29" s="1111">
        <v>872</v>
      </c>
      <c r="D29" s="1111"/>
      <c r="E29" s="1111">
        <v>819</v>
      </c>
      <c r="F29" s="1111"/>
      <c r="G29" s="1272">
        <f>'Exhibit F'!AC124</f>
        <v>813</v>
      </c>
      <c r="H29" s="1111"/>
      <c r="I29" s="2800">
        <f>ROUND(SUM(G29)-SUM(C29),1)</f>
        <v>-59</v>
      </c>
      <c r="J29" s="1746"/>
      <c r="K29" s="2800">
        <f t="shared" si="1"/>
        <v>-6</v>
      </c>
      <c r="L29" s="1744"/>
      <c r="M29" s="1740"/>
      <c r="N29" s="1744"/>
      <c r="O29" s="1740"/>
      <c r="P29" s="1740"/>
      <c r="Q29" s="1740"/>
      <c r="R29" s="1744"/>
      <c r="S29" s="1745"/>
      <c r="T29" s="1720"/>
      <c r="U29" s="1745"/>
      <c r="V29" s="1720"/>
      <c r="W29" s="1745"/>
      <c r="X29" s="1746"/>
      <c r="Y29" s="1720"/>
      <c r="Z29" s="1720"/>
      <c r="AA29" s="1720"/>
      <c r="AB29" s="1720"/>
      <c r="AC29" s="1720"/>
      <c r="AD29" s="1720"/>
      <c r="AE29" s="1720"/>
    </row>
    <row r="30" spans="1:31">
      <c r="A30" s="1566" t="s">
        <v>110</v>
      </c>
      <c r="B30" s="1746" t="s">
        <v>15</v>
      </c>
      <c r="C30" s="1726">
        <v>199</v>
      </c>
      <c r="D30" s="1111"/>
      <c r="E30" s="1726">
        <v>331</v>
      </c>
      <c r="F30" s="1111"/>
      <c r="G30" s="1884">
        <f>'Exhibit F'!AC125</f>
        <v>346.2</v>
      </c>
      <c r="H30" s="1111"/>
      <c r="I30" s="2800">
        <f>ROUND(SUM(G30)-SUM(C30),1)</f>
        <v>147.19999999999999</v>
      </c>
      <c r="J30" s="1746"/>
      <c r="K30" s="2800">
        <f t="shared" si="1"/>
        <v>15.199999999999989</v>
      </c>
      <c r="L30" s="1809"/>
      <c r="M30" s="1740"/>
      <c r="N30" s="1741"/>
      <c r="O30" s="1740"/>
      <c r="P30" s="1740"/>
      <c r="Q30" s="1740"/>
      <c r="R30" s="1744"/>
      <c r="S30" s="1745"/>
      <c r="T30" s="1720"/>
      <c r="U30" s="1745"/>
      <c r="V30" s="1720"/>
      <c r="W30" s="1745"/>
      <c r="X30" s="1746"/>
      <c r="Y30" s="1720"/>
      <c r="Z30" s="1720"/>
      <c r="AA30" s="1720"/>
      <c r="AB30" s="1720"/>
      <c r="AC30" s="1720"/>
      <c r="AD30" s="1720"/>
      <c r="AE30" s="1720"/>
    </row>
    <row r="31" spans="1:31" ht="18" customHeight="1">
      <c r="A31" s="373" t="s">
        <v>111</v>
      </c>
      <c r="B31" s="351" t="s">
        <v>15</v>
      </c>
      <c r="C31" s="417">
        <f>ROUND(SUM(C20:C30),1)</f>
        <v>56647</v>
      </c>
      <c r="D31" s="1719"/>
      <c r="E31" s="417">
        <f>ROUND(SUM(E20:E30),1)</f>
        <v>59755</v>
      </c>
      <c r="F31" s="1719"/>
      <c r="G31" s="417">
        <f>ROUND(SUM(G20:G30),1)</f>
        <v>59893</v>
      </c>
      <c r="H31" s="1719"/>
      <c r="I31" s="2821">
        <f>ROUND(SUM(I20:I30),1)</f>
        <v>3246</v>
      </c>
      <c r="J31" s="351"/>
      <c r="K31" s="540">
        <f>ROUND(SUM(K20:K30),1)</f>
        <v>138</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79"/>
      <c r="B32" s="1720"/>
      <c r="C32" s="1277"/>
      <c r="D32" s="1111"/>
      <c r="E32" s="1277"/>
      <c r="F32" s="1111"/>
      <c r="G32" s="1277"/>
      <c r="H32" s="1111"/>
      <c r="I32" s="1740"/>
      <c r="J32" s="1720"/>
      <c r="K32" s="1740"/>
      <c r="L32" s="1740"/>
      <c r="M32" s="1740"/>
      <c r="N32" s="1740"/>
      <c r="O32" s="1740"/>
      <c r="P32" s="1740"/>
      <c r="Q32" s="1740"/>
      <c r="R32" s="1740"/>
      <c r="S32" s="1720"/>
      <c r="T32" s="1720"/>
      <c r="U32" s="1720"/>
      <c r="V32" s="1720"/>
      <c r="W32" s="1720"/>
      <c r="X32" s="1720"/>
      <c r="Y32" s="1720"/>
      <c r="Z32" s="1720"/>
      <c r="AA32" s="1720"/>
      <c r="AB32" s="1720"/>
      <c r="AC32" s="1720"/>
      <c r="AD32" s="1720"/>
      <c r="AE32" s="1720"/>
    </row>
    <row r="33" spans="1:31" ht="15.6">
      <c r="A33" s="221" t="s">
        <v>23</v>
      </c>
      <c r="B33" s="1720"/>
      <c r="C33" s="1111"/>
      <c r="D33" s="1111"/>
      <c r="E33" s="1111"/>
      <c r="F33" s="1111"/>
      <c r="G33" s="1111"/>
      <c r="H33" s="1111"/>
      <c r="I33" s="2800"/>
      <c r="J33" s="1720"/>
      <c r="K33" s="1740"/>
      <c r="L33" s="1740"/>
      <c r="M33" s="1740"/>
      <c r="N33" s="1740"/>
      <c r="O33" s="1740"/>
      <c r="P33" s="1740"/>
      <c r="Q33" s="1740"/>
      <c r="R33" s="1740"/>
      <c r="S33" s="1720"/>
      <c r="T33" s="1720"/>
      <c r="U33" s="1720"/>
      <c r="V33" s="1720"/>
      <c r="W33" s="1720"/>
      <c r="X33" s="1720"/>
      <c r="Y33" s="1720"/>
      <c r="Z33" s="1720"/>
      <c r="AA33" s="1720"/>
      <c r="AB33" s="1720"/>
      <c r="AC33" s="1720"/>
      <c r="AD33" s="1720"/>
      <c r="AE33" s="1720"/>
    </row>
    <row r="34" spans="1:31">
      <c r="A34" s="1566" t="s">
        <v>95</v>
      </c>
      <c r="B34" s="1742" t="s">
        <v>15</v>
      </c>
      <c r="C34" s="1262">
        <v>34303</v>
      </c>
      <c r="D34" s="1111"/>
      <c r="E34" s="1262">
        <v>33383</v>
      </c>
      <c r="F34" s="1111"/>
      <c r="G34" s="1262">
        <f>+'Exhibit F'!AC109</f>
        <v>33201.299999999996</v>
      </c>
      <c r="H34" s="1111"/>
      <c r="I34" s="2800">
        <f>ROUND(SUM(G34)-SUM(C34),1)</f>
        <v>-1101.7</v>
      </c>
      <c r="J34" s="1720"/>
      <c r="K34" s="2800">
        <f t="shared" ref="K34:K42" si="2">G34-E34</f>
        <v>-181.70000000000437</v>
      </c>
      <c r="L34" s="1741"/>
      <c r="M34" s="1740"/>
      <c r="N34" s="1741"/>
      <c r="O34" s="1740"/>
      <c r="P34" s="1740"/>
      <c r="Q34" s="1740"/>
      <c r="R34" s="1744"/>
      <c r="S34" s="1745"/>
      <c r="T34" s="1720"/>
      <c r="U34" s="1745"/>
      <c r="V34" s="1720"/>
      <c r="W34" s="1745"/>
      <c r="X34" s="1746"/>
      <c r="Y34" s="1720"/>
      <c r="Z34" s="1720"/>
      <c r="AA34" s="1720"/>
      <c r="AB34" s="1720"/>
      <c r="AC34" s="1720"/>
      <c r="AD34" s="1720"/>
      <c r="AE34" s="1720"/>
    </row>
    <row r="35" spans="1:31">
      <c r="A35" s="1566" t="s">
        <v>96</v>
      </c>
      <c r="B35" s="1742" t="s">
        <v>15</v>
      </c>
      <c r="C35" s="1262">
        <v>6730</v>
      </c>
      <c r="D35" s="1111"/>
      <c r="E35" s="1262">
        <v>6895</v>
      </c>
      <c r="F35" s="1111"/>
      <c r="G35" s="1262">
        <f>+'Exhibit F'!AC111+'Exhibit F'!AC112</f>
        <v>6911.2</v>
      </c>
      <c r="H35" s="1111"/>
      <c r="I35" s="2800">
        <f>ROUND(SUM(G35)-SUM(C35),1)</f>
        <v>181.2</v>
      </c>
      <c r="J35" s="1720"/>
      <c r="K35" s="2800">
        <f t="shared" si="2"/>
        <v>16.199999999999818</v>
      </c>
      <c r="L35" s="1741"/>
      <c r="M35" s="1740"/>
      <c r="N35" s="1741"/>
      <c r="O35" s="1740"/>
      <c r="P35" s="1740"/>
      <c r="Q35" s="1740"/>
      <c r="R35" s="1741"/>
      <c r="S35" s="1742"/>
      <c r="T35" s="1720"/>
      <c r="U35" s="1742"/>
      <c r="V35" s="1720"/>
      <c r="W35" s="1745"/>
      <c r="X35" s="1720"/>
      <c r="Y35" s="1720"/>
      <c r="Z35" s="1745"/>
      <c r="AA35" s="1745"/>
      <c r="AB35" s="1720"/>
      <c r="AC35" s="1745"/>
      <c r="AD35" s="1720"/>
      <c r="AE35" s="1745"/>
    </row>
    <row r="36" spans="1:31">
      <c r="A36" s="1566" t="s">
        <v>71</v>
      </c>
      <c r="B36" s="1742" t="s">
        <v>15</v>
      </c>
      <c r="C36" s="1262">
        <v>5276</v>
      </c>
      <c r="D36" s="1111"/>
      <c r="E36" s="1262">
        <v>5390</v>
      </c>
      <c r="F36" s="1111"/>
      <c r="G36" s="1262">
        <f>+'Exhibit F'!AC113</f>
        <v>5111.8</v>
      </c>
      <c r="H36" s="1111"/>
      <c r="I36" s="2800">
        <f>ROUND(SUM(G36)-SUM(C36),1)</f>
        <v>-164.2</v>
      </c>
      <c r="J36" s="1720"/>
      <c r="K36" s="2800">
        <f t="shared" si="2"/>
        <v>-278.19999999999982</v>
      </c>
      <c r="L36" s="1741"/>
      <c r="M36" s="1740"/>
      <c r="N36" s="1741"/>
      <c r="O36" s="1740"/>
      <c r="P36" s="1740"/>
      <c r="Q36" s="1740"/>
      <c r="R36" s="1744"/>
      <c r="S36" s="1745"/>
      <c r="T36" s="1720"/>
      <c r="U36" s="1745"/>
      <c r="V36" s="1720"/>
      <c r="W36" s="1745"/>
      <c r="X36" s="1746"/>
      <c r="Y36" s="1720"/>
      <c r="Z36" s="1745"/>
      <c r="AA36" s="1745"/>
      <c r="AB36" s="1720"/>
      <c r="AC36" s="1745"/>
      <c r="AD36" s="1720"/>
      <c r="AE36" s="1745"/>
    </row>
    <row r="37" spans="1:31" ht="18" customHeight="1">
      <c r="A37" s="1566" t="s">
        <v>112</v>
      </c>
      <c r="B37" s="1746"/>
      <c r="C37" s="1191"/>
      <c r="D37" s="1111"/>
      <c r="E37" s="1191" t="s">
        <v>15</v>
      </c>
      <c r="F37" s="1111"/>
      <c r="G37" s="1191"/>
      <c r="H37" s="1111"/>
      <c r="I37" s="2800"/>
      <c r="J37" s="1746"/>
      <c r="K37" s="2800"/>
      <c r="L37" s="1809"/>
      <c r="M37" s="1740"/>
      <c r="N37" s="1809"/>
      <c r="O37" s="1740"/>
      <c r="P37" s="1740"/>
      <c r="Q37" s="1740"/>
      <c r="R37" s="1744"/>
      <c r="S37" s="1745"/>
      <c r="T37" s="1720"/>
      <c r="U37" s="1745"/>
      <c r="V37" s="1720"/>
      <c r="W37" s="1745"/>
      <c r="X37" s="1746"/>
      <c r="Y37" s="1720"/>
      <c r="Z37" s="1720"/>
      <c r="AA37" s="1720"/>
      <c r="AB37" s="1720"/>
      <c r="AC37" s="1720"/>
      <c r="AD37" s="1720"/>
      <c r="AE37" s="1720"/>
    </row>
    <row r="38" spans="1:31">
      <c r="A38" s="1566" t="s">
        <v>113</v>
      </c>
      <c r="B38" s="1746" t="s">
        <v>15</v>
      </c>
      <c r="C38" s="1275">
        <v>1013</v>
      </c>
      <c r="D38" s="1111"/>
      <c r="E38" s="1275">
        <v>1005</v>
      </c>
      <c r="F38" s="1111"/>
      <c r="G38" s="1273">
        <f>-'Exhibit F'!AC129</f>
        <v>1015.1</v>
      </c>
      <c r="H38" s="1111"/>
      <c r="I38" s="2800">
        <f>ROUND(SUM(G38)-SUM(C38),1)</f>
        <v>2.1</v>
      </c>
      <c r="J38" s="1746"/>
      <c r="K38" s="2800">
        <f t="shared" si="2"/>
        <v>10.100000000000023</v>
      </c>
      <c r="L38" s="1744"/>
      <c r="M38" s="1740"/>
      <c r="N38" s="1744"/>
      <c r="O38" s="1740"/>
      <c r="P38" s="1740"/>
      <c r="Q38" s="1740"/>
      <c r="R38" s="1744"/>
      <c r="S38" s="1745"/>
      <c r="T38" s="1720"/>
      <c r="U38" s="1745"/>
      <c r="V38" s="1720"/>
      <c r="W38" s="1745"/>
      <c r="X38" s="1746"/>
      <c r="Y38" s="1720"/>
      <c r="Z38" s="1720"/>
      <c r="AA38" s="1720"/>
      <c r="AB38" s="1720"/>
      <c r="AC38" s="1720"/>
      <c r="AD38" s="1720"/>
      <c r="AE38" s="1720"/>
    </row>
    <row r="39" spans="1:31">
      <c r="A39" s="1566" t="s">
        <v>114</v>
      </c>
      <c r="B39" s="1746" t="s">
        <v>15</v>
      </c>
      <c r="C39" s="1275">
        <v>1828</v>
      </c>
      <c r="D39" s="1111"/>
      <c r="E39" s="1275">
        <v>1133</v>
      </c>
      <c r="F39" s="1111"/>
      <c r="G39" s="1273">
        <f>-'Exhibit F'!AC126-'Exhibit F'!AC128</f>
        <v>901</v>
      </c>
      <c r="H39" s="2800" t="s">
        <v>15</v>
      </c>
      <c r="I39" s="2800">
        <f>ROUND(SUM(G39)-SUM(C39),1)</f>
        <v>-927</v>
      </c>
      <c r="J39" s="1746"/>
      <c r="K39" s="2800">
        <f t="shared" si="2"/>
        <v>-232</v>
      </c>
      <c r="L39" s="1744"/>
      <c r="M39" s="1740"/>
      <c r="N39" s="1744"/>
      <c r="O39" s="1740"/>
      <c r="P39" s="1740"/>
      <c r="Q39" s="1740"/>
      <c r="R39" s="1744"/>
      <c r="S39" s="1745"/>
      <c r="T39" s="1720"/>
      <c r="U39" s="1745"/>
      <c r="V39" s="1720"/>
      <c r="W39" s="1745"/>
      <c r="X39" s="1746"/>
      <c r="Y39" s="1720"/>
      <c r="Z39" s="1720"/>
      <c r="AA39" s="1720"/>
      <c r="AB39" s="1720"/>
      <c r="AC39" s="1720"/>
      <c r="AD39" s="1720"/>
      <c r="AE39" s="1720"/>
    </row>
    <row r="40" spans="1:31">
      <c r="A40" s="1566" t="s">
        <v>115</v>
      </c>
      <c r="B40" s="1746" t="s">
        <v>15</v>
      </c>
      <c r="C40" s="1275">
        <v>1091</v>
      </c>
      <c r="D40" s="1111"/>
      <c r="E40" s="1275">
        <v>1084</v>
      </c>
      <c r="F40" s="1111"/>
      <c r="G40" s="2817">
        <v>1377.6</v>
      </c>
      <c r="H40" s="2800" t="s">
        <v>942</v>
      </c>
      <c r="I40" s="2800">
        <f>ROUND(SUM(G40)-SUM(C40),1)</f>
        <v>286.60000000000002</v>
      </c>
      <c r="J40" s="1746"/>
      <c r="K40" s="2800">
        <f t="shared" si="2"/>
        <v>293.59999999999991</v>
      </c>
      <c r="L40" s="1744"/>
      <c r="M40" s="1740"/>
      <c r="N40" s="1744"/>
      <c r="O40" s="1740"/>
      <c r="P40" s="1740"/>
      <c r="Q40" s="1740"/>
      <c r="R40" s="1744"/>
      <c r="S40" s="1745"/>
      <c r="T40" s="1720"/>
      <c r="U40" s="1745"/>
      <c r="V40" s="1720"/>
      <c r="W40" s="1745"/>
      <c r="X40" s="1746"/>
      <c r="Y40" s="1720"/>
      <c r="Z40" s="1720"/>
      <c r="AA40" s="1720"/>
      <c r="AB40" s="1720"/>
      <c r="AC40" s="1720"/>
      <c r="AD40" s="1720"/>
      <c r="AE40" s="1720"/>
    </row>
    <row r="41" spans="1:31">
      <c r="A41" s="1566" t="s">
        <v>117</v>
      </c>
      <c r="B41" s="1746" t="s">
        <v>118</v>
      </c>
      <c r="C41" s="1275">
        <v>1016</v>
      </c>
      <c r="D41" s="1111"/>
      <c r="E41" s="1275">
        <v>1015</v>
      </c>
      <c r="F41" s="1111"/>
      <c r="G41" s="2817">
        <v>1015</v>
      </c>
      <c r="H41" s="1111"/>
      <c r="I41" s="2800">
        <f>ROUND(SUM(G41)-SUM(C41),1)</f>
        <v>-1</v>
      </c>
      <c r="J41" s="1746"/>
      <c r="K41" s="2800">
        <f t="shared" si="2"/>
        <v>0</v>
      </c>
      <c r="L41" s="1744"/>
      <c r="M41" s="1740"/>
      <c r="N41" s="1744"/>
      <c r="O41" s="1740"/>
      <c r="P41" s="1740"/>
      <c r="Q41" s="1740"/>
      <c r="R41" s="1744"/>
      <c r="S41" s="1745"/>
      <c r="T41" s="1720"/>
      <c r="U41" s="1745"/>
      <c r="V41" s="1720"/>
      <c r="W41" s="1745"/>
      <c r="X41" s="1746"/>
      <c r="Y41" s="1720"/>
      <c r="Z41" s="1720"/>
      <c r="AA41" s="1720"/>
      <c r="AB41" s="1720"/>
      <c r="AC41" s="1720"/>
      <c r="AD41" s="1720"/>
      <c r="AE41" s="1720"/>
    </row>
    <row r="42" spans="1:31">
      <c r="A42" s="1566" t="s">
        <v>119</v>
      </c>
      <c r="B42" s="1746" t="s">
        <v>15</v>
      </c>
      <c r="C42" s="1275">
        <v>3509</v>
      </c>
      <c r="D42" s="1111"/>
      <c r="E42" s="1275">
        <v>3417</v>
      </c>
      <c r="F42" s="1111"/>
      <c r="G42" s="1273">
        <v>3244.5</v>
      </c>
      <c r="H42" s="1111"/>
      <c r="I42" s="2800">
        <f>ROUND(SUM(G42)-SUM(C42),1)</f>
        <v>-264.5</v>
      </c>
      <c r="J42" s="1746"/>
      <c r="K42" s="2800">
        <f t="shared" si="2"/>
        <v>-172.5</v>
      </c>
      <c r="L42" s="1809"/>
      <c r="M42" s="1740"/>
      <c r="N42" s="1741"/>
      <c r="O42" s="1740"/>
      <c r="P42" s="1740"/>
      <c r="Q42" s="1740"/>
      <c r="R42" s="1744"/>
      <c r="S42" s="1745"/>
      <c r="T42" s="1720"/>
      <c r="U42" s="1745"/>
      <c r="V42" s="1720"/>
      <c r="W42" s="1745"/>
      <c r="X42" s="1746"/>
      <c r="Y42" s="1720"/>
      <c r="Z42" s="1720"/>
      <c r="AA42" s="1720"/>
      <c r="AB42" s="1720"/>
      <c r="AC42" s="1720"/>
      <c r="AD42" s="1720"/>
      <c r="AE42" s="1720"/>
    </row>
    <row r="43" spans="1:31" ht="18" customHeight="1">
      <c r="A43" s="373" t="s">
        <v>120</v>
      </c>
      <c r="B43" s="351" t="s">
        <v>15</v>
      </c>
      <c r="C43" s="417">
        <f>ROUND(SUM(C34:C42),1)</f>
        <v>54766</v>
      </c>
      <c r="D43" s="1719"/>
      <c r="E43" s="417">
        <f>ROUND(SUM(E34:E42),1)</f>
        <v>53322</v>
      </c>
      <c r="F43" s="1719"/>
      <c r="G43" s="417">
        <f>ROUND(SUM(G34:G42),1)</f>
        <v>52777.5</v>
      </c>
      <c r="H43" s="1719"/>
      <c r="I43" s="2821">
        <f>ROUND(SUM(I34:I42),1)</f>
        <v>-1988.5</v>
      </c>
      <c r="J43" s="351"/>
      <c r="K43" s="540">
        <f>ROUND(SUM(K34:K42),1)</f>
        <v>-544.5</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79"/>
      <c r="B44" s="1720"/>
      <c r="C44" s="1277"/>
      <c r="D44" s="1111"/>
      <c r="E44" s="1277"/>
      <c r="F44" s="1111"/>
      <c r="G44" s="1277"/>
      <c r="H44" s="1111"/>
      <c r="I44" s="1740"/>
      <c r="J44" s="1720"/>
      <c r="K44" s="1740"/>
      <c r="L44" s="1740"/>
      <c r="M44" s="1740"/>
      <c r="N44" s="1740"/>
      <c r="O44" s="1740"/>
      <c r="P44" s="1740"/>
      <c r="Q44" s="1740"/>
      <c r="R44" s="1740"/>
      <c r="S44" s="1720"/>
      <c r="T44" s="1720"/>
      <c r="U44" s="1720"/>
      <c r="V44" s="1720"/>
      <c r="W44" s="1720"/>
      <c r="X44" s="1720"/>
      <c r="Y44" s="1720"/>
      <c r="Z44" s="1720"/>
      <c r="AA44" s="1720"/>
      <c r="AB44" s="1720"/>
      <c r="AC44" s="1720"/>
      <c r="AD44" s="1720"/>
      <c r="AE44" s="1720"/>
    </row>
    <row r="45" spans="1:31" ht="15.6">
      <c r="A45" s="221" t="s">
        <v>121</v>
      </c>
      <c r="B45" s="1720"/>
      <c r="C45" s="1111"/>
      <c r="D45" s="1111"/>
      <c r="E45" s="1111"/>
      <c r="F45" s="1111"/>
      <c r="G45" s="1111"/>
      <c r="H45" s="1111"/>
      <c r="I45" s="2800"/>
      <c r="J45" s="1720"/>
      <c r="K45" s="1740"/>
      <c r="L45" s="1740"/>
      <c r="M45" s="1740"/>
      <c r="N45" s="1740"/>
      <c r="O45" s="1740"/>
      <c r="P45" s="1740"/>
      <c r="Q45" s="1740"/>
      <c r="R45" s="1740"/>
      <c r="S45" s="1720"/>
      <c r="T45" s="1720"/>
      <c r="U45" s="1720"/>
      <c r="V45" s="1720"/>
      <c r="W45" s="1720"/>
      <c r="X45" s="1720"/>
      <c r="Y45" s="1720"/>
      <c r="Z45" s="1720"/>
      <c r="AA45" s="1720"/>
      <c r="AB45" s="1720"/>
      <c r="AC45" s="1720"/>
      <c r="AD45" s="1720"/>
      <c r="AE45" s="1720"/>
    </row>
    <row r="46" spans="1:31" ht="15.6">
      <c r="A46" s="221" t="s">
        <v>122</v>
      </c>
      <c r="B46" s="1720"/>
      <c r="C46" s="1111"/>
      <c r="D46" s="1111"/>
      <c r="E46" s="1111"/>
      <c r="F46" s="1111"/>
      <c r="G46" s="1111"/>
      <c r="H46" s="1111"/>
      <c r="I46" s="2800"/>
      <c r="J46" s="1720"/>
      <c r="K46" s="1740"/>
      <c r="L46" s="1740"/>
      <c r="M46" s="1740"/>
      <c r="N46" s="1740"/>
      <c r="O46" s="1740"/>
      <c r="P46" s="1740"/>
      <c r="Q46" s="1740"/>
      <c r="R46" s="1740"/>
      <c r="S46" s="1720"/>
      <c r="T46" s="1720"/>
      <c r="U46" s="1720"/>
      <c r="V46" s="1720"/>
      <c r="W46" s="1720"/>
      <c r="X46" s="1720"/>
      <c r="Y46" s="1720"/>
      <c r="Z46" s="1720"/>
      <c r="AA46" s="1720"/>
      <c r="AB46" s="1720"/>
      <c r="AC46" s="1720"/>
      <c r="AD46" s="1720"/>
      <c r="AE46" s="1720"/>
    </row>
    <row r="47" spans="1:31" ht="15.6">
      <c r="A47" s="373" t="s">
        <v>104</v>
      </c>
      <c r="B47" s="1718" t="s">
        <v>15</v>
      </c>
      <c r="C47" s="272">
        <f>ROUND(SUM(C31)-SUM(C43),1)</f>
        <v>1881</v>
      </c>
      <c r="D47" s="282"/>
      <c r="E47" s="272">
        <f>ROUND(SUM(E31)-SUM(E43),1)</f>
        <v>6433</v>
      </c>
      <c r="F47" s="282"/>
      <c r="G47" s="272">
        <f>ROUND(SUM(G31)-SUM(G43),1)</f>
        <v>7115.5</v>
      </c>
      <c r="H47" s="282"/>
      <c r="I47" s="2801">
        <f>ROUND(SUM(I31)-SUM(I43),1)</f>
        <v>5234.5</v>
      </c>
      <c r="J47" s="351"/>
      <c r="K47" s="272">
        <f>ROUND(SUM(K31)-SUM(K43),1)</f>
        <v>682.5</v>
      </c>
      <c r="L47" s="272"/>
      <c r="M47" s="735"/>
      <c r="N47" s="272"/>
      <c r="O47" s="735"/>
      <c r="P47" s="272"/>
      <c r="Q47" s="735"/>
      <c r="R47" s="272"/>
      <c r="S47" s="351"/>
      <c r="T47" s="374"/>
      <c r="U47" s="351"/>
      <c r="V47" s="374"/>
      <c r="W47" s="351"/>
      <c r="X47" s="351"/>
      <c r="Y47" s="374"/>
      <c r="Z47" s="351"/>
      <c r="AA47" s="351"/>
      <c r="AB47" s="374"/>
      <c r="AC47" s="351"/>
      <c r="AD47" s="374"/>
      <c r="AE47" s="351"/>
    </row>
    <row r="48" spans="1:31" ht="15" customHeight="1">
      <c r="C48" s="1205"/>
      <c r="D48" s="1729"/>
      <c r="E48" s="1205"/>
      <c r="F48" s="1729"/>
      <c r="G48" s="1205"/>
      <c r="H48" s="1729"/>
      <c r="I48" s="2801"/>
      <c r="J48" s="351"/>
      <c r="K48" s="272"/>
      <c r="L48" s="1205"/>
      <c r="M48" s="1205"/>
      <c r="N48" s="1205"/>
      <c r="O48" s="1205"/>
      <c r="P48" s="1205"/>
      <c r="Q48" s="1205"/>
      <c r="R48" s="1205"/>
    </row>
    <row r="49" spans="1:18" ht="15.6">
      <c r="A49" s="1814" t="str">
        <f>'Exh D-Governmental  '!A49</f>
        <v>Fund Balances (Deficits) at April 1</v>
      </c>
      <c r="B49" s="1106" t="s">
        <v>15</v>
      </c>
      <c r="C49" s="313">
        <v>7749</v>
      </c>
      <c r="D49" s="1729"/>
      <c r="E49" s="313">
        <v>7749</v>
      </c>
      <c r="F49" s="1729"/>
      <c r="G49" s="272">
        <f>'Exhibit F'!AC14</f>
        <v>7748.6</v>
      </c>
      <c r="H49" s="1729"/>
      <c r="I49" s="279">
        <f>ROUND(SUM(G49-C49),1)</f>
        <v>-0.4</v>
      </c>
      <c r="J49" s="351"/>
      <c r="K49" s="1719">
        <f t="shared" ref="K49" si="3">ROUND(SUM(G49)-SUM(E49),1)</f>
        <v>-0.4</v>
      </c>
      <c r="L49" s="272"/>
      <c r="M49" s="1205"/>
      <c r="N49" s="272"/>
      <c r="O49" s="1205"/>
      <c r="P49" s="279"/>
      <c r="Q49" s="1205"/>
      <c r="R49" s="1205"/>
    </row>
    <row r="50" spans="1:18" ht="18" customHeight="1" thickBot="1">
      <c r="A50" s="373" t="str">
        <f>'Exh D-Governmental  '!A50</f>
        <v>Fund Balances (Deficits) at January 31, 2018</v>
      </c>
      <c r="B50" s="380" t="s">
        <v>15</v>
      </c>
      <c r="C50" s="296">
        <f>ROUND(SUM(C47:C49),1)</f>
        <v>9630</v>
      </c>
      <c r="D50" s="381"/>
      <c r="E50" s="296">
        <f>ROUND(SUM(E47:E49),1)</f>
        <v>14182</v>
      </c>
      <c r="F50" s="381"/>
      <c r="G50" s="2651">
        <f>ROUND(SUM(G47:G49),1)</f>
        <v>14864.1</v>
      </c>
      <c r="H50" s="381"/>
      <c r="I50" s="3341">
        <f>ROUND(SUM(I47:I49),1)</f>
        <v>5234.1000000000004</v>
      </c>
      <c r="J50" s="351"/>
      <c r="K50" s="296">
        <f>ROUND(SUM(K47:K49),1)</f>
        <v>682.1</v>
      </c>
      <c r="L50" s="421"/>
      <c r="M50" s="1810"/>
      <c r="N50" s="421"/>
      <c r="O50" s="1810"/>
      <c r="P50" s="421"/>
    </row>
    <row r="51" spans="1:18" ht="15" customHeight="1" thickTop="1">
      <c r="A51" s="355"/>
      <c r="G51" s="1106"/>
      <c r="J51" s="1106"/>
      <c r="L51" s="1278"/>
      <c r="M51" s="1811"/>
      <c r="N51" s="1811"/>
      <c r="O51" s="1811"/>
      <c r="P51" s="1811"/>
    </row>
    <row r="52" spans="1:18">
      <c r="A52" s="1733" t="s">
        <v>1515</v>
      </c>
      <c r="B52" s="3340"/>
      <c r="C52" s="784"/>
      <c r="M52" s="1106"/>
      <c r="N52" s="1106"/>
      <c r="O52" s="1106"/>
      <c r="P52" s="1106"/>
    </row>
    <row r="53" spans="1:18">
      <c r="A53" s="1733" t="str">
        <f>'Exh D-Governmental  '!A53</f>
        <v>(**)    Source: 2018-19 Executive Budget dated January 17, 2018.</v>
      </c>
      <c r="B53" s="3340"/>
      <c r="C53" s="784"/>
      <c r="M53" s="1106"/>
      <c r="N53" s="1106"/>
      <c r="O53" s="1106"/>
      <c r="P53" s="1106"/>
    </row>
    <row r="54" spans="1:18">
      <c r="A54" s="2675" t="s">
        <v>1498</v>
      </c>
      <c r="M54" s="1106"/>
      <c r="N54" s="1106"/>
      <c r="O54" s="1106"/>
      <c r="P54" s="1106"/>
    </row>
    <row r="55" spans="1:18">
      <c r="A55" s="1749" t="s">
        <v>1476</v>
      </c>
      <c r="M55" s="1106"/>
      <c r="N55" s="1106"/>
      <c r="O55" s="1106"/>
      <c r="P55" s="1106"/>
    </row>
    <row r="56" spans="1:18">
      <c r="A56" s="2675" t="s">
        <v>15</v>
      </c>
      <c r="M56" s="1106"/>
      <c r="N56" s="1106"/>
      <c r="O56" s="1106"/>
      <c r="P56" s="1106"/>
    </row>
    <row r="57" spans="1:18">
      <c r="A57" s="1749"/>
      <c r="M57" s="1106"/>
      <c r="N57" s="1106"/>
      <c r="O57" s="1106"/>
      <c r="P57" s="1106"/>
    </row>
    <row r="58" spans="1:18">
      <c r="M58" s="1106"/>
      <c r="N58" s="1106"/>
      <c r="O58" s="1106"/>
      <c r="P58" s="1106"/>
    </row>
    <row r="59" spans="1:18">
      <c r="A59" s="404"/>
      <c r="M59" s="1106"/>
      <c r="N59" s="1106"/>
      <c r="O59" s="1106"/>
      <c r="P59" s="1106"/>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2018-02-15T19:29:07Z</dcterms:created>
  <dcterms:modified xsi:type="dcterms:W3CDTF">2018-02-15T19:33:53Z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