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2465"/>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  '!$A$3:$A$7</definedName>
    <definedName name="Exh_G_var" localSheetId="18">'Exhibit G'!$A$2:$AL$121</definedName>
    <definedName name="Exh_G_var" localSheetId="20">'Exhibit G Federal'!$A$2:$AL$91</definedName>
    <definedName name="Exh_G_var" localSheetId="19">'Exhibit G State'!$A$2:$AL$120</definedName>
    <definedName name="EXHIBIT_E" localSheetId="14">'EXHIBIT E '!$A$3:$AK$63</definedName>
    <definedName name="EXHIBITA" localSheetId="2">'Exh A Supp'!$A$3:$AC$60</definedName>
    <definedName name="EXHIBITAvar" localSheetId="2">'Exh A Supp'!$A$3:$AC$60</definedName>
    <definedName name="ExhibitB" localSheetId="5">'Exh C'!$A$3:$Q$46</definedName>
    <definedName name="EXHL" localSheetId="40">'Appendix E'!$A$2:$AA$39</definedName>
    <definedName name="EXHL" localSheetId="28">'Exhibit M'!$A$3:$AF$39</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Footnotes!$A$3:$S$78</definedName>
    <definedName name="Page_2" localSheetId="3">Footnotes!#REF!</definedName>
    <definedName name="page1" localSheetId="32">'Sch 4'!$A$3:$J$21</definedName>
    <definedName name="page1" localSheetId="0">'Table of Contents'!$A$1:$J$100</definedName>
    <definedName name="_xlnm.Print_Area" localSheetId="40">'Appendix E'!$A$2:$AA$50</definedName>
    <definedName name="_xlnm.Print_Area" localSheetId="41">'Appendix F'!$A$2:$P$294</definedName>
    <definedName name="_xlnm.Print_Area" localSheetId="42">'Appendix G'!$A$3:$Z$60</definedName>
    <definedName name="_xlnm.Print_Area" localSheetId="43">'Appendix H'!$A$3:$I$66</definedName>
    <definedName name="_xlnm.Print_Area" localSheetId="44">'Appendix I'!$A$3:$I$36</definedName>
    <definedName name="_xlnm.Print_Area" localSheetId="16">'Cash Flow State Operating'!$A$3:$AJ$151</definedName>
    <definedName name="_xlnm.Print_Area" localSheetId="15">'Cashflow Governmental'!$A$3:$AJ$150</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'!$A$3:$AK$63</definedName>
    <definedName name="_xlnm.Print_Area" localSheetId="17">'Exhibit F'!$B$3:$AK$142</definedName>
    <definedName name="_xlnm.Print_Area" localSheetId="18">'Exhibit G'!$B$3:$AL$125</definedName>
    <definedName name="_xlnm.Print_Area" localSheetId="20">'Exhibit G Federal'!$B$2:$AL$94</definedName>
    <definedName name="_xlnm.Print_Area" localSheetId="19">'Exhibit G State'!$B$3:$AL$124</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Footnotes!$A$2:$P$91</definedName>
    <definedName name="_xlnm.Print_Area" localSheetId="36">'HCRA '!$A$3:$Z$63</definedName>
    <definedName name="_xlnm.Print_Area" localSheetId="37">'HCRA PROG DISB'!$A$3:$D$72</definedName>
    <definedName name="_xlnm.Print_Area" localSheetId="39">'Medicaid Disp Share'!$B$2:$O$52</definedName>
    <definedName name="_xlnm.Print_Area" localSheetId="38">'Public Goods '!$A$3:$N$54</definedName>
    <definedName name="_xlnm.Print_Area" localSheetId="29">'Sch 1 '!$A$3:$L$157</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5a'!$B$3:$V$44</definedName>
    <definedName name="_xlnm.Print_Area" localSheetId="35">'Sch 6'!$B$3:$K$37</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'!$A$3:$AK$63</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'!$A$3:$AK$63</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'!$A$3:$AK$63</definedName>
    <definedName name="Z_2EDDD268_430F_4188_94A7_75D3EA1EDF86_.wvu.FilterData" localSheetId="8" hidden="1">'Exh D General Fund  '!$A$3:$A$7</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'!$A$3:$AK$63</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'!$A$3:$AK$63</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  '!$A$3:$A$7</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'!$A$3:$AK$63</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  '!$A$3:$A$7</definedName>
    <definedName name="Z_80876A9A_0E13_4169_8EC2_4642160C38DB_.wvu.PrintArea" localSheetId="1" hidden="1">'Exhibit A'!$A$3:$AI$60</definedName>
    <definedName name="Z_8207DCE3_1947_4DC9_AEB6_962F9248FA86_.wvu.FilterData" localSheetId="8" hidden="1">'Exh D General Fund  '!$A$3:$A$7</definedName>
    <definedName name="Z_83DD2EFE_E2B4_4493_AE5E_10383886EF1B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0A36191_929D_4F7D_8B26_981FD821E1F9_.wvu.FilterData" localSheetId="11" hidden="1">'Exh D Debt Service'!$A$3:$A$7</definedName>
    <definedName name="Z_B0A36191_929D_4F7D_8B26_981FD821E1F9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65C13CB_1FDB_42A7_9DA0_0D5412A3B67E_.wvu.FilterData" localSheetId="8" hidden="1">'Exh D General Fund  '!$A$3:$A$7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'!$A$3:$AK$63</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D5F991D_7DD8_4065_B3F6_F3B7783F8A50_.wvu.FilterData" localSheetId="8" hidden="1">'Exh D General Fund  '!$A$3:$A$7</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2FD86BB_A394_463F_941F_0A78BD2E19E5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'!$A$3:$AK$63</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AL27" i="20" l="1"/>
  <c r="AL27" i="19"/>
  <c r="D61" i="38" l="1"/>
  <c r="D66" i="38" s="1"/>
  <c r="C61" i="38"/>
  <c r="C66" i="38" s="1"/>
  <c r="B61" i="38"/>
  <c r="B66" i="38" s="1"/>
  <c r="D27" i="19" l="1"/>
  <c r="F27" i="19"/>
  <c r="H27" i="19"/>
  <c r="J27" i="19"/>
  <c r="L27" i="19"/>
  <c r="N27" i="19"/>
  <c r="P27" i="19"/>
  <c r="R27" i="19"/>
  <c r="T27" i="19"/>
  <c r="V27" i="19"/>
  <c r="I28" i="45" l="1"/>
  <c r="E28" i="45"/>
  <c r="I57" i="44"/>
  <c r="E57" i="44"/>
  <c r="AG27" i="19" l="1"/>
  <c r="X27" i="20"/>
  <c r="X27" i="19" s="1"/>
  <c r="AD27" i="19" s="1"/>
  <c r="AJ27" i="20"/>
  <c r="L43" i="40"/>
  <c r="L36" i="40"/>
  <c r="L22" i="40"/>
  <c r="L16" i="40"/>
  <c r="K47" i="39"/>
  <c r="K38" i="39"/>
  <c r="K28" i="39"/>
  <c r="K22" i="39"/>
  <c r="AJ27" i="19" l="1"/>
  <c r="K30" i="39"/>
  <c r="K50" i="39" s="1"/>
  <c r="L24" i="40"/>
  <c r="L46" i="40" s="1"/>
  <c r="G35" i="44"/>
  <c r="C35" i="44"/>
  <c r="I54" i="44"/>
  <c r="I53" i="44"/>
  <c r="E54" i="44"/>
  <c r="E53" i="44"/>
  <c r="G14" i="45"/>
  <c r="C14" i="45"/>
  <c r="I25" i="45"/>
  <c r="E25" i="45"/>
  <c r="H23" i="45" l="1"/>
  <c r="G23" i="45"/>
  <c r="C23" i="45"/>
  <c r="G18" i="45"/>
  <c r="C18" i="45"/>
  <c r="G15" i="45"/>
  <c r="G19" i="45"/>
  <c r="C19" i="45"/>
  <c r="G24" i="45"/>
  <c r="C24" i="45"/>
  <c r="H12" i="45"/>
  <c r="G12" i="45"/>
  <c r="G41" i="44" l="1"/>
  <c r="I36" i="44"/>
  <c r="E36" i="44"/>
  <c r="G40" i="44"/>
  <c r="C40" i="44"/>
  <c r="G46" i="44"/>
  <c r="C46" i="44"/>
  <c r="I52" i="44"/>
  <c r="E52" i="44"/>
  <c r="I51" i="44"/>
  <c r="E51" i="44"/>
  <c r="D45" i="44"/>
  <c r="D55" i="44" s="1"/>
  <c r="C45" i="44"/>
  <c r="G39" i="44"/>
  <c r="C39" i="44"/>
  <c r="G37" i="44"/>
  <c r="C37" i="44"/>
  <c r="C55" i="44" l="1"/>
  <c r="H14" i="44"/>
  <c r="H55" i="44" s="1"/>
  <c r="G14" i="44"/>
  <c r="G55" i="44" s="1"/>
  <c r="W40" i="41" l="1"/>
  <c r="V19" i="37" l="1"/>
  <c r="AC9" i="21"/>
  <c r="W20" i="23"/>
  <c r="W21" i="23"/>
  <c r="W22" i="23"/>
  <c r="W25" i="23"/>
  <c r="W26" i="23"/>
  <c r="W27" i="23"/>
  <c r="W30" i="23"/>
  <c r="W37" i="23"/>
  <c r="W39" i="23"/>
  <c r="W41" i="23"/>
  <c r="W42" i="23"/>
  <c r="W43" i="23"/>
  <c r="W44" i="23"/>
  <c r="W45" i="23"/>
  <c r="W46" i="23"/>
  <c r="W48" i="23"/>
  <c r="W49" i="23"/>
  <c r="W50" i="23"/>
  <c r="W51" i="23"/>
  <c r="W52" i="23"/>
  <c r="W54" i="23"/>
  <c r="W55" i="23"/>
  <c r="W56" i="23"/>
  <c r="W57" i="23"/>
  <c r="W58" i="23"/>
  <c r="W59" i="23"/>
  <c r="W60" i="23"/>
  <c r="W63" i="23"/>
  <c r="W69" i="23"/>
  <c r="W70" i="23"/>
  <c r="W71" i="23"/>
  <c r="W73" i="23"/>
  <c r="W74" i="23"/>
  <c r="W75" i="23"/>
  <c r="W76" i="23"/>
  <c r="W77" i="23"/>
  <c r="W78" i="23"/>
  <c r="W81" i="23"/>
  <c r="W82" i="23"/>
  <c r="W83" i="23"/>
  <c r="W84" i="23"/>
  <c r="W92" i="23"/>
  <c r="W93" i="23"/>
  <c r="W94" i="23"/>
  <c r="W138" i="16"/>
  <c r="B33" i="6"/>
  <c r="V17" i="37" l="1"/>
  <c r="S39" i="16"/>
  <c r="S39" i="17"/>
  <c r="AJ36" i="15" l="1"/>
  <c r="U39" i="16" l="1"/>
  <c r="U39" i="17"/>
  <c r="H26" i="45"/>
  <c r="G26" i="45"/>
  <c r="G30" i="45" s="1"/>
  <c r="D26" i="45"/>
  <c r="C26" i="45"/>
  <c r="C30" i="45" s="1"/>
  <c r="C59" i="44"/>
  <c r="U138" i="16" l="1"/>
  <c r="V71" i="19" l="1"/>
  <c r="U95" i="16" s="1"/>
  <c r="U95" i="17"/>
  <c r="H30" i="45"/>
  <c r="D30" i="45"/>
  <c r="I24" i="45"/>
  <c r="E24" i="45"/>
  <c r="I23" i="45"/>
  <c r="E23" i="45"/>
  <c r="I22" i="45"/>
  <c r="E22" i="45"/>
  <c r="I21" i="45"/>
  <c r="E21" i="45"/>
  <c r="I20" i="45"/>
  <c r="E20" i="45"/>
  <c r="I19" i="45"/>
  <c r="E19" i="45"/>
  <c r="I18" i="45"/>
  <c r="E18" i="45"/>
  <c r="I17" i="45"/>
  <c r="E17" i="45"/>
  <c r="I16" i="45"/>
  <c r="E16" i="45"/>
  <c r="I15" i="45"/>
  <c r="E15" i="45"/>
  <c r="I14" i="45"/>
  <c r="E14" i="45"/>
  <c r="I13" i="45"/>
  <c r="E13" i="45"/>
  <c r="E12" i="45"/>
  <c r="I11" i="45"/>
  <c r="E11" i="45"/>
  <c r="E26" i="45" l="1"/>
  <c r="E30" i="45" s="1"/>
  <c r="I12" i="45"/>
  <c r="I26" i="45" s="1"/>
  <c r="H59" i="44"/>
  <c r="G59" i="44"/>
  <c r="D59" i="44"/>
  <c r="I50" i="44"/>
  <c r="E50" i="44"/>
  <c r="I49" i="44"/>
  <c r="E49" i="44"/>
  <c r="I48" i="44"/>
  <c r="E48" i="44"/>
  <c r="I47" i="44"/>
  <c r="E47" i="44"/>
  <c r="I46" i="44"/>
  <c r="E46" i="44"/>
  <c r="I45" i="44"/>
  <c r="E45" i="44"/>
  <c r="I44" i="44"/>
  <c r="E44" i="44"/>
  <c r="I43" i="44"/>
  <c r="E43" i="44"/>
  <c r="I42" i="44"/>
  <c r="E42" i="44"/>
  <c r="I41" i="44"/>
  <c r="E41" i="44"/>
  <c r="I40" i="44"/>
  <c r="E40" i="44"/>
  <c r="I39" i="44"/>
  <c r="E39" i="44"/>
  <c r="I38" i="44"/>
  <c r="E38" i="44"/>
  <c r="I37" i="44"/>
  <c r="E37" i="44"/>
  <c r="I35" i="44"/>
  <c r="E35" i="44"/>
  <c r="I34" i="44"/>
  <c r="E34" i="44"/>
  <c r="I33" i="44"/>
  <c r="E33" i="44"/>
  <c r="I32" i="44"/>
  <c r="E32" i="44"/>
  <c r="I31" i="44"/>
  <c r="E31" i="44"/>
  <c r="I30" i="44"/>
  <c r="E30" i="44"/>
  <c r="I29" i="44"/>
  <c r="E29" i="44"/>
  <c r="I28" i="44"/>
  <c r="E28" i="44"/>
  <c r="I27" i="44"/>
  <c r="E27" i="44"/>
  <c r="I26" i="44"/>
  <c r="E26" i="44"/>
  <c r="I25" i="44"/>
  <c r="E25" i="44"/>
  <c r="I24" i="44"/>
  <c r="E24" i="44"/>
  <c r="I23" i="44"/>
  <c r="E23" i="44"/>
  <c r="I22" i="44"/>
  <c r="E22" i="44"/>
  <c r="I21" i="44"/>
  <c r="E21" i="44"/>
  <c r="I20" i="44"/>
  <c r="E20" i="44"/>
  <c r="I19" i="44"/>
  <c r="E19" i="44"/>
  <c r="I18" i="44"/>
  <c r="E18" i="44"/>
  <c r="I17" i="44"/>
  <c r="E17" i="44"/>
  <c r="I16" i="44"/>
  <c r="E16" i="44"/>
  <c r="I15" i="44"/>
  <c r="E15" i="44"/>
  <c r="I14" i="44"/>
  <c r="E14" i="44"/>
  <c r="I13" i="44"/>
  <c r="E13" i="44"/>
  <c r="I12" i="44"/>
  <c r="E12" i="44"/>
  <c r="I11" i="44"/>
  <c r="E11" i="44"/>
  <c r="I55" i="44" l="1"/>
  <c r="E55" i="44"/>
  <c r="E59" i="44" s="1"/>
  <c r="I30" i="45"/>
  <c r="X39" i="18"/>
  <c r="D41" i="15" s="1"/>
  <c r="X75" i="18"/>
  <c r="X126" i="18"/>
  <c r="X21" i="18"/>
  <c r="W25" i="17" s="1"/>
  <c r="V23" i="22"/>
  <c r="L55" i="15" s="1"/>
  <c r="X101" i="18"/>
  <c r="D24" i="2" s="1"/>
  <c r="X83" i="18"/>
  <c r="V47" i="22"/>
  <c r="L19" i="2" s="1"/>
  <c r="X125" i="18"/>
  <c r="X47" i="18"/>
  <c r="V39" i="22"/>
  <c r="S40" i="16"/>
  <c r="S40" i="17"/>
  <c r="R71" i="19"/>
  <c r="P71" i="19"/>
  <c r="N71" i="19"/>
  <c r="L71" i="19"/>
  <c r="J71" i="19"/>
  <c r="H71" i="19"/>
  <c r="F71" i="19"/>
  <c r="D71" i="19"/>
  <c r="I59" i="44" l="1"/>
  <c r="V22" i="28"/>
  <c r="B23" i="6" s="1"/>
  <c r="V16" i="28"/>
  <c r="B18" i="6" s="1"/>
  <c r="D20" i="15"/>
  <c r="W25" i="16"/>
  <c r="W52" i="16"/>
  <c r="D50" i="15"/>
  <c r="W52" i="17"/>
  <c r="I47" i="39"/>
  <c r="I38" i="39"/>
  <c r="I28" i="39"/>
  <c r="I22" i="39"/>
  <c r="I30" i="39" l="1"/>
  <c r="I50" i="39" s="1"/>
  <c r="X35" i="20" l="1"/>
  <c r="X35" i="19" s="1"/>
  <c r="H45" i="15" s="1"/>
  <c r="X91" i="20"/>
  <c r="X32" i="21"/>
  <c r="Y65" i="25"/>
  <c r="Y43" i="24"/>
  <c r="X55" i="20"/>
  <c r="Y44" i="24"/>
  <c r="Y73" i="24"/>
  <c r="Y74" i="25"/>
  <c r="Y56" i="25"/>
  <c r="Y83" i="24"/>
  <c r="X50" i="20"/>
  <c r="X68" i="21"/>
  <c r="Y93" i="24"/>
  <c r="X96" i="20"/>
  <c r="H32" i="3" s="1"/>
  <c r="Y92" i="24"/>
  <c r="X112" i="20"/>
  <c r="H49" i="3" s="1"/>
  <c r="X61" i="21"/>
  <c r="T71" i="19"/>
  <c r="S138" i="16"/>
  <c r="Y94" i="23" l="1"/>
  <c r="P50" i="2" s="1"/>
  <c r="V22" i="22"/>
  <c r="L52" i="15" s="1"/>
  <c r="W32" i="26"/>
  <c r="B28" i="5" s="1"/>
  <c r="Y84" i="23"/>
  <c r="P41" i="2" s="1"/>
  <c r="H27" i="3"/>
  <c r="U52" i="16"/>
  <c r="U52" i="17" l="1"/>
  <c r="Z22" i="43"/>
  <c r="J43" i="40" l="1"/>
  <c r="J36" i="40"/>
  <c r="J22" i="40"/>
  <c r="J16" i="40"/>
  <c r="J24" i="40" l="1"/>
  <c r="J46" i="40" s="1"/>
  <c r="S23" i="16" l="1"/>
  <c r="S23" i="17"/>
  <c r="Z15" i="43"/>
  <c r="Z26" i="43"/>
  <c r="P99" i="20"/>
  <c r="P106" i="20" s="1"/>
  <c r="P115" i="20"/>
  <c r="Q138" i="16"/>
  <c r="Q12" i="34" l="1"/>
  <c r="E65" i="34" l="1"/>
  <c r="M21" i="17"/>
  <c r="M22" i="17"/>
  <c r="M23" i="17"/>
  <c r="M24" i="17"/>
  <c r="M25" i="17"/>
  <c r="O138" i="16"/>
  <c r="S129" i="17" l="1"/>
  <c r="T22" i="19"/>
  <c r="B6" i="24"/>
  <c r="S129" i="16" l="1"/>
  <c r="T23" i="19"/>
  <c r="S35" i="17"/>
  <c r="N15" i="39"/>
  <c r="Z30" i="43"/>
  <c r="S35" i="16" l="1"/>
  <c r="M30" i="41"/>
  <c r="X69" i="18" l="1"/>
  <c r="X22" i="20"/>
  <c r="X22" i="19" s="1"/>
  <c r="H30" i="15" s="1"/>
  <c r="V18" i="37"/>
  <c r="Y59" i="25"/>
  <c r="V15" i="37"/>
  <c r="Y44" i="25"/>
  <c r="Y54" i="24"/>
  <c r="X89" i="18"/>
  <c r="Y40" i="24"/>
  <c r="X98" i="20"/>
  <c r="H34" i="3" s="1"/>
  <c r="Q65" i="17"/>
  <c r="K30" i="41"/>
  <c r="Q52" i="17" l="1"/>
  <c r="Q52" i="16"/>
  <c r="H43" i="40"/>
  <c r="H36" i="40"/>
  <c r="H22" i="40"/>
  <c r="H16" i="40"/>
  <c r="G47" i="39"/>
  <c r="G38" i="39"/>
  <c r="G28" i="39"/>
  <c r="G22" i="39"/>
  <c r="Q24" i="16" l="1"/>
  <c r="Q24" i="17"/>
  <c r="H24" i="40"/>
  <c r="H46" i="40" s="1"/>
  <c r="G30" i="39"/>
  <c r="G50" i="39" s="1"/>
  <c r="I107" i="17" l="1"/>
  <c r="I113" i="17"/>
  <c r="I114" i="17"/>
  <c r="I115" i="17"/>
  <c r="I117" i="17"/>
  <c r="I118" i="17"/>
  <c r="I119" i="17"/>
  <c r="I120" i="17"/>
  <c r="I121" i="17"/>
  <c r="I122" i="17"/>
  <c r="I125" i="17"/>
  <c r="I126" i="17"/>
  <c r="I127" i="17"/>
  <c r="I129" i="17"/>
  <c r="I130" i="17"/>
  <c r="I138" i="17"/>
  <c r="I139" i="17"/>
  <c r="P32" i="19" l="1"/>
  <c r="O53" i="17"/>
  <c r="O65" i="17"/>
  <c r="I141" i="17"/>
  <c r="I123" i="17"/>
  <c r="I132" i="17" s="1"/>
  <c r="A52" i="8"/>
  <c r="A53" i="9" s="1"/>
  <c r="A44" i="10" s="1"/>
  <c r="A44" i="11" s="1"/>
  <c r="A42" i="12" s="1"/>
  <c r="A43" i="13" s="1"/>
  <c r="A43" i="14" s="1"/>
  <c r="O53" i="16" l="1"/>
  <c r="E57" i="17"/>
  <c r="O42" i="40" l="1"/>
  <c r="I138" i="16" l="1"/>
  <c r="S52" i="17" l="1"/>
  <c r="S52" i="16"/>
  <c r="S57" i="16"/>
  <c r="S57" i="17"/>
  <c r="O52" i="23"/>
  <c r="J56" i="15"/>
  <c r="H56" i="15"/>
  <c r="X24" i="22" l="1"/>
  <c r="V24" i="22"/>
  <c r="L17" i="2" s="1"/>
  <c r="R24" i="22"/>
  <c r="D24" i="22"/>
  <c r="B24" i="22"/>
  <c r="AE130" i="17"/>
  <c r="AJ130" i="17" s="1"/>
  <c r="E130" i="17"/>
  <c r="C130" i="17"/>
  <c r="E28" i="17"/>
  <c r="V22" i="19" l="1"/>
  <c r="U25" i="17"/>
  <c r="R24" i="19"/>
  <c r="E28" i="16"/>
  <c r="U25" i="16" l="1"/>
  <c r="U35" i="17"/>
  <c r="V23" i="19"/>
  <c r="E57" i="16"/>
  <c r="C57" i="16"/>
  <c r="AI23" i="22"/>
  <c r="U35" i="16" l="1"/>
  <c r="L75" i="19"/>
  <c r="AE57" i="16"/>
  <c r="Y58" i="16"/>
  <c r="AE57" i="17"/>
  <c r="AJ57" i="17" s="1"/>
  <c r="Y58" i="17"/>
  <c r="C57" i="17"/>
  <c r="X128" i="18" l="1"/>
  <c r="K52" i="17"/>
  <c r="K52" i="16"/>
  <c r="K28" i="17"/>
  <c r="K28" i="16"/>
  <c r="AJ57" i="16"/>
  <c r="AD55" i="15"/>
  <c r="AJ55" i="15" s="1"/>
  <c r="Z53" i="18"/>
  <c r="F53" i="18"/>
  <c r="D53" i="18"/>
  <c r="AK52" i="18"/>
  <c r="X66" i="20" l="1"/>
  <c r="X131" i="18"/>
  <c r="V40" i="37"/>
  <c r="Y54" i="25"/>
  <c r="Y73" i="23" s="1"/>
  <c r="P28" i="2" s="1"/>
  <c r="X40" i="18"/>
  <c r="D42" i="15" s="1"/>
  <c r="AG113" i="19"/>
  <c r="AG112" i="19"/>
  <c r="V27" i="27"/>
  <c r="F27" i="5" s="1"/>
  <c r="Y29" i="24"/>
  <c r="Y30" i="23" s="1"/>
  <c r="P52" i="15" s="1"/>
  <c r="X59" i="18"/>
  <c r="X28" i="20"/>
  <c r="X28" i="19" s="1"/>
  <c r="H37" i="15" s="1"/>
  <c r="V65" i="22"/>
  <c r="L50" i="2" s="1"/>
  <c r="X36" i="21"/>
  <c r="X44" i="21"/>
  <c r="X21" i="20"/>
  <c r="X21" i="19" s="1"/>
  <c r="H29" i="15" s="1"/>
  <c r="X51" i="18"/>
  <c r="X113" i="18"/>
  <c r="D36" i="2" s="1"/>
  <c r="Y72" i="24"/>
  <c r="X129" i="18"/>
  <c r="X66" i="21"/>
  <c r="X46" i="18"/>
  <c r="X19" i="21"/>
  <c r="X107" i="18"/>
  <c r="D30" i="2" s="1"/>
  <c r="X57" i="20"/>
  <c r="W81" i="17" s="1"/>
  <c r="Y30" i="25"/>
  <c r="V17" i="27"/>
  <c r="F18" i="5" s="1"/>
  <c r="Y25" i="24"/>
  <c r="Y26" i="23" s="1"/>
  <c r="P42" i="15" s="1"/>
  <c r="Y38" i="24"/>
  <c r="Y51" i="24"/>
  <c r="X80" i="18"/>
  <c r="X20" i="20"/>
  <c r="X20" i="19" s="1"/>
  <c r="H28" i="15" s="1"/>
  <c r="Y56" i="24"/>
  <c r="Y57" i="23" s="1"/>
  <c r="X42" i="20"/>
  <c r="X130" i="18"/>
  <c r="X63" i="18"/>
  <c r="X21" i="21"/>
  <c r="X52" i="20"/>
  <c r="X34" i="21"/>
  <c r="Y75" i="24"/>
  <c r="X36" i="18"/>
  <c r="D37" i="15" s="1"/>
  <c r="Y24" i="24"/>
  <c r="Y25" i="23" s="1"/>
  <c r="P41" i="15" s="1"/>
  <c r="Y52" i="25"/>
  <c r="Y19" i="25"/>
  <c r="V53" i="22"/>
  <c r="L37" i="2" s="1"/>
  <c r="V40" i="22"/>
  <c r="X54" i="21"/>
  <c r="X34" i="18"/>
  <c r="AI34" i="18"/>
  <c r="F35" i="15"/>
  <c r="X35" i="15" s="1"/>
  <c r="W31" i="26"/>
  <c r="B27" i="5" s="1"/>
  <c r="V64" i="22"/>
  <c r="L49" i="2" s="1"/>
  <c r="V30" i="22"/>
  <c r="Y63" i="25"/>
  <c r="Y34" i="25"/>
  <c r="Y20" i="24"/>
  <c r="Y21" i="23" s="1"/>
  <c r="P32" i="15" s="1"/>
  <c r="X47" i="21"/>
  <c r="X76" i="19" s="1"/>
  <c r="Y57" i="25"/>
  <c r="X41" i="18"/>
  <c r="X97" i="20"/>
  <c r="X97" i="19" s="1"/>
  <c r="H32" i="2" s="1"/>
  <c r="V16" i="29"/>
  <c r="F18" i="6" s="1"/>
  <c r="X23" i="21"/>
  <c r="X42" i="18"/>
  <c r="Y19" i="24"/>
  <c r="Y20" i="23" s="1"/>
  <c r="P29" i="15" s="1"/>
  <c r="X79" i="20"/>
  <c r="W103" i="17" s="1"/>
  <c r="X62" i="20"/>
  <c r="X71" i="20"/>
  <c r="X77" i="20"/>
  <c r="X64" i="21"/>
  <c r="W21" i="26"/>
  <c r="B20" i="5" s="1"/>
  <c r="Y80" i="24"/>
  <c r="Y91" i="24"/>
  <c r="Y40" i="25"/>
  <c r="Y59" i="23" s="1"/>
  <c r="X17" i="18"/>
  <c r="Y50" i="25"/>
  <c r="X26" i="21"/>
  <c r="X50" i="19" s="1"/>
  <c r="X60" i="21"/>
  <c r="X89" i="19" s="1"/>
  <c r="H24" i="2" s="1"/>
  <c r="X71" i="18"/>
  <c r="X81" i="18"/>
  <c r="X72" i="18"/>
  <c r="X54" i="20"/>
  <c r="W78" i="17" s="1"/>
  <c r="X63" i="20"/>
  <c r="X85" i="18"/>
  <c r="Y21" i="24"/>
  <c r="Y22" i="23" s="1"/>
  <c r="P34" i="15" s="1"/>
  <c r="V32" i="22"/>
  <c r="W72" i="16" s="1"/>
  <c r="V43" i="22"/>
  <c r="X74" i="21"/>
  <c r="Y51" i="25"/>
  <c r="V38" i="22"/>
  <c r="V24" i="28"/>
  <c r="B25" i="6" s="1"/>
  <c r="Y57" i="24"/>
  <c r="X17" i="20"/>
  <c r="X17" i="19" s="1"/>
  <c r="H14" i="2" s="1"/>
  <c r="X23" i="20"/>
  <c r="X68" i="18"/>
  <c r="Y32" i="25"/>
  <c r="Y33" i="25"/>
  <c r="Y76" i="24"/>
  <c r="X45" i="21"/>
  <c r="Y36" i="24"/>
  <c r="V40" i="27"/>
  <c r="F36" i="5" s="1"/>
  <c r="X38" i="21"/>
  <c r="X66" i="19" s="1"/>
  <c r="X18" i="18"/>
  <c r="W20" i="26"/>
  <c r="B19" i="5" s="1"/>
  <c r="V36" i="22"/>
  <c r="X60" i="20"/>
  <c r="X60" i="19" s="1"/>
  <c r="Y36" i="25"/>
  <c r="X24" i="18"/>
  <c r="D23" i="15" s="1"/>
  <c r="X86" i="18"/>
  <c r="X102" i="20"/>
  <c r="H38" i="3" s="1"/>
  <c r="Y73" i="25"/>
  <c r="Y93" i="23" s="1"/>
  <c r="P49" i="2" s="1"/>
  <c r="X65" i="18"/>
  <c r="X83" i="20"/>
  <c r="V34" i="22"/>
  <c r="X67" i="21"/>
  <c r="X96" i="19" s="1"/>
  <c r="H31" i="2" s="1"/>
  <c r="X64" i="18"/>
  <c r="Y41" i="25"/>
  <c r="Y24" i="25"/>
  <c r="Y42" i="23" s="1"/>
  <c r="V23" i="29"/>
  <c r="F24" i="6" s="1"/>
  <c r="Y48" i="24"/>
  <c r="X35" i="18"/>
  <c r="W40" i="16" s="1"/>
  <c r="X65" i="20"/>
  <c r="X64" i="20"/>
  <c r="X64" i="19" s="1"/>
  <c r="X110" i="18"/>
  <c r="X78" i="20"/>
  <c r="X31" i="18"/>
  <c r="D32" i="15" s="1"/>
  <c r="X83" i="21"/>
  <c r="X112" i="19" s="1"/>
  <c r="H49" i="2" s="1"/>
  <c r="X62" i="18"/>
  <c r="X74" i="18"/>
  <c r="Y62" i="25"/>
  <c r="X51" i="21"/>
  <c r="X23" i="18"/>
  <c r="W45" i="26"/>
  <c r="B36" i="5" s="1"/>
  <c r="X77" i="18"/>
  <c r="W87" i="17" s="1"/>
  <c r="X28" i="18"/>
  <c r="D28" i="15" s="1"/>
  <c r="V19" i="22"/>
  <c r="L28" i="15" s="1"/>
  <c r="V35" i="22"/>
  <c r="W76" i="17" s="1"/>
  <c r="X33" i="20"/>
  <c r="X33" i="19" s="1"/>
  <c r="H43" i="15" s="1"/>
  <c r="X20" i="18"/>
  <c r="W24" i="16" s="1"/>
  <c r="X53" i="20"/>
  <c r="X95" i="20"/>
  <c r="H31" i="3" s="1"/>
  <c r="X106" i="18"/>
  <c r="D29" i="2" s="1"/>
  <c r="X124" i="18"/>
  <c r="X52" i="18"/>
  <c r="Y37" i="25"/>
  <c r="Y55" i="23" s="1"/>
  <c r="V22" i="29"/>
  <c r="F23" i="6" s="1"/>
  <c r="X103" i="18"/>
  <c r="V31" i="28"/>
  <c r="B32" i="6" s="1"/>
  <c r="X69" i="20"/>
  <c r="X90" i="18"/>
  <c r="W101" i="17" s="1"/>
  <c r="AE39" i="16"/>
  <c r="AE39" i="17"/>
  <c r="AJ39" i="17" s="1"/>
  <c r="AK34" i="18"/>
  <c r="X70" i="18"/>
  <c r="V23" i="28"/>
  <c r="B24" i="6" s="1"/>
  <c r="X50" i="21"/>
  <c r="Y64" i="25"/>
  <c r="Y55" i="24"/>
  <c r="X94" i="20"/>
  <c r="H30" i="3" s="1"/>
  <c r="X88" i="18"/>
  <c r="X34" i="20"/>
  <c r="X34" i="19" s="1"/>
  <c r="H44" i="15" s="1"/>
  <c r="Y62" i="24"/>
  <c r="Y63" i="23" s="1"/>
  <c r="P19" i="2" s="1"/>
  <c r="X46" i="21"/>
  <c r="X28" i="21"/>
  <c r="X76" i="20"/>
  <c r="W100" i="17" s="1"/>
  <c r="X80" i="20"/>
  <c r="W104" i="17" s="1"/>
  <c r="X44" i="20"/>
  <c r="Y28" i="25"/>
  <c r="X33" i="18"/>
  <c r="D34" i="15" s="1"/>
  <c r="X49" i="21"/>
  <c r="X31" i="21"/>
  <c r="X55" i="19" s="1"/>
  <c r="Y26" i="24"/>
  <c r="Y27" i="23" s="1"/>
  <c r="P45" i="15" s="1"/>
  <c r="X73" i="20"/>
  <c r="X73" i="19" s="1"/>
  <c r="X35" i="21"/>
  <c r="X63" i="19" s="1"/>
  <c r="W87" i="16" s="1"/>
  <c r="Y41" i="24"/>
  <c r="Y53" i="24"/>
  <c r="V42" i="22"/>
  <c r="X24" i="20"/>
  <c r="X24" i="19" s="1"/>
  <c r="H32" i="15" s="1"/>
  <c r="V37" i="22"/>
  <c r="X25" i="20"/>
  <c r="X25" i="19" s="1"/>
  <c r="H33" i="15" s="1"/>
  <c r="X90" i="20"/>
  <c r="X90" i="19" s="1"/>
  <c r="H25" i="2" s="1"/>
  <c r="X48" i="18"/>
  <c r="W53" i="17" s="1"/>
  <c r="X51" i="20"/>
  <c r="X39" i="21"/>
  <c r="X31" i="20"/>
  <c r="W44" i="17" s="1"/>
  <c r="X101" i="20"/>
  <c r="X101" i="19" s="1"/>
  <c r="X102" i="18"/>
  <c r="D25" i="2" s="1"/>
  <c r="X95" i="18"/>
  <c r="D19" i="2" s="1"/>
  <c r="W29" i="26"/>
  <c r="B25" i="5" s="1"/>
  <c r="X115" i="18"/>
  <c r="W127" i="17" s="1"/>
  <c r="Y47" i="24"/>
  <c r="Y27" i="25"/>
  <c r="Y45" i="23" s="1"/>
  <c r="X73" i="18"/>
  <c r="X79" i="18"/>
  <c r="W89" i="17" s="1"/>
  <c r="X92" i="18"/>
  <c r="Y50" i="24"/>
  <c r="Y49" i="24"/>
  <c r="Y50" i="23" s="1"/>
  <c r="X41" i="21"/>
  <c r="Y81" i="24"/>
  <c r="V33" i="22"/>
  <c r="W74" i="17" s="1"/>
  <c r="W30" i="26"/>
  <c r="B26" i="5" s="1"/>
  <c r="X32" i="18"/>
  <c r="D33" i="15" s="1"/>
  <c r="Y58" i="25"/>
  <c r="W44" i="26"/>
  <c r="B35" i="5" s="1"/>
  <c r="V31" i="29"/>
  <c r="F32" i="6" s="1"/>
  <c r="X78" i="18"/>
  <c r="W88" i="17" s="1"/>
  <c r="X75" i="20"/>
  <c r="X29" i="18"/>
  <c r="X62" i="21"/>
  <c r="X91" i="19" s="1"/>
  <c r="H26" i="2" s="1"/>
  <c r="Y70" i="24"/>
  <c r="Y71" i="23" s="1"/>
  <c r="P26" i="2" s="1"/>
  <c r="X37" i="21"/>
  <c r="X69" i="21"/>
  <c r="X98" i="19" s="1"/>
  <c r="H33" i="2" s="1"/>
  <c r="X45" i="20"/>
  <c r="W68" i="17" s="1"/>
  <c r="V32" i="28"/>
  <c r="X47" i="20"/>
  <c r="X113" i="20"/>
  <c r="H50" i="3" s="1"/>
  <c r="V26" i="27"/>
  <c r="F26" i="5" s="1"/>
  <c r="X43" i="18"/>
  <c r="W48" i="16" s="1"/>
  <c r="X22" i="21"/>
  <c r="X30" i="18"/>
  <c r="X91" i="18"/>
  <c r="W102" i="17" s="1"/>
  <c r="X73" i="21"/>
  <c r="X102" i="19" s="1"/>
  <c r="X89" i="20"/>
  <c r="H25" i="3" s="1"/>
  <c r="X114" i="18"/>
  <c r="X103" i="20"/>
  <c r="V22" i="37"/>
  <c r="V39" i="27"/>
  <c r="F35" i="5" s="1"/>
  <c r="X26" i="20"/>
  <c r="X26" i="19" s="1"/>
  <c r="H34" i="15" s="1"/>
  <c r="Y42" i="24"/>
  <c r="Y39" i="25"/>
  <c r="Y58" i="23" s="1"/>
  <c r="Y82" i="24"/>
  <c r="Y58" i="24"/>
  <c r="X67" i="20"/>
  <c r="W91" i="17" s="1"/>
  <c r="X27" i="21"/>
  <c r="X51" i="19" s="1"/>
  <c r="W75" i="16" s="1"/>
  <c r="X67" i="18"/>
  <c r="V16" i="22"/>
  <c r="L23" i="15" s="1"/>
  <c r="Y74" i="24"/>
  <c r="Y75" i="23" s="1"/>
  <c r="P30" i="2" s="1"/>
  <c r="V24" i="29"/>
  <c r="F25" i="6" s="1"/>
  <c r="Y45" i="24"/>
  <c r="X104" i="20"/>
  <c r="X49" i="20"/>
  <c r="W73" i="17" s="1"/>
  <c r="X74" i="20"/>
  <c r="X74" i="19" s="1"/>
  <c r="Y59" i="24"/>
  <c r="Y69" i="24"/>
  <c r="Y26" i="25"/>
  <c r="Y44" i="23" s="1"/>
  <c r="X46" i="20"/>
  <c r="X46" i="19" s="1"/>
  <c r="W69" i="16" s="1"/>
  <c r="X84" i="21"/>
  <c r="Y31" i="25"/>
  <c r="X60" i="18"/>
  <c r="W65" i="17" s="1"/>
  <c r="Y38" i="25"/>
  <c r="X24" i="21"/>
  <c r="X109" i="18"/>
  <c r="Y23" i="25"/>
  <c r="Y41" i="23" s="1"/>
  <c r="V25" i="27"/>
  <c r="F25" i="5" s="1"/>
  <c r="X105" i="18"/>
  <c r="D28" i="2" s="1"/>
  <c r="X32" i="20"/>
  <c r="X32" i="19" s="1"/>
  <c r="X59" i="20"/>
  <c r="X43" i="21"/>
  <c r="X50" i="18"/>
  <c r="D53" i="15" s="1"/>
  <c r="X48" i="21"/>
  <c r="X72" i="21"/>
  <c r="X30" i="21"/>
  <c r="X54" i="19" s="1"/>
  <c r="W78" i="16" s="1"/>
  <c r="Y77" i="24"/>
  <c r="Y78" i="23" s="1"/>
  <c r="P33" i="2" s="1"/>
  <c r="X75" i="21"/>
  <c r="V55" i="22"/>
  <c r="W129" i="17" s="1"/>
  <c r="X87" i="18"/>
  <c r="W98" i="17" s="1"/>
  <c r="W19" i="26"/>
  <c r="B18" i="5" s="1"/>
  <c r="V32" i="29"/>
  <c r="F33" i="6" s="1"/>
  <c r="X19" i="18"/>
  <c r="D18" i="15" s="1"/>
  <c r="Y55" i="25"/>
  <c r="Y74" i="23" s="1"/>
  <c r="P29" i="2" s="1"/>
  <c r="X84" i="18"/>
  <c r="X108" i="18"/>
  <c r="X58" i="20"/>
  <c r="X29" i="21"/>
  <c r="X53" i="19" s="1"/>
  <c r="X42" i="21"/>
  <c r="X49" i="18"/>
  <c r="W54" i="17" s="1"/>
  <c r="Y25" i="25"/>
  <c r="Y43" i="23" s="1"/>
  <c r="X65" i="21"/>
  <c r="X94" i="19" s="1"/>
  <c r="Y21" i="25"/>
  <c r="X72" i="20"/>
  <c r="X25" i="18"/>
  <c r="W29" i="17" s="1"/>
  <c r="X93" i="20"/>
  <c r="W117" i="17" s="1"/>
  <c r="V44" i="22"/>
  <c r="Y68" i="24"/>
  <c r="W33" i="16"/>
  <c r="Y54" i="23"/>
  <c r="Y48" i="23"/>
  <c r="W64" i="17"/>
  <c r="X31" i="19"/>
  <c r="H41" i="15" s="1"/>
  <c r="X75" i="19"/>
  <c r="D19" i="15"/>
  <c r="W90" i="17"/>
  <c r="W67" i="17"/>
  <c r="W113" i="17"/>
  <c r="W23" i="17"/>
  <c r="W34" i="26"/>
  <c r="Y69" i="23"/>
  <c r="P24" i="2" s="1"/>
  <c r="D37" i="2"/>
  <c r="D22" i="15"/>
  <c r="W40" i="17"/>
  <c r="D36" i="15"/>
  <c r="W55" i="16"/>
  <c r="D43" i="15"/>
  <c r="Y92" i="23"/>
  <c r="P48" i="2" s="1"/>
  <c r="W95" i="17"/>
  <c r="X71" i="19"/>
  <c r="D50" i="2"/>
  <c r="W24" i="17"/>
  <c r="W54" i="16"/>
  <c r="D52" i="15"/>
  <c r="L40" i="2"/>
  <c r="D29" i="15"/>
  <c r="W33" i="17"/>
  <c r="W99" i="17"/>
  <c r="AD35" i="15"/>
  <c r="AJ39" i="16"/>
  <c r="Y82" i="23"/>
  <c r="P37" i="2" s="1"/>
  <c r="D44" i="15"/>
  <c r="W51" i="17"/>
  <c r="D49" i="15"/>
  <c r="W51" i="16"/>
  <c r="L14" i="2"/>
  <c r="W122" i="16"/>
  <c r="W79" i="17"/>
  <c r="W122" i="17"/>
  <c r="D33" i="2"/>
  <c r="X49" i="19"/>
  <c r="W73" i="16" s="1"/>
  <c r="Y52" i="23"/>
  <c r="X77" i="19"/>
  <c r="W114" i="17"/>
  <c r="H26" i="3"/>
  <c r="W38" i="16"/>
  <c r="W45" i="17"/>
  <c r="D32" i="2"/>
  <c r="W121" i="17"/>
  <c r="W70" i="17"/>
  <c r="W86" i="17"/>
  <c r="X62" i="19"/>
  <c r="Y46" i="23"/>
  <c r="H33" i="3"/>
  <c r="Y37" i="23"/>
  <c r="W65" i="16" s="1"/>
  <c r="G57" i="16"/>
  <c r="G57" i="17"/>
  <c r="Y83" i="23" l="1"/>
  <c r="P38" i="2" s="1"/>
  <c r="Y60" i="23"/>
  <c r="W79" i="16"/>
  <c r="W97" i="17"/>
  <c r="W27" i="17"/>
  <c r="W107" i="17"/>
  <c r="X45" i="19"/>
  <c r="W68" i="16" s="1"/>
  <c r="Y70" i="23"/>
  <c r="P25" i="2" s="1"/>
  <c r="Y51" i="23"/>
  <c r="W90" i="16" s="1"/>
  <c r="H22" i="15"/>
  <c r="W32" i="17"/>
  <c r="W47" i="17"/>
  <c r="W28" i="17"/>
  <c r="H15" i="3"/>
  <c r="W28" i="16"/>
  <c r="X113" i="19"/>
  <c r="H50" i="2" s="1"/>
  <c r="X42" i="19"/>
  <c r="W64" i="16" s="1"/>
  <c r="W41" i="16"/>
  <c r="W47" i="16"/>
  <c r="W32" i="16"/>
  <c r="Y76" i="23"/>
  <c r="P31" i="2" s="1"/>
  <c r="H37" i="3"/>
  <c r="W129" i="16"/>
  <c r="X67" i="19"/>
  <c r="W91" i="16" s="1"/>
  <c r="W77" i="17"/>
  <c r="H29" i="3"/>
  <c r="W36" i="16"/>
  <c r="W55" i="17"/>
  <c r="D51" i="15"/>
  <c r="W37" i="17"/>
  <c r="X93" i="19"/>
  <c r="H28" i="2" s="1"/>
  <c r="W125" i="17"/>
  <c r="W41" i="17"/>
  <c r="W37" i="16"/>
  <c r="W53" i="16"/>
  <c r="X57" i="19"/>
  <c r="W81" i="16" s="1"/>
  <c r="X79" i="19"/>
  <c r="W103" i="16" s="1"/>
  <c r="D38" i="2"/>
  <c r="W84" i="17"/>
  <c r="W36" i="17"/>
  <c r="W101" i="16"/>
  <c r="W46" i="17"/>
  <c r="X53" i="18"/>
  <c r="D17" i="2" s="1"/>
  <c r="Y56" i="23"/>
  <c r="W97" i="16" s="1"/>
  <c r="W99" i="16"/>
  <c r="W139" i="17"/>
  <c r="W72" i="17"/>
  <c r="X72" i="19"/>
  <c r="W96" i="16" s="1"/>
  <c r="X47" i="19"/>
  <c r="W70" i="16" s="1"/>
  <c r="X44" i="19"/>
  <c r="W84" i="16"/>
  <c r="W46" i="16"/>
  <c r="W88" i="16"/>
  <c r="W98" i="16"/>
  <c r="W118" i="16"/>
  <c r="W118" i="17"/>
  <c r="W126" i="17"/>
  <c r="Y39" i="23"/>
  <c r="W67" i="16" s="1"/>
  <c r="X127" i="18"/>
  <c r="W138" i="17" s="1"/>
  <c r="X70" i="20"/>
  <c r="W94" i="17" s="1"/>
  <c r="W29" i="16"/>
  <c r="D31" i="2"/>
  <c r="W120" i="17"/>
  <c r="W48" i="17"/>
  <c r="D45" i="15"/>
  <c r="W75" i="17"/>
  <c r="X80" i="19"/>
  <c r="W104" i="16" s="1"/>
  <c r="W22" i="16"/>
  <c r="D17" i="15"/>
  <c r="W22" i="17"/>
  <c r="W21" i="17"/>
  <c r="D16" i="15"/>
  <c r="W21" i="16"/>
  <c r="W39" i="17"/>
  <c r="AB39" i="17" s="1"/>
  <c r="AH39" i="17" s="1"/>
  <c r="W39" i="16"/>
  <c r="AB39" i="16" s="1"/>
  <c r="AH39" i="16" s="1"/>
  <c r="D35" i="15"/>
  <c r="V35" i="15" s="1"/>
  <c r="W56" i="16"/>
  <c r="D54" i="15"/>
  <c r="W56" i="17"/>
  <c r="D24" i="15"/>
  <c r="H42" i="3"/>
  <c r="W130" i="17"/>
  <c r="X104" i="19"/>
  <c r="X103" i="19"/>
  <c r="H38" i="2" s="1"/>
  <c r="H39" i="3"/>
  <c r="W38" i="17"/>
  <c r="W93" i="17"/>
  <c r="X69" i="19"/>
  <c r="W93" i="16" s="1"/>
  <c r="X65" i="19"/>
  <c r="W89" i="16" s="1"/>
  <c r="Y77" i="23"/>
  <c r="P32" i="2" s="1"/>
  <c r="X23" i="19"/>
  <c r="W35" i="17"/>
  <c r="W23" i="16"/>
  <c r="W34" i="16"/>
  <c r="D30" i="15"/>
  <c r="W34" i="17"/>
  <c r="W57" i="16"/>
  <c r="D55" i="15"/>
  <c r="W57" i="17"/>
  <c r="W119" i="17"/>
  <c r="X95" i="19"/>
  <c r="X78" i="19"/>
  <c r="W102" i="16" s="1"/>
  <c r="H20" i="3"/>
  <c r="X83" i="19"/>
  <c r="W74" i="16"/>
  <c r="X52" i="19"/>
  <c r="W76" i="16" s="1"/>
  <c r="W82" i="17"/>
  <c r="X58" i="19"/>
  <c r="W82" i="16" s="1"/>
  <c r="X59" i="19"/>
  <c r="W83" i="16" s="1"/>
  <c r="W83" i="17"/>
  <c r="D26" i="2"/>
  <c r="W115" i="17"/>
  <c r="Y49" i="23"/>
  <c r="W69" i="17"/>
  <c r="W96" i="17"/>
  <c r="Y81" i="23"/>
  <c r="P36" i="2" s="1"/>
  <c r="W120" i="16"/>
  <c r="W86" i="16"/>
  <c r="W44" i="16"/>
  <c r="W77" i="16"/>
  <c r="H29" i="2"/>
  <c r="W115" i="16"/>
  <c r="W100" i="16"/>
  <c r="W113" i="16"/>
  <c r="AD71" i="19"/>
  <c r="W95" i="16"/>
  <c r="H42" i="15"/>
  <c r="W45" i="16"/>
  <c r="H37" i="2"/>
  <c r="W126" i="16"/>
  <c r="AJ35" i="15"/>
  <c r="AH35" i="15"/>
  <c r="H36" i="2"/>
  <c r="E27" i="17"/>
  <c r="E29" i="17"/>
  <c r="E51" i="16"/>
  <c r="W114" i="16" l="1"/>
  <c r="W117" i="16"/>
  <c r="W125" i="16"/>
  <c r="X70" i="19"/>
  <c r="W94" i="16" s="1"/>
  <c r="W58" i="17"/>
  <c r="W58" i="16"/>
  <c r="W127" i="16"/>
  <c r="D49" i="2"/>
  <c r="W121" i="16"/>
  <c r="H31" i="15"/>
  <c r="W35" i="16"/>
  <c r="W130" i="16"/>
  <c r="H41" i="2"/>
  <c r="H19" i="2"/>
  <c r="W107" i="16"/>
  <c r="W119" i="16"/>
  <c r="H30" i="2"/>
  <c r="O40" i="40"/>
  <c r="O39" i="40"/>
  <c r="O35" i="40"/>
  <c r="O34" i="40"/>
  <c r="O33" i="40"/>
  <c r="O32" i="40"/>
  <c r="O31" i="40"/>
  <c r="O29" i="40"/>
  <c r="O28" i="40"/>
  <c r="O19" i="40"/>
  <c r="O21" i="40"/>
  <c r="O20" i="40"/>
  <c r="O15" i="40"/>
  <c r="F43" i="40"/>
  <c r="F36" i="40"/>
  <c r="F22" i="40"/>
  <c r="F16" i="40"/>
  <c r="O12" i="40"/>
  <c r="E47" i="39"/>
  <c r="E38" i="39"/>
  <c r="E28" i="39"/>
  <c r="E22" i="39"/>
  <c r="N12" i="39"/>
  <c r="M53" i="17" l="1"/>
  <c r="M53" i="16"/>
  <c r="O22" i="40"/>
  <c r="O43" i="40"/>
  <c r="E30" i="39"/>
  <c r="E50" i="39" s="1"/>
  <c r="F24" i="40"/>
  <c r="F46" i="40" s="1"/>
  <c r="D36" i="43"/>
  <c r="Z34" i="43"/>
  <c r="O74" i="23" l="1"/>
  <c r="C47" i="26"/>
  <c r="Q118" i="17" l="1"/>
  <c r="P24" i="19"/>
  <c r="O24" i="17"/>
  <c r="D17" i="19"/>
  <c r="D20" i="19"/>
  <c r="D21" i="19"/>
  <c r="D22" i="19"/>
  <c r="D23" i="19"/>
  <c r="D24" i="19"/>
  <c r="D25" i="19"/>
  <c r="D26" i="19"/>
  <c r="D28" i="19"/>
  <c r="D31" i="19"/>
  <c r="D32" i="19"/>
  <c r="D33" i="19"/>
  <c r="D34" i="19"/>
  <c r="D35" i="19"/>
  <c r="D42" i="19"/>
  <c r="D44" i="19"/>
  <c r="D45" i="19"/>
  <c r="D46" i="19"/>
  <c r="D47" i="19"/>
  <c r="D49" i="19"/>
  <c r="D50" i="19"/>
  <c r="D51" i="19"/>
  <c r="D52" i="19"/>
  <c r="D53" i="19"/>
  <c r="D54" i="19"/>
  <c r="D55" i="19"/>
  <c r="D57" i="19"/>
  <c r="D58" i="19"/>
  <c r="D59" i="19"/>
  <c r="D60" i="19"/>
  <c r="D62" i="19"/>
  <c r="D63" i="19"/>
  <c r="D64" i="19"/>
  <c r="D65" i="19"/>
  <c r="D66" i="19"/>
  <c r="D67" i="19"/>
  <c r="D69" i="19"/>
  <c r="D70" i="19"/>
  <c r="D72" i="19"/>
  <c r="D73" i="19"/>
  <c r="D74" i="19"/>
  <c r="D75" i="19"/>
  <c r="D76" i="19"/>
  <c r="D77" i="19"/>
  <c r="D78" i="19"/>
  <c r="D79" i="19"/>
  <c r="D80" i="19"/>
  <c r="D83" i="19"/>
  <c r="D89" i="19"/>
  <c r="D90" i="19"/>
  <c r="D91" i="19"/>
  <c r="D93" i="19"/>
  <c r="D94" i="19"/>
  <c r="D95" i="19"/>
  <c r="D96" i="19"/>
  <c r="D97" i="19"/>
  <c r="D98" i="19"/>
  <c r="D101" i="19"/>
  <c r="D102" i="19"/>
  <c r="D103" i="19"/>
  <c r="D104" i="19"/>
  <c r="D112" i="19"/>
  <c r="D113" i="19"/>
  <c r="U26" i="23" l="1"/>
  <c r="S79" i="17"/>
  <c r="T24" i="19"/>
  <c r="T77" i="19"/>
  <c r="S101" i="16" s="1"/>
  <c r="U60" i="23"/>
  <c r="T69" i="19"/>
  <c r="T21" i="19"/>
  <c r="T94" i="19"/>
  <c r="T25" i="19"/>
  <c r="T55" i="19"/>
  <c r="U43" i="23"/>
  <c r="S29" i="17"/>
  <c r="U30" i="23"/>
  <c r="S96" i="17"/>
  <c r="U44" i="23"/>
  <c r="S93" i="17"/>
  <c r="T51" i="19"/>
  <c r="S89" i="17"/>
  <c r="S88" i="17"/>
  <c r="U25" i="23"/>
  <c r="S78" i="17"/>
  <c r="S91" i="17"/>
  <c r="U63" i="23"/>
  <c r="T53" i="19"/>
  <c r="U58" i="23"/>
  <c r="T31" i="19"/>
  <c r="T73" i="19"/>
  <c r="T112" i="19"/>
  <c r="T33" i="19"/>
  <c r="U57" i="23"/>
  <c r="U51" i="23"/>
  <c r="T65" i="19"/>
  <c r="S126" i="17"/>
  <c r="T60" i="19"/>
  <c r="S74" i="17"/>
  <c r="S99" i="17"/>
  <c r="U81" i="23"/>
  <c r="T103" i="19"/>
  <c r="T26" i="19"/>
  <c r="S98" i="17"/>
  <c r="T35" i="19"/>
  <c r="U41" i="23"/>
  <c r="U22" i="23"/>
  <c r="U45" i="23"/>
  <c r="S86" i="17"/>
  <c r="T67" i="19"/>
  <c r="U71" i="23"/>
  <c r="T34" i="19"/>
  <c r="S100" i="17"/>
  <c r="T17" i="19"/>
  <c r="U21" i="23"/>
  <c r="U59" i="23"/>
  <c r="S87" i="17"/>
  <c r="U49" i="23"/>
  <c r="U92" i="23"/>
  <c r="T20" i="19"/>
  <c r="U69" i="23"/>
  <c r="U20" i="23"/>
  <c r="T45" i="19"/>
  <c r="S68" i="16" s="1"/>
  <c r="T64" i="19"/>
  <c r="S88" i="16" s="1"/>
  <c r="T89" i="19"/>
  <c r="T72" i="19"/>
  <c r="S28" i="16"/>
  <c r="U84" i="23"/>
  <c r="T98" i="19"/>
  <c r="S24" i="16"/>
  <c r="U39" i="23"/>
  <c r="U27" i="23"/>
  <c r="T74" i="19"/>
  <c r="T93" i="19"/>
  <c r="U93" i="23"/>
  <c r="U78" i="23"/>
  <c r="U94" i="23"/>
  <c r="T28" i="19"/>
  <c r="T76" i="19"/>
  <c r="S65" i="17"/>
  <c r="T53" i="18"/>
  <c r="T78" i="19"/>
  <c r="S54" i="17"/>
  <c r="T47" i="19"/>
  <c r="S21" i="17"/>
  <c r="T49" i="19"/>
  <c r="S73" i="16" s="1"/>
  <c r="S56" i="16"/>
  <c r="S56" i="17"/>
  <c r="S25" i="17"/>
  <c r="S101" i="17"/>
  <c r="U42" i="23"/>
  <c r="S122" i="17"/>
  <c r="S127" i="17"/>
  <c r="U70" i="23"/>
  <c r="T90" i="19"/>
  <c r="S117" i="17"/>
  <c r="T113" i="19"/>
  <c r="T102" i="19"/>
  <c r="S24" i="17"/>
  <c r="S22" i="17"/>
  <c r="S22" i="16"/>
  <c r="S118" i="17"/>
  <c r="T54" i="19"/>
  <c r="U48" i="23"/>
  <c r="U54" i="23"/>
  <c r="T75" i="19"/>
  <c r="S68" i="17"/>
  <c r="T58" i="19"/>
  <c r="S82" i="16" s="1"/>
  <c r="S82" i="17"/>
  <c r="S55" i="16"/>
  <c r="S55" i="17"/>
  <c r="S97" i="17"/>
  <c r="T42" i="19"/>
  <c r="S64" i="16" s="1"/>
  <c r="S64" i="17"/>
  <c r="O24" i="16"/>
  <c r="O52" i="16"/>
  <c r="O52" i="17"/>
  <c r="N93" i="19"/>
  <c r="N102" i="19"/>
  <c r="L79" i="19"/>
  <c r="K126" i="17"/>
  <c r="C25" i="16"/>
  <c r="S93" i="16" l="1"/>
  <c r="S102" i="16"/>
  <c r="S48" i="16"/>
  <c r="U75" i="23"/>
  <c r="U46" i="23"/>
  <c r="S84" i="16" s="1"/>
  <c r="U55" i="23"/>
  <c r="S96" i="16" s="1"/>
  <c r="S25" i="16"/>
  <c r="S114" i="17"/>
  <c r="S28" i="17"/>
  <c r="S34" i="16"/>
  <c r="S44" i="17"/>
  <c r="S36" i="17"/>
  <c r="S32" i="17"/>
  <c r="S37" i="17"/>
  <c r="S21" i="16"/>
  <c r="S29" i="16"/>
  <c r="S34" i="17"/>
  <c r="S36" i="16"/>
  <c r="S77" i="17"/>
  <c r="U56" i="23"/>
  <c r="S97" i="16" s="1"/>
  <c r="U52" i="23"/>
  <c r="S91" i="16" s="1"/>
  <c r="U77" i="23"/>
  <c r="S99" i="16"/>
  <c r="S44" i="16"/>
  <c r="S102" i="17"/>
  <c r="T96" i="19"/>
  <c r="S47" i="17"/>
  <c r="T91" i="19"/>
  <c r="S33" i="17"/>
  <c r="S69" i="17"/>
  <c r="T62" i="19"/>
  <c r="S86" i="16" s="1"/>
  <c r="T101" i="19"/>
  <c r="T46" i="19"/>
  <c r="S69" i="16" s="1"/>
  <c r="S122" i="16"/>
  <c r="S32" i="16"/>
  <c r="S47" i="16"/>
  <c r="S84" i="17"/>
  <c r="S98" i="16"/>
  <c r="U37" i="23"/>
  <c r="S65" i="16" s="1"/>
  <c r="S104" i="17"/>
  <c r="T80" i="19"/>
  <c r="S104" i="16" s="1"/>
  <c r="T52" i="19"/>
  <c r="S76" i="16" s="1"/>
  <c r="S100" i="16"/>
  <c r="U73" i="23"/>
  <c r="S38" i="16"/>
  <c r="S38" i="17"/>
  <c r="S139" i="17"/>
  <c r="S79" i="16"/>
  <c r="S54" i="16"/>
  <c r="T59" i="19"/>
  <c r="S83" i="16" s="1"/>
  <c r="S83" i="17"/>
  <c r="S67" i="17"/>
  <c r="S121" i="17"/>
  <c r="T97" i="19"/>
  <c r="S125" i="17"/>
  <c r="U83" i="23"/>
  <c r="T66" i="19"/>
  <c r="S90" i="16" s="1"/>
  <c r="U82" i="23"/>
  <c r="S126" i="16" s="1"/>
  <c r="U50" i="23"/>
  <c r="S89" i="16" s="1"/>
  <c r="S37" i="16"/>
  <c r="T63" i="19"/>
  <c r="S87" i="16" s="1"/>
  <c r="S130" i="17"/>
  <c r="T104" i="19"/>
  <c r="T79" i="19"/>
  <c r="S103" i="16" s="1"/>
  <c r="S73" i="17"/>
  <c r="S51" i="16"/>
  <c r="S51" i="17"/>
  <c r="S45" i="17"/>
  <c r="T32" i="19"/>
  <c r="T44" i="19"/>
  <c r="S67" i="16" s="1"/>
  <c r="S53" i="16"/>
  <c r="S53" i="17"/>
  <c r="U76" i="23"/>
  <c r="S77" i="16"/>
  <c r="U74" i="23"/>
  <c r="S75" i="16"/>
  <c r="S75" i="17"/>
  <c r="S120" i="17"/>
  <c r="S103" i="17"/>
  <c r="T50" i="19"/>
  <c r="S74" i="16" s="1"/>
  <c r="S76" i="17"/>
  <c r="S46" i="17"/>
  <c r="S46" i="16"/>
  <c r="T83" i="19"/>
  <c r="S107" i="17"/>
  <c r="S78" i="16"/>
  <c r="S72" i="16"/>
  <c r="S72" i="17"/>
  <c r="S41" i="17"/>
  <c r="S41" i="16"/>
  <c r="T95" i="19"/>
  <c r="S119" i="17"/>
  <c r="S113" i="16"/>
  <c r="S113" i="17"/>
  <c r="T57" i="19"/>
  <c r="S81" i="16" s="1"/>
  <c r="S81" i="17"/>
  <c r="S27" i="17"/>
  <c r="S33" i="16"/>
  <c r="S115" i="17"/>
  <c r="S70" i="17"/>
  <c r="S70" i="16"/>
  <c r="S90" i="17"/>
  <c r="S48" i="17"/>
  <c r="S114" i="16"/>
  <c r="Q113" i="17"/>
  <c r="P24" i="22"/>
  <c r="Q23" i="16"/>
  <c r="Q23" i="17"/>
  <c r="K64" i="17"/>
  <c r="C22" i="34"/>
  <c r="C62" i="34"/>
  <c r="C59" i="34"/>
  <c r="C57" i="34"/>
  <c r="C56" i="34"/>
  <c r="C53" i="34"/>
  <c r="C52" i="34"/>
  <c r="C51" i="34"/>
  <c r="C50" i="34"/>
  <c r="C49" i="34"/>
  <c r="C48" i="34"/>
  <c r="C43" i="34"/>
  <c r="C39" i="34"/>
  <c r="C38" i="34"/>
  <c r="C35" i="34"/>
  <c r="C34" i="34"/>
  <c r="C31" i="34"/>
  <c r="C30" i="34"/>
  <c r="C29" i="34"/>
  <c r="C26" i="34"/>
  <c r="C23" i="34"/>
  <c r="C21" i="34"/>
  <c r="C19" i="34"/>
  <c r="C16" i="34"/>
  <c r="S58" i="17" l="1"/>
  <c r="S58" i="16"/>
  <c r="S125" i="16"/>
  <c r="S127" i="16"/>
  <c r="S115" i="16"/>
  <c r="S119" i="16"/>
  <c r="S120" i="16"/>
  <c r="S45" i="16"/>
  <c r="S130" i="16"/>
  <c r="S117" i="16"/>
  <c r="S118" i="16"/>
  <c r="S121" i="16"/>
  <c r="S94" i="17"/>
  <c r="T70" i="19"/>
  <c r="S94" i="16" s="1"/>
  <c r="S107" i="16"/>
  <c r="S138" i="17"/>
  <c r="J102" i="19"/>
  <c r="AC9" i="20"/>
  <c r="R21" i="15" l="1"/>
  <c r="P21" i="15"/>
  <c r="N21" i="15"/>
  <c r="L21" i="15"/>
  <c r="J21" i="15"/>
  <c r="H21" i="15"/>
  <c r="X22" i="18"/>
  <c r="T22" i="18"/>
  <c r="F31" i="19" l="1"/>
  <c r="F26" i="19"/>
  <c r="E21" i="17"/>
  <c r="E21" i="16"/>
  <c r="Y95" i="24"/>
  <c r="N113" i="19" l="1"/>
  <c r="I75" i="23"/>
  <c r="M197" i="42"/>
  <c r="V30" i="37" l="1"/>
  <c r="V20" i="37"/>
  <c r="V23" i="37"/>
  <c r="V32" i="37"/>
  <c r="V38" i="37"/>
  <c r="V16" i="37"/>
  <c r="V36" i="37"/>
  <c r="V28" i="37"/>
  <c r="V37" i="37"/>
  <c r="V41" i="37"/>
  <c r="V21" i="37"/>
  <c r="V29" i="37"/>
  <c r="V42" i="37"/>
  <c r="U22" i="16"/>
  <c r="D17" i="32"/>
  <c r="V33" i="19"/>
  <c r="U46" i="16" s="1"/>
  <c r="U21" i="17"/>
  <c r="V77" i="19"/>
  <c r="U72" i="17"/>
  <c r="V76" i="19"/>
  <c r="V34" i="19"/>
  <c r="U120" i="17"/>
  <c r="AI35" i="18"/>
  <c r="F36" i="15"/>
  <c r="X36" i="15" s="1"/>
  <c r="AH36" i="15" s="1"/>
  <c r="V103" i="19"/>
  <c r="V52" i="19"/>
  <c r="U76" i="16" s="1"/>
  <c r="V89" i="19"/>
  <c r="V91" i="19"/>
  <c r="U115" i="16" s="1"/>
  <c r="AE40" i="17"/>
  <c r="AJ40" i="17" s="1"/>
  <c r="AK35" i="18"/>
  <c r="AE40" i="16"/>
  <c r="AJ40" i="16" s="1"/>
  <c r="V26" i="19"/>
  <c r="U119" i="17"/>
  <c r="V113" i="19"/>
  <c r="U65" i="17"/>
  <c r="U73" i="17"/>
  <c r="D45" i="32"/>
  <c r="U65" i="16"/>
  <c r="V21" i="19"/>
  <c r="U98" i="17"/>
  <c r="V20" i="19"/>
  <c r="U102" i="17"/>
  <c r="V28" i="19"/>
  <c r="U41" i="16" s="1"/>
  <c r="U100" i="17"/>
  <c r="V50" i="19"/>
  <c r="U74" i="16" s="1"/>
  <c r="D24" i="32"/>
  <c r="V83" i="19"/>
  <c r="V65" i="19"/>
  <c r="V72" i="19"/>
  <c r="V44" i="19"/>
  <c r="U67" i="16" s="1"/>
  <c r="V112" i="19"/>
  <c r="V25" i="19"/>
  <c r="V55" i="19"/>
  <c r="V69" i="19"/>
  <c r="V51" i="19"/>
  <c r="V24" i="19"/>
  <c r="U36" i="16" s="1"/>
  <c r="U103" i="17"/>
  <c r="V98" i="19"/>
  <c r="U93" i="17"/>
  <c r="U70" i="17"/>
  <c r="U97" i="17"/>
  <c r="U28" i="16"/>
  <c r="V74" i="19"/>
  <c r="U98" i="16" s="1"/>
  <c r="V101" i="19"/>
  <c r="V46" i="19"/>
  <c r="U69" i="16" s="1"/>
  <c r="V54" i="19"/>
  <c r="U78" i="16" s="1"/>
  <c r="V49" i="19"/>
  <c r="U73" i="16" s="1"/>
  <c r="V53" i="19"/>
  <c r="U89" i="17"/>
  <c r="U113" i="17"/>
  <c r="V42" i="19"/>
  <c r="U64" i="16" s="1"/>
  <c r="U54" i="17"/>
  <c r="U54" i="16"/>
  <c r="U101" i="17"/>
  <c r="U55" i="16"/>
  <c r="U55" i="17"/>
  <c r="U28" i="17"/>
  <c r="V73" i="19"/>
  <c r="U127" i="17"/>
  <c r="V90" i="19"/>
  <c r="V58" i="19"/>
  <c r="U82" i="16" s="1"/>
  <c r="U82" i="17"/>
  <c r="V17" i="19"/>
  <c r="U36" i="17"/>
  <c r="U56" i="16"/>
  <c r="U56" i="17"/>
  <c r="V96" i="19"/>
  <c r="U115" i="17"/>
  <c r="U81" i="17"/>
  <c r="V57" i="19"/>
  <c r="U81" i="16" s="1"/>
  <c r="V93" i="19"/>
  <c r="U27" i="17"/>
  <c r="U86" i="17"/>
  <c r="V62" i="19"/>
  <c r="U87" i="17"/>
  <c r="V63" i="19"/>
  <c r="U87" i="16" s="1"/>
  <c r="U88" i="17"/>
  <c r="U91" i="17"/>
  <c r="V102" i="19"/>
  <c r="U126" i="17"/>
  <c r="U83" i="17"/>
  <c r="V59" i="19"/>
  <c r="U83" i="16" s="1"/>
  <c r="T24" i="22"/>
  <c r="U74" i="17"/>
  <c r="U46" i="17"/>
  <c r="U77" i="17"/>
  <c r="U114" i="17"/>
  <c r="V35" i="19"/>
  <c r="U48" i="17"/>
  <c r="U29" i="16"/>
  <c r="U29" i="17"/>
  <c r="U78" i="17"/>
  <c r="U34" i="16"/>
  <c r="U34" i="17"/>
  <c r="U23" i="16"/>
  <c r="U23" i="17"/>
  <c r="U45" i="17"/>
  <c r="V32" i="19"/>
  <c r="U69" i="17"/>
  <c r="V36" i="15"/>
  <c r="U40" i="17"/>
  <c r="AB40" i="17" s="1"/>
  <c r="U40" i="16"/>
  <c r="AB40" i="16" s="1"/>
  <c r="V104" i="19"/>
  <c r="U130" i="17"/>
  <c r="U47" i="16"/>
  <c r="U47" i="17"/>
  <c r="U107" i="17"/>
  <c r="U53" i="16"/>
  <c r="U53" i="17"/>
  <c r="V80" i="19"/>
  <c r="U104" i="16" s="1"/>
  <c r="U104" i="17"/>
  <c r="V37" i="15"/>
  <c r="U41" i="17"/>
  <c r="U79" i="17"/>
  <c r="V78" i="19"/>
  <c r="U102" i="16" s="1"/>
  <c r="U129" i="17"/>
  <c r="U129" i="16"/>
  <c r="V45" i="19"/>
  <c r="U68" i="16" s="1"/>
  <c r="M194" i="42"/>
  <c r="AH40" i="17" l="1"/>
  <c r="AH40" i="16"/>
  <c r="D48" i="32"/>
  <c r="V24" i="37"/>
  <c r="V31" i="37"/>
  <c r="U79" i="16"/>
  <c r="U76" i="17"/>
  <c r="U38" i="16"/>
  <c r="U117" i="17"/>
  <c r="U77" i="16"/>
  <c r="U100" i="16"/>
  <c r="U67" i="17"/>
  <c r="U121" i="17"/>
  <c r="U33" i="16"/>
  <c r="U107" i="16"/>
  <c r="U138" i="17"/>
  <c r="V64" i="19"/>
  <c r="U88" i="16" s="1"/>
  <c r="U33" i="17"/>
  <c r="U22" i="17"/>
  <c r="U38" i="17"/>
  <c r="U21" i="16"/>
  <c r="U127" i="16"/>
  <c r="V97" i="19"/>
  <c r="U121" i="16" s="1"/>
  <c r="U68" i="17"/>
  <c r="V47" i="19"/>
  <c r="U70" i="16" s="1"/>
  <c r="U90" i="17"/>
  <c r="V66" i="19"/>
  <c r="U99" i="17"/>
  <c r="U72" i="16"/>
  <c r="U113" i="16"/>
  <c r="U96" i="16"/>
  <c r="U122" i="16"/>
  <c r="U118" i="17"/>
  <c r="U125" i="17"/>
  <c r="U101" i="16"/>
  <c r="V22" i="18"/>
  <c r="U24" i="16"/>
  <c r="U37" i="17"/>
  <c r="U24" i="17"/>
  <c r="U139" i="17"/>
  <c r="Z25" i="37"/>
  <c r="U93" i="16"/>
  <c r="U75" i="17"/>
  <c r="U84" i="17"/>
  <c r="V53" i="18"/>
  <c r="U32" i="16"/>
  <c r="U32" i="17"/>
  <c r="V79" i="19"/>
  <c r="U103" i="16" s="1"/>
  <c r="V95" i="19"/>
  <c r="U37" i="16"/>
  <c r="U64" i="17"/>
  <c r="U75" i="16"/>
  <c r="U94" i="17"/>
  <c r="AD49" i="2"/>
  <c r="AD50" i="2"/>
  <c r="U51" i="17"/>
  <c r="U51" i="16"/>
  <c r="V31" i="19"/>
  <c r="U44" i="17"/>
  <c r="U89" i="16"/>
  <c r="U57" i="16"/>
  <c r="U57" i="17"/>
  <c r="U97" i="16"/>
  <c r="U96" i="17"/>
  <c r="V75" i="19"/>
  <c r="U99" i="16" s="1"/>
  <c r="U122" i="17"/>
  <c r="V60" i="19"/>
  <c r="V94" i="19"/>
  <c r="V67" i="19"/>
  <c r="U91" i="16" s="1"/>
  <c r="U48" i="16"/>
  <c r="U120" i="16"/>
  <c r="U125" i="16"/>
  <c r="U86" i="16"/>
  <c r="U114" i="16"/>
  <c r="U130" i="16"/>
  <c r="U45" i="16"/>
  <c r="U117" i="16"/>
  <c r="H21" i="36"/>
  <c r="U58" i="17" l="1"/>
  <c r="U126" i="16"/>
  <c r="U90" i="16"/>
  <c r="V70" i="19"/>
  <c r="U94" i="16" s="1"/>
  <c r="U58" i="16"/>
  <c r="U119" i="16"/>
  <c r="U84" i="16"/>
  <c r="U118" i="16"/>
  <c r="U44" i="16"/>
  <c r="H93" i="19"/>
  <c r="M193" i="42"/>
  <c r="K12" i="34"/>
  <c r="M12" i="34" s="1"/>
  <c r="S12" i="34" s="1"/>
  <c r="K11" i="34"/>
  <c r="S11" i="34" s="1"/>
  <c r="L11" i="32"/>
  <c r="J13" i="33" s="1"/>
  <c r="D11" i="32"/>
  <c r="K14" i="31"/>
  <c r="C14" i="31"/>
  <c r="A8" i="31"/>
  <c r="A7" i="32" s="1"/>
  <c r="A7" i="33" s="1"/>
  <c r="M20" i="23" l="1"/>
  <c r="D13" i="33"/>
  <c r="N24" i="22" l="1"/>
  <c r="G25" i="17"/>
  <c r="G25" i="16"/>
  <c r="AB8" i="18"/>
  <c r="AB12" i="17"/>
  <c r="A40" i="14"/>
  <c r="A6" i="14"/>
  <c r="A6" i="13"/>
  <c r="A40" i="13"/>
  <c r="A39" i="12"/>
  <c r="A6" i="12"/>
  <c r="A6" i="11"/>
  <c r="A41" i="11"/>
  <c r="A41" i="10"/>
  <c r="A6" i="10"/>
  <c r="A50" i="9"/>
  <c r="A49" i="8"/>
  <c r="A6" i="9"/>
  <c r="A6" i="8"/>
  <c r="E24" i="17" l="1"/>
  <c r="S26" i="16"/>
  <c r="AD11" i="2"/>
  <c r="X11" i="2"/>
  <c r="N11" i="2"/>
  <c r="J11" i="2"/>
  <c r="R11" i="2" s="1"/>
  <c r="X12" i="2"/>
  <c r="V12" i="2"/>
  <c r="P12" i="2"/>
  <c r="N12" i="2"/>
  <c r="L12" i="2"/>
  <c r="J12" i="2"/>
  <c r="R12" i="2" s="1"/>
  <c r="H12" i="2"/>
  <c r="E25" i="16" l="1"/>
  <c r="E25" i="17"/>
  <c r="E24" i="16"/>
  <c r="S26" i="17"/>
  <c r="AA23" i="41"/>
  <c r="D43" i="40" l="1"/>
  <c r="D36" i="40"/>
  <c r="D22" i="40"/>
  <c r="D16" i="40"/>
  <c r="C47" i="39"/>
  <c r="C38" i="39"/>
  <c r="C28" i="39"/>
  <c r="C22" i="39"/>
  <c r="D24" i="40" l="1"/>
  <c r="D46" i="40" s="1"/>
  <c r="C30" i="39"/>
  <c r="C50" i="39" s="1"/>
  <c r="Z19" i="43" l="1"/>
  <c r="Q53" i="17" l="1"/>
  <c r="R25" i="19"/>
  <c r="S46" i="23"/>
  <c r="R33" i="19"/>
  <c r="R35" i="19"/>
  <c r="S25" i="23"/>
  <c r="AI87" i="18"/>
  <c r="R76" i="19"/>
  <c r="R20" i="19"/>
  <c r="R74" i="19"/>
  <c r="Q101" i="17"/>
  <c r="R34" i="19"/>
  <c r="Q114" i="17"/>
  <c r="S22" i="23"/>
  <c r="R26" i="19"/>
  <c r="R63" i="19"/>
  <c r="S59" i="23"/>
  <c r="S48" i="23"/>
  <c r="S58" i="23"/>
  <c r="S39" i="23"/>
  <c r="S74" i="23"/>
  <c r="Q100" i="17"/>
  <c r="R50" i="19"/>
  <c r="R73" i="19"/>
  <c r="R28" i="19"/>
  <c r="S63" i="23"/>
  <c r="S78" i="23"/>
  <c r="S30" i="23"/>
  <c r="S27" i="23"/>
  <c r="Q68" i="17"/>
  <c r="S60" i="23"/>
  <c r="S21" i="23"/>
  <c r="R112" i="19"/>
  <c r="S26" i="23"/>
  <c r="R95" i="19"/>
  <c r="Q93" i="17"/>
  <c r="R21" i="19"/>
  <c r="S75" i="23"/>
  <c r="Q89" i="17"/>
  <c r="R77" i="19"/>
  <c r="Q25" i="17"/>
  <c r="S77" i="23"/>
  <c r="S43" i="23"/>
  <c r="Q57" i="16"/>
  <c r="Q86" i="17"/>
  <c r="R54" i="19"/>
  <c r="R104" i="19"/>
  <c r="S93" i="23"/>
  <c r="S45" i="23"/>
  <c r="S49" i="23"/>
  <c r="R69" i="19"/>
  <c r="S84" i="23"/>
  <c r="Q70" i="17"/>
  <c r="R89" i="19"/>
  <c r="S92" i="23"/>
  <c r="R44" i="19"/>
  <c r="Q29" i="17"/>
  <c r="S82" i="23"/>
  <c r="R94" i="19"/>
  <c r="R64" i="19"/>
  <c r="Q88" i="16" s="1"/>
  <c r="R65" i="19"/>
  <c r="S20" i="23"/>
  <c r="R103" i="19"/>
  <c r="Q72" i="17"/>
  <c r="Q91" i="17"/>
  <c r="Q115" i="17"/>
  <c r="S73" i="23"/>
  <c r="Q74" i="17"/>
  <c r="R55" i="19"/>
  <c r="S57" i="23"/>
  <c r="Q77" i="17"/>
  <c r="Q103" i="17"/>
  <c r="R31" i="19"/>
  <c r="Q57" i="17"/>
  <c r="Q29" i="16"/>
  <c r="R102" i="19"/>
  <c r="Q21" i="16"/>
  <c r="R22" i="18"/>
  <c r="Q21" i="17"/>
  <c r="R59" i="19"/>
  <c r="Q83" i="16" s="1"/>
  <c r="Q83" i="17"/>
  <c r="S54" i="23"/>
  <c r="Q127" i="17"/>
  <c r="Q73" i="17"/>
  <c r="R49" i="19"/>
  <c r="Q73" i="16" s="1"/>
  <c r="R62" i="19"/>
  <c r="R51" i="19"/>
  <c r="R57" i="19"/>
  <c r="Q81" i="16" s="1"/>
  <c r="Q81" i="17"/>
  <c r="S37" i="23"/>
  <c r="Q65" i="16" s="1"/>
  <c r="Q122" i="17"/>
  <c r="Q22" i="17"/>
  <c r="Q22" i="16"/>
  <c r="S55" i="23"/>
  <c r="Q53" i="16"/>
  <c r="Q48" i="17"/>
  <c r="R113" i="19"/>
  <c r="E44" i="17"/>
  <c r="Q101" i="16" l="1"/>
  <c r="Q28" i="16"/>
  <c r="Q41" i="17"/>
  <c r="Q25" i="16"/>
  <c r="Q26" i="16" s="1"/>
  <c r="R78" i="19"/>
  <c r="R72" i="19"/>
  <c r="Q96" i="16" s="1"/>
  <c r="Q117" i="17"/>
  <c r="R93" i="19"/>
  <c r="Q41" i="16"/>
  <c r="Q28" i="17"/>
  <c r="Q75" i="16"/>
  <c r="Q100" i="16"/>
  <c r="R90" i="19"/>
  <c r="Q93" i="16"/>
  <c r="Q56" i="16"/>
  <c r="Q46" i="17"/>
  <c r="Q87" i="16"/>
  <c r="R60" i="19"/>
  <c r="Q84" i="16" s="1"/>
  <c r="Q130" i="17"/>
  <c r="Q36" i="16"/>
  <c r="Q64" i="17"/>
  <c r="R45" i="19"/>
  <c r="Q68" i="16" s="1"/>
  <c r="Q87" i="17"/>
  <c r="Q47" i="17"/>
  <c r="Q56" i="17"/>
  <c r="Q46" i="16"/>
  <c r="Q88" i="17"/>
  <c r="Q67" i="17"/>
  <c r="S44" i="23"/>
  <c r="Q78" i="16" s="1"/>
  <c r="Q86" i="16"/>
  <c r="S56" i="23"/>
  <c r="Q97" i="16" s="1"/>
  <c r="S51" i="23"/>
  <c r="S83" i="23"/>
  <c r="Q127" i="16" s="1"/>
  <c r="Q72" i="16"/>
  <c r="Q84" i="17"/>
  <c r="R66" i="19"/>
  <c r="R46" i="19"/>
  <c r="Q69" i="16" s="1"/>
  <c r="R67" i="19"/>
  <c r="Q38" i="17"/>
  <c r="Q90" i="17"/>
  <c r="Q78" i="17"/>
  <c r="Q47" i="16"/>
  <c r="Q38" i="16"/>
  <c r="Q79" i="16"/>
  <c r="Q67" i="16"/>
  <c r="R42" i="19"/>
  <c r="Q64" i="16" s="1"/>
  <c r="H51" i="2"/>
  <c r="R70" i="19"/>
  <c r="Q94" i="16" s="1"/>
  <c r="Q54" i="16"/>
  <c r="Q54" i="17"/>
  <c r="P57" i="22"/>
  <c r="R75" i="19"/>
  <c r="Q99" i="16" s="1"/>
  <c r="Q99" i="17"/>
  <c r="S94" i="23"/>
  <c r="R22" i="19"/>
  <c r="Q34" i="17"/>
  <c r="Q79" i="17"/>
  <c r="R96" i="19"/>
  <c r="Q120" i="17"/>
  <c r="Q126" i="17"/>
  <c r="Q51" i="17"/>
  <c r="R53" i="18"/>
  <c r="Q51" i="16"/>
  <c r="R52" i="19"/>
  <c r="Q76" i="16" s="1"/>
  <c r="S69" i="23"/>
  <c r="Q125" i="17"/>
  <c r="R101" i="19"/>
  <c r="Q119" i="16"/>
  <c r="Q119" i="17"/>
  <c r="R17" i="19"/>
  <c r="R98" i="19"/>
  <c r="R32" i="19"/>
  <c r="Q45" i="17"/>
  <c r="Q97" i="17"/>
  <c r="R83" i="19"/>
  <c r="Q107" i="17"/>
  <c r="Q32" i="16"/>
  <c r="Q32" i="17"/>
  <c r="S71" i="23"/>
  <c r="Q44" i="17"/>
  <c r="Q44" i="16"/>
  <c r="S50" i="23"/>
  <c r="Q89" i="16" s="1"/>
  <c r="Q35" i="17"/>
  <c r="R23" i="19"/>
  <c r="Q102" i="16"/>
  <c r="R91" i="19"/>
  <c r="S70" i="23"/>
  <c r="Q130" i="16"/>
  <c r="Q33" i="17"/>
  <c r="Q33" i="16"/>
  <c r="Q121" i="17"/>
  <c r="Q104" i="17"/>
  <c r="R80" i="19"/>
  <c r="Q104" i="16" s="1"/>
  <c r="Q27" i="17"/>
  <c r="Q36" i="17"/>
  <c r="S81" i="23"/>
  <c r="Q55" i="17"/>
  <c r="Q55" i="16"/>
  <c r="Q76" i="17"/>
  <c r="R58" i="19"/>
  <c r="Q82" i="16" s="1"/>
  <c r="Q82" i="17"/>
  <c r="Q75" i="17"/>
  <c r="Q98" i="16"/>
  <c r="Q98" i="17"/>
  <c r="S76" i="23"/>
  <c r="Q69" i="17"/>
  <c r="R97" i="19"/>
  <c r="Q118" i="16"/>
  <c r="Q96" i="17"/>
  <c r="Q102" i="17"/>
  <c r="Q129" i="16"/>
  <c r="Q129" i="17"/>
  <c r="Q37" i="16"/>
  <c r="Q37" i="17"/>
  <c r="S42" i="23"/>
  <c r="S52" i="23"/>
  <c r="S41" i="23"/>
  <c r="Q74" i="16" s="1"/>
  <c r="R47" i="19"/>
  <c r="Q70" i="16" s="1"/>
  <c r="Q139" i="17"/>
  <c r="Q48" i="16"/>
  <c r="R79" i="19"/>
  <c r="Q103" i="16" s="1"/>
  <c r="R53" i="19"/>
  <c r="Q77" i="16" s="1"/>
  <c r="Q126" i="16"/>
  <c r="N40" i="43"/>
  <c r="Q117" i="16" l="1"/>
  <c r="Q91" i="16"/>
  <c r="Q94" i="17"/>
  <c r="Q90" i="16"/>
  <c r="Q58" i="16"/>
  <c r="Q58" i="17"/>
  <c r="Q121" i="16"/>
  <c r="Q113" i="16"/>
  <c r="Q34" i="16"/>
  <c r="Q138" i="17"/>
  <c r="Q107" i="16"/>
  <c r="Q45" i="16"/>
  <c r="Q125" i="16"/>
  <c r="Q114" i="16"/>
  <c r="Q120" i="16"/>
  <c r="Q35" i="16"/>
  <c r="Q122" i="16"/>
  <c r="Q115" i="16"/>
  <c r="P34" i="19"/>
  <c r="P47" i="19"/>
  <c r="O72" i="16"/>
  <c r="Q41" i="23"/>
  <c r="Q52" i="23"/>
  <c r="O23" i="16"/>
  <c r="O93" i="17"/>
  <c r="O83" i="17"/>
  <c r="P69" i="19"/>
  <c r="P45" i="19"/>
  <c r="O68" i="16" s="1"/>
  <c r="P28" i="19"/>
  <c r="O41" i="16" s="1"/>
  <c r="Q27" i="23"/>
  <c r="O129" i="17"/>
  <c r="P22" i="19"/>
  <c r="O34" i="16" s="1"/>
  <c r="Q42" i="23"/>
  <c r="Q22" i="23"/>
  <c r="Q71" i="23"/>
  <c r="Q58" i="23"/>
  <c r="P77" i="19"/>
  <c r="Q21" i="23"/>
  <c r="Q56" i="23"/>
  <c r="Q63" i="23"/>
  <c r="P33" i="19"/>
  <c r="Q59" i="23"/>
  <c r="Q20" i="23"/>
  <c r="P72" i="19"/>
  <c r="P93" i="19"/>
  <c r="P83" i="19"/>
  <c r="P67" i="19"/>
  <c r="P26" i="19"/>
  <c r="P104" i="19"/>
  <c r="P54" i="19"/>
  <c r="Q57" i="23"/>
  <c r="P103" i="19"/>
  <c r="P97" i="19"/>
  <c r="O104" i="17"/>
  <c r="O35" i="17"/>
  <c r="P31" i="19"/>
  <c r="O88" i="17"/>
  <c r="O96" i="17"/>
  <c r="Q46" i="23"/>
  <c r="P101" i="19"/>
  <c r="P35" i="19"/>
  <c r="P91" i="19"/>
  <c r="Q51" i="23"/>
  <c r="O84" i="17"/>
  <c r="P44" i="19"/>
  <c r="P20" i="19"/>
  <c r="O90" i="17"/>
  <c r="Q30" i="23"/>
  <c r="O87" i="17"/>
  <c r="P63" i="19"/>
  <c r="O87" i="16" s="1"/>
  <c r="P76" i="19"/>
  <c r="O51" i="17"/>
  <c r="P51" i="19"/>
  <c r="O75" i="16" s="1"/>
  <c r="Q93" i="23"/>
  <c r="Q82" i="23"/>
  <c r="P22" i="18"/>
  <c r="O91" i="17"/>
  <c r="O117" i="17"/>
  <c r="P95" i="19"/>
  <c r="P25" i="19"/>
  <c r="Q26" i="23"/>
  <c r="O45" i="16" s="1"/>
  <c r="O78" i="17"/>
  <c r="P21" i="19"/>
  <c r="O33" i="16" s="1"/>
  <c r="P55" i="19"/>
  <c r="Q60" i="23"/>
  <c r="P112" i="19"/>
  <c r="Q70" i="23"/>
  <c r="P42" i="19"/>
  <c r="O64" i="16" s="1"/>
  <c r="O89" i="17"/>
  <c r="Q25" i="23"/>
  <c r="P53" i="19"/>
  <c r="Q74" i="23"/>
  <c r="Q94" i="23"/>
  <c r="O118" i="17"/>
  <c r="P89" i="19"/>
  <c r="O28" i="17"/>
  <c r="O28" i="16"/>
  <c r="Q48" i="23"/>
  <c r="O119" i="17"/>
  <c r="O82" i="17"/>
  <c r="P58" i="19"/>
  <c r="O82" i="16" s="1"/>
  <c r="P60" i="19"/>
  <c r="O27" i="17"/>
  <c r="O41" i="17"/>
  <c r="O126" i="17"/>
  <c r="Q81" i="23"/>
  <c r="O44" i="17"/>
  <c r="O33" i="17"/>
  <c r="O29" i="16"/>
  <c r="O29" i="17"/>
  <c r="O77" i="17"/>
  <c r="O102" i="17"/>
  <c r="P17" i="19"/>
  <c r="O34" i="17"/>
  <c r="O45" i="17"/>
  <c r="O204" i="42"/>
  <c r="N24" i="19"/>
  <c r="M104" i="17"/>
  <c r="O54" i="23"/>
  <c r="N67" i="19"/>
  <c r="O58" i="23"/>
  <c r="N72" i="19"/>
  <c r="N46" i="19"/>
  <c r="M69" i="16" s="1"/>
  <c r="M65" i="17"/>
  <c r="O81" i="23"/>
  <c r="N35" i="19"/>
  <c r="O45" i="23"/>
  <c r="M77" i="17"/>
  <c r="N22" i="19"/>
  <c r="O59" i="23"/>
  <c r="N31" i="19"/>
  <c r="O27" i="23"/>
  <c r="O22" i="23"/>
  <c r="M56" i="17"/>
  <c r="M82" i="17"/>
  <c r="N64" i="19"/>
  <c r="M97" i="17"/>
  <c r="N21" i="19"/>
  <c r="O21" i="23"/>
  <c r="M93" i="17"/>
  <c r="O49" i="23"/>
  <c r="O94" i="23"/>
  <c r="N52" i="19"/>
  <c r="N94" i="19"/>
  <c r="M118" i="16" s="1"/>
  <c r="M79" i="17"/>
  <c r="N76" i="19"/>
  <c r="O93" i="23"/>
  <c r="N98" i="19"/>
  <c r="O73" i="23"/>
  <c r="N73" i="19"/>
  <c r="M68" i="17"/>
  <c r="N44" i="19"/>
  <c r="N59" i="19"/>
  <c r="M83" i="16" s="1"/>
  <c r="M67" i="17"/>
  <c r="N25" i="19"/>
  <c r="O56" i="23"/>
  <c r="M100" i="17"/>
  <c r="N97" i="19"/>
  <c r="N50" i="19"/>
  <c r="N28" i="19"/>
  <c r="O77" i="23"/>
  <c r="O25" i="23"/>
  <c r="O26" i="23"/>
  <c r="O83" i="23"/>
  <c r="M103" i="17"/>
  <c r="N112" i="19"/>
  <c r="N78" i="19"/>
  <c r="N20" i="19"/>
  <c r="M32" i="16" s="1"/>
  <c r="O55" i="23"/>
  <c r="N103" i="19"/>
  <c r="M96" i="17"/>
  <c r="N63" i="19"/>
  <c r="M87" i="16" s="1"/>
  <c r="N26" i="19"/>
  <c r="N66" i="19"/>
  <c r="O78" i="23"/>
  <c r="N96" i="19"/>
  <c r="O71" i="23"/>
  <c r="N47" i="19"/>
  <c r="N42" i="19"/>
  <c r="M75" i="17"/>
  <c r="N80" i="19"/>
  <c r="M104" i="16" s="1"/>
  <c r="N77" i="19"/>
  <c r="N83" i="19"/>
  <c r="N33" i="19"/>
  <c r="M74" i="17"/>
  <c r="O30" i="23"/>
  <c r="N32" i="19"/>
  <c r="O70" i="23"/>
  <c r="O57" i="23"/>
  <c r="M25" i="16"/>
  <c r="M56" i="16"/>
  <c r="O92" i="23"/>
  <c r="M91" i="17"/>
  <c r="M102" i="17"/>
  <c r="M22" i="16"/>
  <c r="M87" i="17"/>
  <c r="N91" i="19"/>
  <c r="M98" i="17"/>
  <c r="M127" i="17"/>
  <c r="O63" i="23"/>
  <c r="M29" i="17"/>
  <c r="M29" i="16"/>
  <c r="N17" i="19"/>
  <c r="J28" i="36"/>
  <c r="O100" i="16" l="1"/>
  <c r="P75" i="19"/>
  <c r="O99" i="16" s="1"/>
  <c r="P78" i="19"/>
  <c r="O102" i="16" s="1"/>
  <c r="Q43" i="23"/>
  <c r="O77" i="16" s="1"/>
  <c r="Q54" i="23"/>
  <c r="O93" i="16" s="1"/>
  <c r="O107" i="17"/>
  <c r="O54" i="17"/>
  <c r="P65" i="19"/>
  <c r="O47" i="16"/>
  <c r="O130" i="17"/>
  <c r="O100" i="17"/>
  <c r="O21" i="16"/>
  <c r="O46" i="17"/>
  <c r="O99" i="17"/>
  <c r="Q39" i="23"/>
  <c r="O67" i="16" s="1"/>
  <c r="P59" i="19"/>
  <c r="O83" i="16" s="1"/>
  <c r="O121" i="17"/>
  <c r="O23" i="17"/>
  <c r="O113" i="17"/>
  <c r="O47" i="17"/>
  <c r="O79" i="17"/>
  <c r="O122" i="17"/>
  <c r="O37" i="17"/>
  <c r="Q55" i="23"/>
  <c r="O96" i="16" s="1"/>
  <c r="O44" i="16"/>
  <c r="P96" i="19"/>
  <c r="P80" i="19"/>
  <c r="O104" i="16" s="1"/>
  <c r="P46" i="19"/>
  <c r="O69" i="16" s="1"/>
  <c r="O67" i="17"/>
  <c r="O37" i="16"/>
  <c r="O72" i="17"/>
  <c r="O74" i="17"/>
  <c r="O21" i="17"/>
  <c r="Q75" i="23"/>
  <c r="P53" i="18"/>
  <c r="O48" i="16"/>
  <c r="O51" i="16"/>
  <c r="P64" i="19"/>
  <c r="O88" i="16" s="1"/>
  <c r="Q92" i="23"/>
  <c r="Q44" i="23"/>
  <c r="O78" i="16" s="1"/>
  <c r="Q73" i="23"/>
  <c r="O117" i="16" s="1"/>
  <c r="Q45" i="23"/>
  <c r="O79" i="16" s="1"/>
  <c r="Q69" i="23"/>
  <c r="Q84" i="23"/>
  <c r="Q49" i="23"/>
  <c r="O84" i="16"/>
  <c r="O76" i="17"/>
  <c r="P74" i="19"/>
  <c r="O98" i="16" s="1"/>
  <c r="P23" i="19"/>
  <c r="O46" i="16"/>
  <c r="O103" i="17"/>
  <c r="O125" i="17"/>
  <c r="P94" i="19"/>
  <c r="O97" i="17"/>
  <c r="O69" i="17"/>
  <c r="O54" i="16"/>
  <c r="O129" i="16"/>
  <c r="O64" i="17"/>
  <c r="O139" i="17"/>
  <c r="O127" i="17"/>
  <c r="O56" i="17"/>
  <c r="O56" i="16"/>
  <c r="O48" i="17"/>
  <c r="P113" i="19"/>
  <c r="O36" i="16"/>
  <c r="O36" i="17"/>
  <c r="O81" i="17"/>
  <c r="P57" i="19"/>
  <c r="O81" i="16" s="1"/>
  <c r="Q77" i="23"/>
  <c r="Q50" i="23"/>
  <c r="O73" i="17"/>
  <c r="P49" i="19"/>
  <c r="O73" i="16" s="1"/>
  <c r="O86" i="17"/>
  <c r="P62" i="19"/>
  <c r="O86" i="16" s="1"/>
  <c r="P50" i="19"/>
  <c r="O74" i="16" s="1"/>
  <c r="O98" i="17"/>
  <c r="O91" i="16"/>
  <c r="P52" i="19"/>
  <c r="O76" i="16" s="1"/>
  <c r="O68" i="17"/>
  <c r="P66" i="19"/>
  <c r="O90" i="16" s="1"/>
  <c r="O25" i="16"/>
  <c r="O25" i="17"/>
  <c r="O101" i="17"/>
  <c r="O101" i="16"/>
  <c r="O57" i="16"/>
  <c r="O57" i="17"/>
  <c r="O70" i="17"/>
  <c r="O70" i="16"/>
  <c r="O32" i="16"/>
  <c r="O32" i="17"/>
  <c r="O22" i="16"/>
  <c r="O22" i="17"/>
  <c r="P102" i="19"/>
  <c r="O38" i="17"/>
  <c r="O38" i="16"/>
  <c r="O115" i="17"/>
  <c r="Q76" i="23"/>
  <c r="O107" i="16"/>
  <c r="P98" i="19"/>
  <c r="P73" i="19"/>
  <c r="O97" i="16" s="1"/>
  <c r="Q78" i="23"/>
  <c r="O55" i="16"/>
  <c r="O55" i="17"/>
  <c r="P90" i="19"/>
  <c r="O114" i="17"/>
  <c r="O75" i="17"/>
  <c r="Q83" i="23"/>
  <c r="O120" i="17"/>
  <c r="P79" i="19"/>
  <c r="O103" i="16" s="1"/>
  <c r="O115" i="16"/>
  <c r="O125" i="16"/>
  <c r="M45" i="17"/>
  <c r="M28" i="16"/>
  <c r="M101" i="17"/>
  <c r="M100" i="16"/>
  <c r="O51" i="23"/>
  <c r="M90" i="16" s="1"/>
  <c r="O44" i="23"/>
  <c r="M88" i="16"/>
  <c r="N58" i="19"/>
  <c r="M82" i="16" s="1"/>
  <c r="M45" i="16"/>
  <c r="N89" i="19"/>
  <c r="M83" i="17"/>
  <c r="M28" i="17"/>
  <c r="M90" i="17"/>
  <c r="O69" i="23"/>
  <c r="N69" i="19"/>
  <c r="M93" i="16" s="1"/>
  <c r="O42" i="23"/>
  <c r="O43" i="23"/>
  <c r="M64" i="17"/>
  <c r="M84" i="17"/>
  <c r="N55" i="19"/>
  <c r="M79" i="16" s="1"/>
  <c r="O39" i="23"/>
  <c r="M67" i="16" s="1"/>
  <c r="M37" i="17"/>
  <c r="M107" i="17"/>
  <c r="M101" i="16"/>
  <c r="M126" i="17"/>
  <c r="N90" i="19"/>
  <c r="M24" i="16"/>
  <c r="M52" i="17"/>
  <c r="M52" i="16"/>
  <c r="N65" i="19"/>
  <c r="M89" i="17"/>
  <c r="M34" i="17"/>
  <c r="M55" i="17"/>
  <c r="N45" i="19"/>
  <c r="M68" i="16" s="1"/>
  <c r="M88" i="17"/>
  <c r="M139" i="17"/>
  <c r="M46" i="17"/>
  <c r="M46" i="16"/>
  <c r="M69" i="17"/>
  <c r="N62" i="19"/>
  <c r="M86" i="17"/>
  <c r="M96" i="16"/>
  <c r="N34" i="19"/>
  <c r="M47" i="17"/>
  <c r="M127" i="16"/>
  <c r="M114" i="17"/>
  <c r="M121" i="17"/>
  <c r="M102" i="16"/>
  <c r="N79" i="19"/>
  <c r="M120" i="17"/>
  <c r="O41" i="23"/>
  <c r="M74" i="16" s="1"/>
  <c r="M118" i="17"/>
  <c r="O82" i="23"/>
  <c r="M23" i="16"/>
  <c r="M36" i="16"/>
  <c r="M36" i="17"/>
  <c r="M72" i="16"/>
  <c r="M72" i="17"/>
  <c r="L24" i="22"/>
  <c r="M55" i="16"/>
  <c r="M44" i="17"/>
  <c r="M57" i="16"/>
  <c r="M57" i="17"/>
  <c r="N60" i="19"/>
  <c r="N95" i="19"/>
  <c r="O50" i="23"/>
  <c r="M113" i="17"/>
  <c r="M33" i="17"/>
  <c r="O84" i="23"/>
  <c r="O60" i="24"/>
  <c r="O37" i="23"/>
  <c r="M65" i="16" s="1"/>
  <c r="M117" i="17"/>
  <c r="M117" i="16"/>
  <c r="M27" i="17"/>
  <c r="M70" i="17"/>
  <c r="M70" i="16"/>
  <c r="M97" i="16"/>
  <c r="M81" i="17"/>
  <c r="N57" i="19"/>
  <c r="M81" i="16" s="1"/>
  <c r="M122" i="16"/>
  <c r="N74" i="19"/>
  <c r="M98" i="16" s="1"/>
  <c r="M38" i="17"/>
  <c r="M38" i="16"/>
  <c r="M78" i="17"/>
  <c r="N54" i="19"/>
  <c r="M129" i="17"/>
  <c r="M129" i="16"/>
  <c r="M115" i="17"/>
  <c r="M34" i="16"/>
  <c r="M51" i="16"/>
  <c r="M51" i="17"/>
  <c r="N53" i="18"/>
  <c r="M122" i="17"/>
  <c r="M125" i="17"/>
  <c r="N101" i="19"/>
  <c r="N51" i="19"/>
  <c r="M75" i="16" s="1"/>
  <c r="M130" i="17"/>
  <c r="N104" i="19"/>
  <c r="M119" i="17"/>
  <c r="M35" i="17"/>
  <c r="N23" i="19"/>
  <c r="M44" i="16"/>
  <c r="M64" i="16"/>
  <c r="O46" i="23"/>
  <c r="M73" i="17"/>
  <c r="N49" i="19"/>
  <c r="M73" i="16" s="1"/>
  <c r="N22" i="18"/>
  <c r="M21" i="16"/>
  <c r="M91" i="16"/>
  <c r="N53" i="19"/>
  <c r="M32" i="17"/>
  <c r="N75" i="19"/>
  <c r="M99" i="16" s="1"/>
  <c r="M99" i="17"/>
  <c r="M41" i="17"/>
  <c r="M41" i="16"/>
  <c r="M54" i="16"/>
  <c r="M54" i="17"/>
  <c r="O48" i="23"/>
  <c r="M48" i="16"/>
  <c r="M48" i="17"/>
  <c r="O75" i="23"/>
  <c r="M37" i="16"/>
  <c r="M76" i="16"/>
  <c r="M76" i="17"/>
  <c r="O60" i="23"/>
  <c r="O76" i="23"/>
  <c r="M121" i="16"/>
  <c r="M115" i="16"/>
  <c r="M107" i="16"/>
  <c r="L112" i="19"/>
  <c r="K82" i="17"/>
  <c r="M63" i="23"/>
  <c r="L44" i="19"/>
  <c r="M26" i="23"/>
  <c r="K96" i="17"/>
  <c r="M57" i="23"/>
  <c r="L24" i="19"/>
  <c r="L102" i="19"/>
  <c r="L55" i="19"/>
  <c r="L25" i="19"/>
  <c r="K37" i="16" s="1"/>
  <c r="M22" i="23"/>
  <c r="L28" i="19"/>
  <c r="M37" i="23"/>
  <c r="M74" i="23"/>
  <c r="L113" i="19"/>
  <c r="L35" i="19"/>
  <c r="M55" i="23"/>
  <c r="K53" i="17"/>
  <c r="M25" i="23"/>
  <c r="M58" i="23"/>
  <c r="K86" i="17"/>
  <c r="L64" i="19"/>
  <c r="K88" i="16" s="1"/>
  <c r="M21" i="23"/>
  <c r="M71" i="23"/>
  <c r="M46" i="23"/>
  <c r="L20" i="19"/>
  <c r="K54" i="17"/>
  <c r="K74" i="17"/>
  <c r="AL104" i="20"/>
  <c r="M94" i="23"/>
  <c r="M30" i="23"/>
  <c r="K57" i="16"/>
  <c r="K47" i="17"/>
  <c r="L72" i="19"/>
  <c r="L60" i="19"/>
  <c r="K35" i="17"/>
  <c r="K103" i="17"/>
  <c r="K48" i="17"/>
  <c r="L52" i="19"/>
  <c r="L78" i="19"/>
  <c r="L67" i="19"/>
  <c r="K121" i="17"/>
  <c r="K127" i="17"/>
  <c r="M54" i="23"/>
  <c r="M59" i="23"/>
  <c r="L49" i="19"/>
  <c r="K73" i="16" s="1"/>
  <c r="L42" i="19"/>
  <c r="K64" i="16" s="1"/>
  <c r="L74" i="19"/>
  <c r="L76" i="19"/>
  <c r="M27" i="23"/>
  <c r="AI84" i="23"/>
  <c r="K139" i="17"/>
  <c r="L96" i="19"/>
  <c r="L65" i="19"/>
  <c r="K34" i="17"/>
  <c r="K89" i="17"/>
  <c r="K97" i="17"/>
  <c r="M78" i="23"/>
  <c r="K87" i="17"/>
  <c r="L33" i="19"/>
  <c r="K46" i="16" s="1"/>
  <c r="L31" i="19"/>
  <c r="L53" i="19"/>
  <c r="K78" i="17"/>
  <c r="K21" i="17"/>
  <c r="M100" i="42"/>
  <c r="M52" i="23"/>
  <c r="L26" i="19"/>
  <c r="L21" i="19"/>
  <c r="K116" i="30"/>
  <c r="M93" i="23"/>
  <c r="K99" i="17"/>
  <c r="K117" i="17"/>
  <c r="L93" i="19"/>
  <c r="K88" i="17"/>
  <c r="L91" i="19"/>
  <c r="K56" i="16"/>
  <c r="K56" i="17"/>
  <c r="K129" i="16"/>
  <c r="K129" i="17"/>
  <c r="K65" i="17"/>
  <c r="M73" i="23"/>
  <c r="K75" i="17"/>
  <c r="K55" i="16"/>
  <c r="K55" i="17"/>
  <c r="L51" i="19"/>
  <c r="K75" i="16" s="1"/>
  <c r="K70" i="17"/>
  <c r="K57" i="17"/>
  <c r="K53" i="16"/>
  <c r="K24" i="17"/>
  <c r="K24" i="16"/>
  <c r="K119" i="17"/>
  <c r="K46" i="17"/>
  <c r="K51" i="17"/>
  <c r="K51" i="16"/>
  <c r="M83" i="23"/>
  <c r="L69" i="19"/>
  <c r="L32" i="19"/>
  <c r="K45" i="17"/>
  <c r="L47" i="19"/>
  <c r="K70" i="16" s="1"/>
  <c r="K37" i="17"/>
  <c r="M77" i="23"/>
  <c r="K33" i="17"/>
  <c r="K130" i="17"/>
  <c r="L104" i="19"/>
  <c r="M47" i="26"/>
  <c r="O60" i="25"/>
  <c r="O67" i="25" s="1"/>
  <c r="O42" i="25"/>
  <c r="L67" i="22"/>
  <c r="N86" i="21"/>
  <c r="N99" i="20"/>
  <c r="N106" i="20" s="1"/>
  <c r="N36" i="20"/>
  <c r="N29" i="20"/>
  <c r="N134" i="18"/>
  <c r="N93" i="18"/>
  <c r="N44" i="18"/>
  <c r="O89" i="16" l="1"/>
  <c r="O35" i="16"/>
  <c r="O119" i="16"/>
  <c r="O118" i="16"/>
  <c r="O130" i="16"/>
  <c r="O58" i="17"/>
  <c r="O58" i="16"/>
  <c r="O113" i="16"/>
  <c r="O120" i="16"/>
  <c r="O114" i="16"/>
  <c r="O122" i="16"/>
  <c r="O126" i="16"/>
  <c r="O121" i="16"/>
  <c r="O94" i="17"/>
  <c r="P70" i="19"/>
  <c r="O94" i="16" s="1"/>
  <c r="O138" i="17"/>
  <c r="O127" i="16"/>
  <c r="M78" i="16"/>
  <c r="M103" i="16"/>
  <c r="M58" i="17"/>
  <c r="M126" i="16"/>
  <c r="M77" i="16"/>
  <c r="M113" i="16"/>
  <c r="M125" i="16"/>
  <c r="M114" i="16"/>
  <c r="M84" i="16"/>
  <c r="M89" i="16"/>
  <c r="M130" i="16"/>
  <c r="M58" i="16"/>
  <c r="M119" i="16"/>
  <c r="M47" i="16"/>
  <c r="M94" i="17"/>
  <c r="N70" i="19"/>
  <c r="M94" i="16" s="1"/>
  <c r="M120" i="16"/>
  <c r="M35" i="16"/>
  <c r="M86" i="16"/>
  <c r="M138" i="17"/>
  <c r="K96" i="16"/>
  <c r="L33" i="37"/>
  <c r="M69" i="23"/>
  <c r="M70" i="23"/>
  <c r="M39" i="23"/>
  <c r="K67" i="16" s="1"/>
  <c r="K44" i="17"/>
  <c r="L66" i="19"/>
  <c r="L58" i="19"/>
  <c r="K82" i="16" s="1"/>
  <c r="K76" i="17"/>
  <c r="L83" i="19"/>
  <c r="K120" i="17"/>
  <c r="K41" i="16"/>
  <c r="K98" i="17"/>
  <c r="L34" i="19"/>
  <c r="K47" i="16" s="1"/>
  <c r="L22" i="19"/>
  <c r="K99" i="16"/>
  <c r="K54" i="16"/>
  <c r="K58" i="16" s="1"/>
  <c r="K41" i="17"/>
  <c r="K22" i="16"/>
  <c r="K115" i="17"/>
  <c r="L62" i="19"/>
  <c r="L77" i="19"/>
  <c r="K101" i="16" s="1"/>
  <c r="K125" i="17"/>
  <c r="K22" i="17"/>
  <c r="M60" i="25"/>
  <c r="M84" i="23"/>
  <c r="M82" i="23"/>
  <c r="M81" i="23"/>
  <c r="M51" i="23"/>
  <c r="M45" i="23"/>
  <c r="K79" i="16" s="1"/>
  <c r="M60" i="24"/>
  <c r="M75" i="23"/>
  <c r="K44" i="16"/>
  <c r="K48" i="16"/>
  <c r="K76" i="16"/>
  <c r="K107" i="17"/>
  <c r="K38" i="17"/>
  <c r="K118" i="17"/>
  <c r="K122" i="17"/>
  <c r="L98" i="19"/>
  <c r="K122" i="16" s="1"/>
  <c r="L95" i="19"/>
  <c r="L94" i="19"/>
  <c r="L50" i="19"/>
  <c r="L97" i="19"/>
  <c r="K36" i="17"/>
  <c r="L101" i="19"/>
  <c r="K100" i="17"/>
  <c r="K84" i="16"/>
  <c r="K65" i="16"/>
  <c r="K58" i="17"/>
  <c r="AC134" i="18"/>
  <c r="L90" i="19"/>
  <c r="K84" i="17"/>
  <c r="K114" i="17"/>
  <c r="M76" i="23"/>
  <c r="L53" i="18"/>
  <c r="L23" i="19"/>
  <c r="K23" i="17"/>
  <c r="K98" i="16"/>
  <c r="M50" i="23"/>
  <c r="K89" i="16" s="1"/>
  <c r="K23" i="16"/>
  <c r="M41" i="23"/>
  <c r="M42" i="23"/>
  <c r="K91" i="16"/>
  <c r="K38" i="16"/>
  <c r="K36" i="16"/>
  <c r="K100" i="16"/>
  <c r="L45" i="19"/>
  <c r="K68" i="16" s="1"/>
  <c r="K73" i="17"/>
  <c r="K32" i="17"/>
  <c r="L89" i="19"/>
  <c r="K113" i="17"/>
  <c r="K102" i="16"/>
  <c r="K32" i="16"/>
  <c r="K115" i="16"/>
  <c r="K94" i="17"/>
  <c r="K81" i="17"/>
  <c r="L57" i="19"/>
  <c r="K81" i="16" s="1"/>
  <c r="K72" i="16"/>
  <c r="K72" i="17"/>
  <c r="K67" i="17"/>
  <c r="K29" i="17"/>
  <c r="K29" i="16"/>
  <c r="L46" i="19"/>
  <c r="K69" i="16" s="1"/>
  <c r="M43" i="23"/>
  <c r="K77" i="16" s="1"/>
  <c r="K102" i="17"/>
  <c r="L80" i="19"/>
  <c r="K104" i="16" s="1"/>
  <c r="K104" i="17"/>
  <c r="M44" i="23"/>
  <c r="K69" i="17"/>
  <c r="K101" i="17"/>
  <c r="K79" i="17"/>
  <c r="K93" i="17"/>
  <c r="K91" i="17"/>
  <c r="L54" i="19"/>
  <c r="K68" i="17"/>
  <c r="M48" i="23"/>
  <c r="L103" i="19"/>
  <c r="K33" i="16"/>
  <c r="M60" i="23"/>
  <c r="K103" i="16" s="1"/>
  <c r="K25" i="17"/>
  <c r="K25" i="16"/>
  <c r="K21" i="16"/>
  <c r="L22" i="18"/>
  <c r="M49" i="23"/>
  <c r="L63" i="19"/>
  <c r="K87" i="16" s="1"/>
  <c r="K77" i="17"/>
  <c r="L59" i="19"/>
  <c r="K83" i="16" s="1"/>
  <c r="K83" i="17"/>
  <c r="M92" i="23"/>
  <c r="M56" i="23"/>
  <c r="J24" i="22"/>
  <c r="L73" i="19"/>
  <c r="K90" i="17"/>
  <c r="K117" i="16"/>
  <c r="K93" i="16"/>
  <c r="K45" i="16"/>
  <c r="N38" i="20"/>
  <c r="K114" i="16" l="1"/>
  <c r="K90" i="16"/>
  <c r="K86" i="16"/>
  <c r="K107" i="16"/>
  <c r="K34" i="16"/>
  <c r="K120" i="16"/>
  <c r="K126" i="16"/>
  <c r="K118" i="16"/>
  <c r="K125" i="16"/>
  <c r="K130" i="16"/>
  <c r="K35" i="16"/>
  <c r="L70" i="19"/>
  <c r="K94" i="16" s="1"/>
  <c r="K97" i="16"/>
  <c r="K119" i="16"/>
  <c r="K121" i="16"/>
  <c r="K74" i="16"/>
  <c r="K78" i="16"/>
  <c r="K113" i="16"/>
  <c r="K138" i="17"/>
  <c r="K127" i="16"/>
  <c r="Z20" i="43"/>
  <c r="L70" i="21" l="1"/>
  <c r="L77" i="21" s="1"/>
  <c r="L86" i="21"/>
  <c r="L52" i="21"/>
  <c r="L56" i="21" s="1"/>
  <c r="L80" i="21" l="1"/>
  <c r="N17" i="28" l="1"/>
  <c r="C65" i="17"/>
  <c r="I28" i="16" l="1"/>
  <c r="I28" i="17"/>
  <c r="AE95" i="17"/>
  <c r="AJ71" i="20"/>
  <c r="AL71" i="20" s="1"/>
  <c r="AG71" i="19"/>
  <c r="AE95" i="16" s="1"/>
  <c r="AB95" i="17"/>
  <c r="G57" i="23" l="1"/>
  <c r="F22" i="19"/>
  <c r="F24" i="19"/>
  <c r="G75" i="23"/>
  <c r="G78" i="23"/>
  <c r="G30" i="23"/>
  <c r="G21" i="23"/>
  <c r="E98" i="17"/>
  <c r="G27" i="23"/>
  <c r="F54" i="19"/>
  <c r="G60" i="23"/>
  <c r="G58" i="23"/>
  <c r="E77" i="17"/>
  <c r="F45" i="19"/>
  <c r="E68" i="16" s="1"/>
  <c r="E122" i="17"/>
  <c r="G20" i="23"/>
  <c r="F53" i="19"/>
  <c r="G83" i="23"/>
  <c r="G94" i="23"/>
  <c r="E107" i="17"/>
  <c r="F73" i="19"/>
  <c r="G56" i="23"/>
  <c r="F21" i="19"/>
  <c r="F35" i="19"/>
  <c r="F34" i="19"/>
  <c r="E47" i="16" s="1"/>
  <c r="E65" i="17"/>
  <c r="G52" i="23"/>
  <c r="F20" i="19"/>
  <c r="F28" i="19"/>
  <c r="G37" i="23"/>
  <c r="F78" i="19"/>
  <c r="G42" i="23"/>
  <c r="F63" i="19"/>
  <c r="E87" i="16" s="1"/>
  <c r="G48" i="23"/>
  <c r="E139" i="17"/>
  <c r="G45" i="23"/>
  <c r="G55" i="23"/>
  <c r="G93" i="23"/>
  <c r="F69" i="19"/>
  <c r="G41" i="23"/>
  <c r="E96" i="17"/>
  <c r="F77" i="19"/>
  <c r="E76" i="17"/>
  <c r="F51" i="19"/>
  <c r="G49" i="23"/>
  <c r="G82" i="23"/>
  <c r="G44" i="23"/>
  <c r="F23" i="19"/>
  <c r="G22" i="23"/>
  <c r="G25" i="23"/>
  <c r="E44" i="16" s="1"/>
  <c r="G59" i="23"/>
  <c r="F33" i="19"/>
  <c r="E46" i="16" s="1"/>
  <c r="G51" i="23"/>
  <c r="F80" i="19"/>
  <c r="E104" i="16" s="1"/>
  <c r="G46" i="23"/>
  <c r="E89" i="17"/>
  <c r="G26" i="23"/>
  <c r="G69" i="23"/>
  <c r="E120" i="17"/>
  <c r="G81" i="23"/>
  <c r="E90" i="17"/>
  <c r="E103" i="17"/>
  <c r="E125" i="17"/>
  <c r="F50" i="19"/>
  <c r="F101" i="19"/>
  <c r="E73" i="17"/>
  <c r="F49" i="19"/>
  <c r="E73" i="16" s="1"/>
  <c r="F83" i="19"/>
  <c r="E129" i="17"/>
  <c r="E114" i="17"/>
  <c r="F66" i="19"/>
  <c r="F89" i="19"/>
  <c r="E69" i="17"/>
  <c r="F57" i="19"/>
  <c r="E81" i="16" s="1"/>
  <c r="E81" i="17"/>
  <c r="E35" i="17"/>
  <c r="E56" i="16"/>
  <c r="F97" i="19"/>
  <c r="E36" i="17"/>
  <c r="E23" i="17"/>
  <c r="E68" i="17"/>
  <c r="F17" i="19"/>
  <c r="F93" i="19"/>
  <c r="E117" i="17"/>
  <c r="F32" i="19"/>
  <c r="E55" i="17"/>
  <c r="E55" i="16"/>
  <c r="E86" i="17"/>
  <c r="F62" i="19"/>
  <c r="F102" i="19"/>
  <c r="E127" i="17"/>
  <c r="G76" i="23"/>
  <c r="E72" i="16"/>
  <c r="E97" i="17"/>
  <c r="F91" i="19"/>
  <c r="E51" i="17"/>
  <c r="E53" i="16"/>
  <c r="E53" i="17"/>
  <c r="G63" i="23"/>
  <c r="G84" i="23"/>
  <c r="F94" i="19"/>
  <c r="F58" i="19"/>
  <c r="E82" i="16" s="1"/>
  <c r="E82" i="17"/>
  <c r="E119" i="17"/>
  <c r="F95" i="19"/>
  <c r="E22" i="17"/>
  <c r="E22" i="16"/>
  <c r="F52" i="19"/>
  <c r="E76" i="16" s="1"/>
  <c r="AH95" i="17"/>
  <c r="AJ95" i="17" s="1"/>
  <c r="N23" i="15" l="1"/>
  <c r="E36" i="16"/>
  <c r="E45" i="16"/>
  <c r="E86" i="16"/>
  <c r="E48" i="16"/>
  <c r="G39" i="23"/>
  <c r="E74" i="16"/>
  <c r="E102" i="17"/>
  <c r="E23" i="16"/>
  <c r="E45" i="17"/>
  <c r="E56" i="17"/>
  <c r="F96" i="19"/>
  <c r="E120" i="16" s="1"/>
  <c r="E129" i="16"/>
  <c r="E104" i="17"/>
  <c r="E125" i="16"/>
  <c r="F44" i="19"/>
  <c r="E46" i="17"/>
  <c r="F103" i="19"/>
  <c r="E70" i="17"/>
  <c r="E75" i="16"/>
  <c r="F22" i="18"/>
  <c r="G73" i="23"/>
  <c r="E90" i="16"/>
  <c r="G50" i="23"/>
  <c r="G54" i="23"/>
  <c r="E93" i="16" s="1"/>
  <c r="G74" i="23"/>
  <c r="E118" i="16" s="1"/>
  <c r="G77" i="23"/>
  <c r="E121" i="16" s="1"/>
  <c r="G71" i="23"/>
  <c r="G70" i="23"/>
  <c r="G43" i="23"/>
  <c r="E77" i="16" s="1"/>
  <c r="E97" i="16"/>
  <c r="E78" i="17"/>
  <c r="E54" i="17"/>
  <c r="E78" i="16"/>
  <c r="E102" i="16"/>
  <c r="F76" i="19"/>
  <c r="E100" i="16" s="1"/>
  <c r="F46" i="19"/>
  <c r="E69" i="16" s="1"/>
  <c r="F47" i="19"/>
  <c r="E70" i="16" s="1"/>
  <c r="F55" i="19"/>
  <c r="E79" i="16" s="1"/>
  <c r="F42" i="19"/>
  <c r="E64" i="16" s="1"/>
  <c r="F98" i="19"/>
  <c r="E74" i="17"/>
  <c r="E67" i="17"/>
  <c r="E75" i="17"/>
  <c r="E84" i="17"/>
  <c r="E100" i="17"/>
  <c r="E93" i="17"/>
  <c r="E32" i="16"/>
  <c r="E88" i="17"/>
  <c r="E33" i="16"/>
  <c r="E65" i="16"/>
  <c r="E118" i="17"/>
  <c r="E115" i="17"/>
  <c r="E54" i="16"/>
  <c r="E64" i="17"/>
  <c r="E32" i="17"/>
  <c r="E94" i="17"/>
  <c r="F90" i="19"/>
  <c r="F75" i="19"/>
  <c r="E99" i="16" s="1"/>
  <c r="E99" i="17"/>
  <c r="G92" i="23"/>
  <c r="E52" i="16"/>
  <c r="E52" i="17"/>
  <c r="F104" i="19"/>
  <c r="E34" i="16"/>
  <c r="E34" i="17"/>
  <c r="E38" i="16"/>
  <c r="E38" i="17"/>
  <c r="E33" i="17"/>
  <c r="F67" i="19"/>
  <c r="E91" i="16" s="1"/>
  <c r="E48" i="17"/>
  <c r="F112" i="19"/>
  <c r="E47" i="26"/>
  <c r="E101" i="16"/>
  <c r="E101" i="17"/>
  <c r="F79" i="19"/>
  <c r="E103" i="16" s="1"/>
  <c r="F74" i="19"/>
  <c r="E98" i="16" s="1"/>
  <c r="E29" i="16"/>
  <c r="F65" i="19"/>
  <c r="E41" i="16"/>
  <c r="E41" i="17"/>
  <c r="F60" i="19"/>
  <c r="E84" i="16" s="1"/>
  <c r="F113" i="19"/>
  <c r="E47" i="17"/>
  <c r="E72" i="17"/>
  <c r="F64" i="19"/>
  <c r="E88" i="16" s="1"/>
  <c r="E126" i="17"/>
  <c r="E91" i="17"/>
  <c r="E83" i="17"/>
  <c r="F59" i="19"/>
  <c r="E83" i="16" s="1"/>
  <c r="F72" i="19"/>
  <c r="E96" i="16" s="1"/>
  <c r="E121" i="17"/>
  <c r="E37" i="17"/>
  <c r="F25" i="19"/>
  <c r="E113" i="17"/>
  <c r="E79" i="17"/>
  <c r="E87" i="17"/>
  <c r="E35" i="16"/>
  <c r="E126" i="16"/>
  <c r="E119" i="16"/>
  <c r="E113" i="16"/>
  <c r="E107" i="16"/>
  <c r="U26" i="17"/>
  <c r="U26" i="16"/>
  <c r="W79" i="23"/>
  <c r="E58" i="16" l="1"/>
  <c r="E58" i="17"/>
  <c r="E49" i="16"/>
  <c r="E67" i="16"/>
  <c r="F70" i="19"/>
  <c r="E94" i="16" s="1"/>
  <c r="E114" i="16"/>
  <c r="E127" i="16"/>
  <c r="E89" i="16"/>
  <c r="E130" i="16"/>
  <c r="E115" i="16"/>
  <c r="E138" i="17"/>
  <c r="E117" i="16"/>
  <c r="E122" i="16"/>
  <c r="E37" i="16"/>
  <c r="G30" i="41"/>
  <c r="R33" i="37" l="1"/>
  <c r="C126" i="17" l="1"/>
  <c r="O16" i="40"/>
  <c r="H35" i="19" l="1"/>
  <c r="O36" i="40"/>
  <c r="O24" i="40"/>
  <c r="Y40" i="41" l="1"/>
  <c r="Y30" i="41"/>
  <c r="W30" i="41"/>
  <c r="U40" i="41"/>
  <c r="U30" i="41"/>
  <c r="S40" i="41"/>
  <c r="S30" i="41"/>
  <c r="Q40" i="41"/>
  <c r="Q30" i="41"/>
  <c r="O40" i="41"/>
  <c r="O30" i="41"/>
  <c r="M40" i="41"/>
  <c r="K40" i="41"/>
  <c r="I40" i="41"/>
  <c r="I30" i="41"/>
  <c r="G40" i="41"/>
  <c r="G43" i="41" l="1"/>
  <c r="W43" i="41"/>
  <c r="I43" i="41"/>
  <c r="M43" i="41"/>
  <c r="Q43" i="41"/>
  <c r="U43" i="41"/>
  <c r="Y43" i="41"/>
  <c r="K43" i="41"/>
  <c r="O43" i="41"/>
  <c r="S43" i="41"/>
  <c r="F20" i="33"/>
  <c r="H20" i="33"/>
  <c r="J17" i="33"/>
  <c r="A41" i="12" l="1"/>
  <c r="W26" i="17" l="1"/>
  <c r="W23" i="26"/>
  <c r="W26" i="16" l="1"/>
  <c r="N44" i="39" l="1"/>
  <c r="N46" i="39"/>
  <c r="I65" i="17" l="1"/>
  <c r="K46" i="23"/>
  <c r="K57" i="23"/>
  <c r="K44" i="23"/>
  <c r="K58" i="23"/>
  <c r="F20" i="15"/>
  <c r="K30" i="23"/>
  <c r="K37" i="23"/>
  <c r="I65" i="16" s="1"/>
  <c r="J79" i="19"/>
  <c r="K26" i="23"/>
  <c r="K25" i="23"/>
  <c r="I23" i="17"/>
  <c r="I51" i="16"/>
  <c r="K21" i="23"/>
  <c r="K75" i="23"/>
  <c r="J112" i="19"/>
  <c r="I55" i="17"/>
  <c r="K41" i="23"/>
  <c r="K94" i="23"/>
  <c r="K56" i="23"/>
  <c r="K45" i="23"/>
  <c r="J35" i="19"/>
  <c r="K20" i="23"/>
  <c r="K76" i="23"/>
  <c r="K78" i="23"/>
  <c r="AI52" i="18"/>
  <c r="F55" i="15"/>
  <c r="K92" i="23"/>
  <c r="J90" i="19"/>
  <c r="K63" i="23"/>
  <c r="K74" i="23"/>
  <c r="N55" i="15"/>
  <c r="AG23" i="22"/>
  <c r="K49" i="23"/>
  <c r="J53" i="19"/>
  <c r="I103" i="17"/>
  <c r="K27" i="23"/>
  <c r="K22" i="23"/>
  <c r="K82" i="23"/>
  <c r="J77" i="19"/>
  <c r="K55" i="23"/>
  <c r="J103" i="19"/>
  <c r="K52" i="23"/>
  <c r="I55" i="16"/>
  <c r="I52" i="16"/>
  <c r="I52" i="17"/>
  <c r="I56" i="16"/>
  <c r="I56" i="17"/>
  <c r="I90" i="17"/>
  <c r="I21" i="16"/>
  <c r="I21" i="17"/>
  <c r="I129" i="16"/>
  <c r="Y22" i="24"/>
  <c r="Y27" i="24"/>
  <c r="Y30" i="24"/>
  <c r="Y60" i="24"/>
  <c r="Y78" i="24"/>
  <c r="Y85" i="24" s="1"/>
  <c r="L17" i="19" l="1"/>
  <c r="K27" i="17"/>
  <c r="K59" i="23"/>
  <c r="K50" i="23"/>
  <c r="K77" i="23"/>
  <c r="K48" i="23"/>
  <c r="J22" i="18"/>
  <c r="I72" i="17"/>
  <c r="I23" i="16"/>
  <c r="K73" i="23"/>
  <c r="K43" i="23"/>
  <c r="I77" i="16" s="1"/>
  <c r="K69" i="23"/>
  <c r="I51" i="17"/>
  <c r="K51" i="23"/>
  <c r="J53" i="18"/>
  <c r="I54" i="17"/>
  <c r="K60" i="24"/>
  <c r="K84" i="23"/>
  <c r="K54" i="23"/>
  <c r="K93" i="23"/>
  <c r="I72" i="16"/>
  <c r="X55" i="15"/>
  <c r="AH55" i="15" s="1"/>
  <c r="J113" i="19"/>
  <c r="H24" i="22"/>
  <c r="I29" i="16"/>
  <c r="I29" i="17"/>
  <c r="J93" i="19"/>
  <c r="J104" i="19"/>
  <c r="I25" i="16"/>
  <c r="I25" i="17"/>
  <c r="K42" i="23"/>
  <c r="K83" i="23"/>
  <c r="I127" i="16" s="1"/>
  <c r="I101" i="16"/>
  <c r="J66" i="19"/>
  <c r="K60" i="23"/>
  <c r="I103" i="16" s="1"/>
  <c r="I22" i="16"/>
  <c r="I22" i="17"/>
  <c r="I101" i="17"/>
  <c r="I54" i="16"/>
  <c r="I77" i="17"/>
  <c r="V55" i="15"/>
  <c r="I57" i="17"/>
  <c r="AB57" i="17" s="1"/>
  <c r="AH57" i="17" s="1"/>
  <c r="I57" i="16"/>
  <c r="AB57" i="16" s="1"/>
  <c r="AH57" i="16" s="1"/>
  <c r="I53" i="16"/>
  <c r="I53" i="17"/>
  <c r="K70" i="23"/>
  <c r="K39" i="23"/>
  <c r="K81" i="23"/>
  <c r="I24" i="16"/>
  <c r="I24" i="17"/>
  <c r="I48" i="16"/>
  <c r="I48" i="17"/>
  <c r="K71" i="23"/>
  <c r="I126" i="16"/>
  <c r="Y32" i="24"/>
  <c r="Y64" i="24" s="1"/>
  <c r="Y88" i="24" s="1"/>
  <c r="I90" i="16" l="1"/>
  <c r="I58" i="17"/>
  <c r="I117" i="16"/>
  <c r="I58" i="16"/>
  <c r="I114" i="16"/>
  <c r="I130" i="16"/>
  <c r="U123" i="16"/>
  <c r="U132" i="16" s="1"/>
  <c r="Z43" i="37" l="1"/>
  <c r="I48" i="23"/>
  <c r="I21" i="23"/>
  <c r="H34" i="19"/>
  <c r="I78" i="23"/>
  <c r="I20" i="23"/>
  <c r="H31" i="19"/>
  <c r="AE22" i="16"/>
  <c r="H79" i="19"/>
  <c r="I45" i="23"/>
  <c r="H77" i="19"/>
  <c r="H65" i="19"/>
  <c r="H22" i="19"/>
  <c r="F23" i="15"/>
  <c r="V23" i="15"/>
  <c r="I52" i="23"/>
  <c r="AD24" i="22"/>
  <c r="AC53" i="18"/>
  <c r="G64" i="17"/>
  <c r="G70" i="17"/>
  <c r="H78" i="19"/>
  <c r="I73" i="23"/>
  <c r="H103" i="19"/>
  <c r="I25" i="23"/>
  <c r="H21" i="19"/>
  <c r="I84" i="23"/>
  <c r="I63" i="23"/>
  <c r="H25" i="19"/>
  <c r="AF53" i="18"/>
  <c r="G48" i="17"/>
  <c r="I56" i="23"/>
  <c r="I60" i="23"/>
  <c r="H46" i="19"/>
  <c r="I37" i="23"/>
  <c r="I26" i="23"/>
  <c r="I27" i="23"/>
  <c r="G53" i="16"/>
  <c r="H54" i="19"/>
  <c r="G84" i="17"/>
  <c r="I22" i="23"/>
  <c r="I94" i="23"/>
  <c r="AA42" i="3"/>
  <c r="AF42" i="3" s="1"/>
  <c r="H42" i="19"/>
  <c r="G64" i="16" s="1"/>
  <c r="G90" i="17"/>
  <c r="I49" i="23"/>
  <c r="H53" i="19"/>
  <c r="H73" i="19"/>
  <c r="I81" i="23"/>
  <c r="J42" i="3"/>
  <c r="T42" i="3" s="1"/>
  <c r="H47" i="19"/>
  <c r="G70" i="16" s="1"/>
  <c r="H66" i="19"/>
  <c r="AA24" i="22"/>
  <c r="F24" i="22"/>
  <c r="I39" i="23"/>
  <c r="I57" i="23"/>
  <c r="H24" i="19"/>
  <c r="H28" i="19"/>
  <c r="H112" i="19"/>
  <c r="H90" i="19"/>
  <c r="H72" i="19"/>
  <c r="G72" i="17"/>
  <c r="H74" i="19"/>
  <c r="H33" i="19"/>
  <c r="I30" i="23"/>
  <c r="P56" i="15" s="1"/>
  <c r="I71" i="23"/>
  <c r="H76" i="19"/>
  <c r="I41" i="23"/>
  <c r="H26" i="19"/>
  <c r="G113" i="17"/>
  <c r="H50" i="19"/>
  <c r="I58" i="23"/>
  <c r="G100" i="17"/>
  <c r="G67" i="17"/>
  <c r="G75" i="17"/>
  <c r="G118" i="17"/>
  <c r="G22" i="16"/>
  <c r="G22" i="17"/>
  <c r="G73" i="17"/>
  <c r="H49" i="19"/>
  <c r="G73" i="16" s="1"/>
  <c r="G104" i="17"/>
  <c r="H80" i="19"/>
  <c r="G104" i="16" s="1"/>
  <c r="H63" i="19"/>
  <c r="G87" i="16" s="1"/>
  <c r="G21" i="16"/>
  <c r="G21" i="17"/>
  <c r="G120" i="17"/>
  <c r="H51" i="19"/>
  <c r="G86" i="17"/>
  <c r="I54" i="23"/>
  <c r="I46" i="23"/>
  <c r="I83" i="23"/>
  <c r="G127" i="17"/>
  <c r="G28" i="16"/>
  <c r="G28" i="17"/>
  <c r="I92" i="23"/>
  <c r="G27" i="17"/>
  <c r="H17" i="19"/>
  <c r="C21" i="17"/>
  <c r="C21" i="16"/>
  <c r="E40" i="41"/>
  <c r="C40" i="41"/>
  <c r="AA39" i="41"/>
  <c r="AA38" i="41"/>
  <c r="AA37" i="41"/>
  <c r="AA36" i="41"/>
  <c r="AA35" i="41"/>
  <c r="C30" i="41"/>
  <c r="AA29" i="41"/>
  <c r="AA28" i="41"/>
  <c r="AA27" i="41"/>
  <c r="AA26" i="41"/>
  <c r="AA25" i="41"/>
  <c r="AA24" i="41"/>
  <c r="AA22" i="41"/>
  <c r="AA21" i="41"/>
  <c r="AA20" i="41"/>
  <c r="AA19" i="41"/>
  <c r="AA17" i="41"/>
  <c r="AA16" i="41"/>
  <c r="AA15" i="41"/>
  <c r="AA14" i="41"/>
  <c r="G33" i="16" l="1"/>
  <c r="J33" i="19"/>
  <c r="I46" i="17"/>
  <c r="J50" i="19"/>
  <c r="I74" i="16" s="1"/>
  <c r="I74" i="17"/>
  <c r="J25" i="19"/>
  <c r="I37" i="17"/>
  <c r="J23" i="19"/>
  <c r="I35" i="17"/>
  <c r="J22" i="19"/>
  <c r="I34" i="17"/>
  <c r="J95" i="19"/>
  <c r="J83" i="19"/>
  <c r="J101" i="19"/>
  <c r="I86" i="17"/>
  <c r="J62" i="19"/>
  <c r="I86" i="16" s="1"/>
  <c r="J47" i="19"/>
  <c r="I70" i="16" s="1"/>
  <c r="I70" i="17"/>
  <c r="J42" i="19"/>
  <c r="I64" i="16" s="1"/>
  <c r="I64" i="17"/>
  <c r="J57" i="19"/>
  <c r="I81" i="16" s="1"/>
  <c r="I81" i="17"/>
  <c r="J26" i="19"/>
  <c r="I38" i="17"/>
  <c r="J72" i="19"/>
  <c r="I96" i="16" s="1"/>
  <c r="I96" i="17"/>
  <c r="I83" i="17"/>
  <c r="J59" i="19"/>
  <c r="I83" i="16" s="1"/>
  <c r="J91" i="19"/>
  <c r="J60" i="19"/>
  <c r="I84" i="16" s="1"/>
  <c r="I84" i="17"/>
  <c r="J44" i="19"/>
  <c r="I67" i="16" s="1"/>
  <c r="I67" i="17"/>
  <c r="J20" i="19"/>
  <c r="I32" i="17"/>
  <c r="J51" i="19"/>
  <c r="I75" i="16" s="1"/>
  <c r="I75" i="17"/>
  <c r="J97" i="19"/>
  <c r="J65" i="19"/>
  <c r="I89" i="16" s="1"/>
  <c r="I89" i="17"/>
  <c r="J69" i="19"/>
  <c r="I93" i="16" s="1"/>
  <c r="I93" i="17"/>
  <c r="J89" i="19"/>
  <c r="J75" i="19"/>
  <c r="I99" i="16" s="1"/>
  <c r="I99" i="17"/>
  <c r="J28" i="19"/>
  <c r="I41" i="17"/>
  <c r="J46" i="19"/>
  <c r="I69" i="16" s="1"/>
  <c r="I69" i="17"/>
  <c r="J49" i="19"/>
  <c r="I73" i="16" s="1"/>
  <c r="I73" i="17"/>
  <c r="J64" i="19"/>
  <c r="I88" i="16" s="1"/>
  <c r="I88" i="17"/>
  <c r="J31" i="19"/>
  <c r="I44" i="17"/>
  <c r="J74" i="19"/>
  <c r="I98" i="16" s="1"/>
  <c r="I98" i="17"/>
  <c r="J24" i="19"/>
  <c r="I36" i="17"/>
  <c r="J55" i="19"/>
  <c r="I79" i="16" s="1"/>
  <c r="I79" i="17"/>
  <c r="J98" i="19"/>
  <c r="J67" i="19"/>
  <c r="I91" i="16" s="1"/>
  <c r="I91" i="17"/>
  <c r="J52" i="19"/>
  <c r="I76" i="16" s="1"/>
  <c r="I76" i="17"/>
  <c r="J54" i="19"/>
  <c r="I78" i="16" s="1"/>
  <c r="I78" i="17"/>
  <c r="J45" i="19"/>
  <c r="I68" i="16" s="1"/>
  <c r="I68" i="17"/>
  <c r="J76" i="19"/>
  <c r="I100" i="16" s="1"/>
  <c r="I100" i="17"/>
  <c r="J58" i="19"/>
  <c r="I82" i="16" s="1"/>
  <c r="I82" i="17"/>
  <c r="J73" i="19"/>
  <c r="I97" i="16" s="1"/>
  <c r="I97" i="17"/>
  <c r="J63" i="19"/>
  <c r="I87" i="16" s="1"/>
  <c r="I87" i="17"/>
  <c r="J94" i="19"/>
  <c r="J21" i="19"/>
  <c r="I33" i="17"/>
  <c r="J78" i="19"/>
  <c r="I102" i="16" s="1"/>
  <c r="I102" i="17"/>
  <c r="J80" i="19"/>
  <c r="I104" i="16" s="1"/>
  <c r="I104" i="17"/>
  <c r="J32" i="19"/>
  <c r="I45" i="17"/>
  <c r="J96" i="19"/>
  <c r="J34" i="19"/>
  <c r="I47" i="17"/>
  <c r="J17" i="19"/>
  <c r="I27" i="17"/>
  <c r="G98" i="16"/>
  <c r="I50" i="23"/>
  <c r="G89" i="16" s="1"/>
  <c r="G78" i="17"/>
  <c r="H62" i="19"/>
  <c r="G86" i="16" s="1"/>
  <c r="G53" i="17"/>
  <c r="I59" i="23"/>
  <c r="G102" i="16" s="1"/>
  <c r="H64" i="19"/>
  <c r="G88" i="16" s="1"/>
  <c r="H83" i="19"/>
  <c r="G89" i="17"/>
  <c r="G47" i="17"/>
  <c r="G34" i="17"/>
  <c r="H113" i="19"/>
  <c r="L56" i="15"/>
  <c r="H22" i="18"/>
  <c r="I60" i="24"/>
  <c r="I44" i="23"/>
  <c r="G78" i="16" s="1"/>
  <c r="I43" i="23"/>
  <c r="G77" i="16" s="1"/>
  <c r="I51" i="23"/>
  <c r="G90" i="16" s="1"/>
  <c r="I77" i="23"/>
  <c r="G77" i="17"/>
  <c r="G93" i="17"/>
  <c r="G98" i="17"/>
  <c r="H98" i="19"/>
  <c r="G96" i="17"/>
  <c r="G88" i="17"/>
  <c r="G34" i="16"/>
  <c r="AD42" i="3"/>
  <c r="G102" i="17"/>
  <c r="G100" i="16"/>
  <c r="G119" i="17"/>
  <c r="G33" i="17"/>
  <c r="G69" i="16"/>
  <c r="G94" i="17"/>
  <c r="H75" i="19"/>
  <c r="G99" i="16" s="1"/>
  <c r="G99" i="17"/>
  <c r="G121" i="17"/>
  <c r="G52" i="17"/>
  <c r="G52" i="16"/>
  <c r="G101" i="17"/>
  <c r="G101" i="16"/>
  <c r="I55" i="23"/>
  <c r="G96" i="16" s="1"/>
  <c r="G55" i="17"/>
  <c r="G55" i="16"/>
  <c r="G139" i="17"/>
  <c r="H20" i="19"/>
  <c r="G32" i="17"/>
  <c r="G54" i="16"/>
  <c r="G54" i="17"/>
  <c r="G97" i="17"/>
  <c r="G76" i="17"/>
  <c r="H52" i="19"/>
  <c r="G76" i="16" s="1"/>
  <c r="I76" i="23"/>
  <c r="G126" i="17"/>
  <c r="H102" i="19"/>
  <c r="G75" i="16"/>
  <c r="G81" i="17"/>
  <c r="H57" i="19"/>
  <c r="G81" i="16" s="1"/>
  <c r="G122" i="17"/>
  <c r="G103" i="17"/>
  <c r="G103" i="16"/>
  <c r="G107" i="17"/>
  <c r="I82" i="23"/>
  <c r="G97" i="16"/>
  <c r="G56" i="16"/>
  <c r="G56" i="17"/>
  <c r="G29" i="17"/>
  <c r="G29" i="16"/>
  <c r="G48" i="16"/>
  <c r="G74" i="17"/>
  <c r="G46" i="17"/>
  <c r="G46" i="16"/>
  <c r="G65" i="17"/>
  <c r="G65" i="16"/>
  <c r="G37" i="16"/>
  <c r="G37" i="17"/>
  <c r="G114" i="17"/>
  <c r="H97" i="19"/>
  <c r="H96" i="19"/>
  <c r="H95" i="19"/>
  <c r="H89" i="19"/>
  <c r="I70" i="23"/>
  <c r="G114" i="16" s="1"/>
  <c r="G74" i="16"/>
  <c r="G47" i="16"/>
  <c r="G130" i="17"/>
  <c r="AB130" i="17" s="1"/>
  <c r="AH130" i="17" s="1"/>
  <c r="R42" i="3"/>
  <c r="H104" i="19"/>
  <c r="H91" i="19"/>
  <c r="H101" i="19"/>
  <c r="G115" i="17"/>
  <c r="I93" i="23"/>
  <c r="G35" i="17"/>
  <c r="H23" i="19"/>
  <c r="G51" i="17"/>
  <c r="G51" i="16"/>
  <c r="H53" i="18"/>
  <c r="G117" i="16"/>
  <c r="G117" i="17"/>
  <c r="G129" i="17"/>
  <c r="G129" i="16"/>
  <c r="G72" i="16"/>
  <c r="I69" i="23"/>
  <c r="G68" i="17"/>
  <c r="H45" i="19"/>
  <c r="G68" i="16" s="1"/>
  <c r="G23" i="17"/>
  <c r="G23" i="16"/>
  <c r="G82" i="17"/>
  <c r="H58" i="19"/>
  <c r="G82" i="16" s="1"/>
  <c r="H59" i="19"/>
  <c r="G83" i="16" s="1"/>
  <c r="G83" i="17"/>
  <c r="G36" i="16"/>
  <c r="G36" i="17"/>
  <c r="G125" i="17"/>
  <c r="G79" i="17"/>
  <c r="H55" i="19"/>
  <c r="G79" i="16" s="1"/>
  <c r="H60" i="19"/>
  <c r="G84" i="16" s="1"/>
  <c r="I42" i="23"/>
  <c r="I74" i="23"/>
  <c r="H94" i="19"/>
  <c r="H44" i="19"/>
  <c r="G67" i="16" s="1"/>
  <c r="H67" i="19"/>
  <c r="G91" i="16" s="1"/>
  <c r="G91" i="17"/>
  <c r="G38" i="16"/>
  <c r="G38" i="17"/>
  <c r="H32" i="19"/>
  <c r="G45" i="17"/>
  <c r="G24" i="16"/>
  <c r="G24" i="17"/>
  <c r="G41" i="17"/>
  <c r="G41" i="16"/>
  <c r="G69" i="17"/>
  <c r="H69" i="19"/>
  <c r="G93" i="16" s="1"/>
  <c r="G44" i="16"/>
  <c r="G44" i="17"/>
  <c r="G87" i="17"/>
  <c r="G127" i="16"/>
  <c r="E43" i="41"/>
  <c r="AA30" i="41"/>
  <c r="C43" i="41"/>
  <c r="AA40" i="41"/>
  <c r="I47" i="16" l="1"/>
  <c r="I125" i="16"/>
  <c r="I33" i="16"/>
  <c r="I115" i="16"/>
  <c r="I107" i="16"/>
  <c r="I119" i="16"/>
  <c r="I35" i="16"/>
  <c r="I45" i="16"/>
  <c r="I118" i="16"/>
  <c r="I122" i="16"/>
  <c r="I36" i="16"/>
  <c r="I44" i="16"/>
  <c r="I41" i="16"/>
  <c r="I113" i="16"/>
  <c r="I121" i="16"/>
  <c r="I32" i="16"/>
  <c r="I34" i="16"/>
  <c r="I37" i="16"/>
  <c r="I46" i="16"/>
  <c r="I120" i="16"/>
  <c r="I38" i="16"/>
  <c r="J70" i="19"/>
  <c r="I94" i="16" s="1"/>
  <c r="I94" i="17"/>
  <c r="G107" i="16"/>
  <c r="H70" i="19"/>
  <c r="G94" i="16" s="1"/>
  <c r="G58" i="17"/>
  <c r="D56" i="15"/>
  <c r="G122" i="16"/>
  <c r="G35" i="16"/>
  <c r="G121" i="16"/>
  <c r="G45" i="16"/>
  <c r="G125" i="16"/>
  <c r="G130" i="16"/>
  <c r="G120" i="16"/>
  <c r="G32" i="16"/>
  <c r="G138" i="17"/>
  <c r="G58" i="16"/>
  <c r="G118" i="16"/>
  <c r="G115" i="16"/>
  <c r="G119" i="16"/>
  <c r="G126" i="16"/>
  <c r="G113" i="16"/>
  <c r="C25" i="17"/>
  <c r="Q76" i="25"/>
  <c r="AA43" i="41"/>
  <c r="N43" i="37" l="1"/>
  <c r="N57" i="22"/>
  <c r="N45" i="22"/>
  <c r="P81" i="20"/>
  <c r="Q60" i="24"/>
  <c r="P52" i="21"/>
  <c r="P56" i="21" s="1"/>
  <c r="O47" i="26"/>
  <c r="N25" i="28"/>
  <c r="N28" i="28" s="1"/>
  <c r="P70" i="21"/>
  <c r="P77" i="21" s="1"/>
  <c r="N33" i="28"/>
  <c r="Q95" i="24"/>
  <c r="O26" i="17" l="1"/>
  <c r="O26" i="16"/>
  <c r="R44" i="18"/>
  <c r="P80" i="21"/>
  <c r="O105" i="17"/>
  <c r="P134" i="18"/>
  <c r="O141" i="17"/>
  <c r="Q26" i="17" l="1"/>
  <c r="A52" i="9"/>
  <c r="N36" i="43" l="1"/>
  <c r="V44" i="18" l="1"/>
  <c r="V37" i="18"/>
  <c r="V93" i="18"/>
  <c r="V111" i="18"/>
  <c r="V117" i="18" s="1"/>
  <c r="V134" i="18" l="1"/>
  <c r="Y31" i="23" l="1"/>
  <c r="P17" i="2" s="1"/>
  <c r="Y23" i="23" l="1"/>
  <c r="P15" i="2" s="1"/>
  <c r="A42" i="14"/>
  <c r="A42" i="13"/>
  <c r="A43" i="11"/>
  <c r="A43" i="10"/>
  <c r="A51" i="8"/>
  <c r="M26" i="16" l="1"/>
  <c r="Y61" i="23"/>
  <c r="P18" i="2" s="1"/>
  <c r="Y79" i="23"/>
  <c r="Y86" i="23" s="1"/>
  <c r="M26" i="17" l="1"/>
  <c r="O61" i="23"/>
  <c r="T99" i="20"/>
  <c r="C24" i="16" l="1"/>
  <c r="C24" i="17"/>
  <c r="J18" i="33"/>
  <c r="AA31" i="23" l="1"/>
  <c r="Z23" i="43"/>
  <c r="AA95" i="24" l="1"/>
  <c r="Z36" i="19"/>
  <c r="Z37" i="18"/>
  <c r="Y23" i="26"/>
  <c r="Z22" i="18"/>
  <c r="Z26" i="18" s="1"/>
  <c r="Z29" i="19"/>
  <c r="Z93" i="18"/>
  <c r="AA60" i="24"/>
  <c r="AA23" i="23"/>
  <c r="Z111" i="18"/>
  <c r="Z117" i="18" s="1"/>
  <c r="AA78" i="24"/>
  <c r="AA85" i="24" s="1"/>
  <c r="Z99" i="20"/>
  <c r="Z106" i="20" s="1"/>
  <c r="AA28" i="23"/>
  <c r="Z44" i="18"/>
  <c r="M196" i="42"/>
  <c r="Z38" i="19" l="1"/>
  <c r="AA96" i="23"/>
  <c r="Y49" i="16"/>
  <c r="Y105" i="17"/>
  <c r="Y42" i="17"/>
  <c r="Z81" i="19"/>
  <c r="Z81" i="20"/>
  <c r="Y26" i="16"/>
  <c r="Y30" i="16" s="1"/>
  <c r="Y49" i="17"/>
  <c r="Y123" i="17"/>
  <c r="Y132" i="17" s="1"/>
  <c r="Y26" i="17"/>
  <c r="Y30" i="17" s="1"/>
  <c r="AA33" i="23"/>
  <c r="AA79" i="23"/>
  <c r="AA86" i="23" s="1"/>
  <c r="Y105" i="16"/>
  <c r="AA61" i="23"/>
  <c r="Z99" i="19"/>
  <c r="Z106" i="19" s="1"/>
  <c r="Y42" i="16"/>
  <c r="X36" i="43"/>
  <c r="V36" i="43"/>
  <c r="P36" i="43"/>
  <c r="L36" i="43"/>
  <c r="J36" i="43"/>
  <c r="H36" i="43"/>
  <c r="F36" i="43"/>
  <c r="B36" i="43"/>
  <c r="AA67" i="22" l="1"/>
  <c r="AD115" i="20"/>
  <c r="AC22" i="18"/>
  <c r="AC26" i="18" s="1"/>
  <c r="G28" i="9"/>
  <c r="P18" i="6"/>
  <c r="C29" i="16"/>
  <c r="C73" i="17"/>
  <c r="C82" i="17"/>
  <c r="C103" i="17"/>
  <c r="AL62" i="20"/>
  <c r="AE56" i="17"/>
  <c r="AE56" i="16"/>
  <c r="C112" i="30"/>
  <c r="AG42" i="25"/>
  <c r="AK31" i="18"/>
  <c r="P18" i="5"/>
  <c r="C23" i="16"/>
  <c r="AA42" i="27"/>
  <c r="G39" i="9"/>
  <c r="AD95" i="24"/>
  <c r="C37" i="17"/>
  <c r="AL83" i="21"/>
  <c r="AG40" i="27"/>
  <c r="AI40" i="27" s="1"/>
  <c r="AE22" i="17"/>
  <c r="F19" i="6"/>
  <c r="C154" i="30"/>
  <c r="AD42" i="25"/>
  <c r="AD46" i="25" s="1"/>
  <c r="AL55" i="24"/>
  <c r="C53" i="17"/>
  <c r="C86" i="17"/>
  <c r="C35" i="17"/>
  <c r="C33" i="17"/>
  <c r="AK84" i="18"/>
  <c r="AD60" i="24"/>
  <c r="C96" i="17"/>
  <c r="B26" i="6"/>
  <c r="C120" i="17"/>
  <c r="C99" i="17"/>
  <c r="C98" i="17"/>
  <c r="AG95" i="24"/>
  <c r="AD60" i="25"/>
  <c r="AD67" i="25" s="1"/>
  <c r="C129" i="17"/>
  <c r="C26" i="31"/>
  <c r="AC96" i="23"/>
  <c r="P25" i="5"/>
  <c r="AE98" i="17"/>
  <c r="L38" i="15"/>
  <c r="C104" i="17"/>
  <c r="AD45" i="22"/>
  <c r="C81" i="17"/>
  <c r="AG102" i="19"/>
  <c r="C24" i="30"/>
  <c r="E94" i="23"/>
  <c r="AF22" i="18"/>
  <c r="B19" i="6"/>
  <c r="C101" i="17"/>
  <c r="D22" i="18"/>
  <c r="AD67" i="22"/>
  <c r="C83" i="17"/>
  <c r="AD57" i="22"/>
  <c r="AI21" i="23"/>
  <c r="C53" i="16"/>
  <c r="C117" i="17"/>
  <c r="C36" i="17"/>
  <c r="C23" i="17"/>
  <c r="C67" i="17"/>
  <c r="Y123" i="16"/>
  <c r="Y132" i="16" s="1"/>
  <c r="AA65" i="23"/>
  <c r="AA89" i="23" s="1"/>
  <c r="Z85" i="19"/>
  <c r="Z109" i="19" s="1"/>
  <c r="AI22" i="18" l="1"/>
  <c r="AK22" i="18" s="1"/>
  <c r="C74" i="17"/>
  <c r="C45" i="17"/>
  <c r="C56" i="16"/>
  <c r="C70" i="17"/>
  <c r="B21" i="5"/>
  <c r="C93" i="17"/>
  <c r="C122" i="17"/>
  <c r="C100" i="17"/>
  <c r="C121" i="17"/>
  <c r="C56" i="17"/>
  <c r="C76" i="17"/>
  <c r="C68" i="17"/>
  <c r="C46" i="17"/>
  <c r="C48" i="17"/>
  <c r="C88" i="17"/>
  <c r="C97" i="17"/>
  <c r="B29" i="5"/>
  <c r="D111" i="18"/>
  <c r="D117" i="18" s="1"/>
  <c r="E93" i="23"/>
  <c r="C139" i="17"/>
  <c r="C113" i="17"/>
  <c r="C87" i="17"/>
  <c r="C127" i="17"/>
  <c r="C89" i="17"/>
  <c r="C79" i="17"/>
  <c r="C102" i="17"/>
  <c r="C28" i="16"/>
  <c r="C107" i="17"/>
  <c r="C94" i="17"/>
  <c r="AE139" i="17"/>
  <c r="AA50" i="3"/>
  <c r="D134" i="18"/>
  <c r="C34" i="17"/>
  <c r="C27" i="17"/>
  <c r="AB27" i="17" s="1"/>
  <c r="C51" i="17"/>
  <c r="C28" i="17"/>
  <c r="C44" i="17"/>
  <c r="C129" i="16"/>
  <c r="C72" i="17"/>
  <c r="C72" i="16"/>
  <c r="B29" i="6"/>
  <c r="C55" i="16"/>
  <c r="C55" i="17"/>
  <c r="C91" i="17"/>
  <c r="C84" i="17"/>
  <c r="C77" i="17"/>
  <c r="D93" i="18"/>
  <c r="C64" i="17"/>
  <c r="C38" i="17"/>
  <c r="C32" i="17"/>
  <c r="C51" i="16"/>
  <c r="C29" i="17"/>
  <c r="C69" i="17"/>
  <c r="C52" i="17"/>
  <c r="C52" i="16"/>
  <c r="C78" i="17"/>
  <c r="C75" i="17"/>
  <c r="C114" i="17"/>
  <c r="C115" i="17"/>
  <c r="C22" i="17"/>
  <c r="C26" i="17" s="1"/>
  <c r="C22" i="16"/>
  <c r="C26" i="16" s="1"/>
  <c r="D21" i="15"/>
  <c r="D25" i="15" s="1"/>
  <c r="C47" i="17"/>
  <c r="C125" i="17"/>
  <c r="C54" i="17"/>
  <c r="C119" i="17"/>
  <c r="C41" i="17"/>
  <c r="C118" i="17"/>
  <c r="C90" i="17"/>
  <c r="V17" i="29"/>
  <c r="V17" i="28"/>
  <c r="C58" i="17" l="1"/>
  <c r="D34" i="2"/>
  <c r="D42" i="2" s="1"/>
  <c r="D38" i="15"/>
  <c r="D46" i="15"/>
  <c r="C138" i="17"/>
  <c r="G26" i="17"/>
  <c r="G30" i="17" s="1"/>
  <c r="G26" i="16"/>
  <c r="G30" i="16" s="1"/>
  <c r="G42" i="17"/>
  <c r="G42" i="16"/>
  <c r="G49" i="17"/>
  <c r="G105" i="17"/>
  <c r="G49" i="16"/>
  <c r="G123" i="17"/>
  <c r="G132" i="17" s="1"/>
  <c r="AB81" i="19"/>
  <c r="AB36" i="19"/>
  <c r="AB29" i="19"/>
  <c r="D58" i="15" l="1"/>
  <c r="AB38" i="19"/>
  <c r="AB85" i="19" s="1"/>
  <c r="G105" i="16"/>
  <c r="G123" i="16"/>
  <c r="G132" i="16" s="1"/>
  <c r="G60" i="17"/>
  <c r="G109" i="17" s="1"/>
  <c r="G135" i="17" s="1"/>
  <c r="G60" i="16"/>
  <c r="G109" i="16" l="1"/>
  <c r="G135" i="16" s="1"/>
  <c r="AJ78" i="20" l="1"/>
  <c r="J70" i="21"/>
  <c r="J77" i="21" s="1"/>
  <c r="I33" i="10"/>
  <c r="P32" i="6"/>
  <c r="L25" i="37"/>
  <c r="L17" i="28"/>
  <c r="L20" i="22"/>
  <c r="Q78" i="24"/>
  <c r="Q85" i="24" s="1"/>
  <c r="Q30" i="24"/>
  <c r="L26" i="22" l="1"/>
  <c r="H25" i="29"/>
  <c r="J86" i="21"/>
  <c r="I26" i="17" l="1"/>
  <c r="AB21" i="16"/>
  <c r="I26" i="16"/>
  <c r="K15" i="30"/>
  <c r="AB95" i="16"/>
  <c r="AH95" i="16" s="1"/>
  <c r="AJ95" i="16" s="1"/>
  <c r="AJ21" i="24"/>
  <c r="AL21" i="24" s="1"/>
  <c r="V45" i="22"/>
  <c r="L18" i="2" s="1"/>
  <c r="V57" i="22"/>
  <c r="V33" i="29"/>
  <c r="V25" i="28"/>
  <c r="V28" i="28" s="1"/>
  <c r="V25" i="29"/>
  <c r="V28" i="29" s="1"/>
  <c r="P29" i="20"/>
  <c r="P115" i="19"/>
  <c r="P29" i="19"/>
  <c r="AB21" i="17" l="1"/>
  <c r="AF93" i="23"/>
  <c r="AF94" i="23"/>
  <c r="L44" i="18"/>
  <c r="L111" i="18"/>
  <c r="L117" i="18" s="1"/>
  <c r="L26" i="18"/>
  <c r="L37" i="18"/>
  <c r="L93" i="18"/>
  <c r="AJ71" i="19"/>
  <c r="AL71" i="19" s="1"/>
  <c r="N70" i="21"/>
  <c r="N77" i="21" s="1"/>
  <c r="L25" i="29"/>
  <c r="L29" i="27"/>
  <c r="M23" i="26"/>
  <c r="O78" i="24"/>
  <c r="O85" i="24" s="1"/>
  <c r="L45" i="22"/>
  <c r="M34" i="26"/>
  <c r="L19" i="27"/>
  <c r="O30" i="24"/>
  <c r="L57" i="22"/>
  <c r="L17" i="29"/>
  <c r="O27" i="24"/>
  <c r="L25" i="28"/>
  <c r="L28" i="28" s="1"/>
  <c r="N52" i="21"/>
  <c r="N56" i="21" s="1"/>
  <c r="V33" i="28"/>
  <c r="V37" i="28" s="1"/>
  <c r="V20" i="22"/>
  <c r="L15" i="2" s="1"/>
  <c r="V67" i="22"/>
  <c r="V37" i="29"/>
  <c r="K26" i="17" l="1"/>
  <c r="K26" i="16"/>
  <c r="M61" i="23"/>
  <c r="N80" i="21"/>
  <c r="H35" i="3"/>
  <c r="H43" i="3" s="1"/>
  <c r="L55" i="18"/>
  <c r="AG43" i="22"/>
  <c r="AI43" i="22" s="1"/>
  <c r="G30" i="24"/>
  <c r="AG27" i="24"/>
  <c r="AE102" i="17"/>
  <c r="AK87" i="18"/>
  <c r="M30" i="16"/>
  <c r="L28" i="29"/>
  <c r="M39" i="26"/>
  <c r="M53" i="26" s="1"/>
  <c r="L34" i="27"/>
  <c r="M123" i="17"/>
  <c r="M132" i="17" s="1"/>
  <c r="M30" i="17"/>
  <c r="L49" i="22"/>
  <c r="L60" i="22" s="1"/>
  <c r="L72" i="22" s="1"/>
  <c r="O28" i="23"/>
  <c r="O79" i="23"/>
  <c r="O86" i="23" s="1"/>
  <c r="M42" i="17"/>
  <c r="M49" i="17"/>
  <c r="O31" i="23"/>
  <c r="N29" i="19"/>
  <c r="M105" i="17"/>
  <c r="N81" i="20"/>
  <c r="L46" i="15"/>
  <c r="L25" i="15"/>
  <c r="L58" i="15" l="1"/>
  <c r="F29" i="19"/>
  <c r="F36" i="19"/>
  <c r="G23" i="23"/>
  <c r="G28" i="23"/>
  <c r="Y60" i="17"/>
  <c r="Y109" i="17" s="1"/>
  <c r="Y135" i="17" s="1"/>
  <c r="Y60" i="16"/>
  <c r="Y109" i="16" s="1"/>
  <c r="Y135" i="16" s="1"/>
  <c r="M49" i="16"/>
  <c r="M105" i="16"/>
  <c r="M123" i="16"/>
  <c r="M132" i="16" s="1"/>
  <c r="M60" i="17"/>
  <c r="M141" i="17"/>
  <c r="N85" i="20"/>
  <c r="N109" i="20" s="1"/>
  <c r="L34" i="2"/>
  <c r="Z55" i="18" l="1"/>
  <c r="Z97" i="18" s="1"/>
  <c r="Z120" i="18" s="1"/>
  <c r="G79" i="23"/>
  <c r="G86" i="23" s="1"/>
  <c r="G61" i="23"/>
  <c r="G31" i="23"/>
  <c r="F99" i="19"/>
  <c r="F106" i="19" s="1"/>
  <c r="G33" i="23" l="1"/>
  <c r="G65" i="23" s="1"/>
  <c r="G89" i="23" s="1"/>
  <c r="F81" i="19"/>
  <c r="N45" i="39"/>
  <c r="N42" i="39"/>
  <c r="N41" i="39"/>
  <c r="N37" i="39"/>
  <c r="N35" i="39"/>
  <c r="N34" i="39"/>
  <c r="N27" i="39"/>
  <c r="N26" i="39"/>
  <c r="N25" i="39"/>
  <c r="N21" i="39"/>
  <c r="N20" i="39"/>
  <c r="N19" i="39"/>
  <c r="N18" i="39"/>
  <c r="N17" i="39"/>
  <c r="N16" i="39"/>
  <c r="S31" i="23" l="1"/>
  <c r="N22" i="39"/>
  <c r="N47" i="39"/>
  <c r="N38" i="39"/>
  <c r="N28" i="39"/>
  <c r="N30" i="39" l="1"/>
  <c r="N50" i="39" s="1"/>
  <c r="N52" i="39" s="1"/>
  <c r="P93" i="18" l="1"/>
  <c r="C47" i="16" l="1"/>
  <c r="X115" i="20" l="1"/>
  <c r="O46" i="40"/>
  <c r="O48" i="40" s="1"/>
  <c r="D48" i="40" l="1"/>
  <c r="F12" i="40" s="1"/>
  <c r="F48" i="40" s="1"/>
  <c r="H12" i="40" s="1"/>
  <c r="H48" i="40" s="1"/>
  <c r="J12" i="40" s="1"/>
  <c r="J48" i="40" s="1"/>
  <c r="L12" i="40" s="1"/>
  <c r="L48" i="40" s="1"/>
  <c r="C52" i="39"/>
  <c r="E12" i="39" s="1"/>
  <c r="E52" i="39" s="1"/>
  <c r="G12" i="39" s="1"/>
  <c r="G52" i="39" s="1"/>
  <c r="E59" i="23"/>
  <c r="AF59" i="23" s="1"/>
  <c r="E60" i="23"/>
  <c r="C81" i="16"/>
  <c r="AD55" i="19"/>
  <c r="X36" i="19"/>
  <c r="H16" i="2" s="1"/>
  <c r="X29" i="19"/>
  <c r="H15" i="2" s="1"/>
  <c r="X99" i="19"/>
  <c r="X106" i="19" s="1"/>
  <c r="I12" i="39" l="1"/>
  <c r="I52" i="39" s="1"/>
  <c r="K12" i="39" s="1"/>
  <c r="K52" i="39" s="1"/>
  <c r="X38" i="19"/>
  <c r="C34" i="16"/>
  <c r="C41" i="16"/>
  <c r="C102" i="16"/>
  <c r="AB102" i="16" s="1"/>
  <c r="AD21" i="19"/>
  <c r="E52" i="23"/>
  <c r="AF52" i="23" s="1"/>
  <c r="AK68" i="18"/>
  <c r="E70" i="23"/>
  <c r="E48" i="23"/>
  <c r="AE35" i="17"/>
  <c r="E58" i="23"/>
  <c r="E30" i="23"/>
  <c r="P23" i="6"/>
  <c r="C101" i="16"/>
  <c r="AK43" i="18"/>
  <c r="AC44" i="18"/>
  <c r="AG22" i="19"/>
  <c r="AI68" i="18"/>
  <c r="E22" i="23"/>
  <c r="E77" i="23"/>
  <c r="AE94" i="17"/>
  <c r="E26" i="23"/>
  <c r="AJ19" i="25"/>
  <c r="F30" i="2"/>
  <c r="AD29" i="20"/>
  <c r="AA45" i="22"/>
  <c r="C82" i="16"/>
  <c r="AC111" i="18"/>
  <c r="AC117" i="18" s="1"/>
  <c r="C94" i="16"/>
  <c r="C103" i="16"/>
  <c r="AI43" i="23"/>
  <c r="AI74" i="23"/>
  <c r="E63" i="23"/>
  <c r="C73" i="16"/>
  <c r="AC37" i="18"/>
  <c r="P35" i="5"/>
  <c r="E69" i="23"/>
  <c r="E74" i="23"/>
  <c r="I25" i="10"/>
  <c r="C68" i="16"/>
  <c r="E25" i="23"/>
  <c r="C83" i="16"/>
  <c r="E57" i="23"/>
  <c r="AC93" i="18"/>
  <c r="E43" i="23"/>
  <c r="AF43" i="23" s="1"/>
  <c r="E20" i="23"/>
  <c r="E27" i="23"/>
  <c r="E54" i="23"/>
  <c r="F28" i="2"/>
  <c r="E21" i="23"/>
  <c r="AJ32" i="25"/>
  <c r="E81" i="23"/>
  <c r="X81" i="19"/>
  <c r="H18" i="2" s="1"/>
  <c r="AC79" i="23"/>
  <c r="AC86" i="23" s="1"/>
  <c r="AC61" i="23"/>
  <c r="AC31" i="23"/>
  <c r="AC28" i="23"/>
  <c r="AC23" i="23"/>
  <c r="AF27" i="23" l="1"/>
  <c r="P46" i="15"/>
  <c r="AF21" i="23"/>
  <c r="AF22" i="23"/>
  <c r="C54" i="16"/>
  <c r="C58" i="16" s="1"/>
  <c r="AD113" i="19"/>
  <c r="C46" i="16"/>
  <c r="C35" i="16"/>
  <c r="AB35" i="16" s="1"/>
  <c r="C37" i="16"/>
  <c r="C32" i="16"/>
  <c r="AD101" i="19"/>
  <c r="C44" i="16"/>
  <c r="C86" i="16"/>
  <c r="C33" i="16"/>
  <c r="C38" i="16"/>
  <c r="C114" i="16"/>
  <c r="C100" i="16"/>
  <c r="C118" i="16"/>
  <c r="C48" i="16"/>
  <c r="C125" i="16"/>
  <c r="C45" i="16"/>
  <c r="C36" i="16"/>
  <c r="AD52" i="19"/>
  <c r="C76" i="16"/>
  <c r="AD60" i="19"/>
  <c r="E105" i="16"/>
  <c r="E105" i="17"/>
  <c r="AB23" i="16"/>
  <c r="E42" i="16"/>
  <c r="E42" i="17"/>
  <c r="E123" i="17"/>
  <c r="E132" i="17" s="1"/>
  <c r="E123" i="16"/>
  <c r="AB24" i="17"/>
  <c r="E49" i="17"/>
  <c r="E42" i="23"/>
  <c r="E82" i="23"/>
  <c r="C69" i="16"/>
  <c r="C104" i="16"/>
  <c r="AD20" i="19"/>
  <c r="C75" i="16"/>
  <c r="C91" i="16"/>
  <c r="C88" i="16"/>
  <c r="C87" i="16"/>
  <c r="AC55" i="18"/>
  <c r="AC97" i="18" s="1"/>
  <c r="AC120" i="18" s="1"/>
  <c r="AC138" i="18" s="1"/>
  <c r="E50" i="23"/>
  <c r="E73" i="23"/>
  <c r="E45" i="23"/>
  <c r="C79" i="16" s="1"/>
  <c r="E92" i="23"/>
  <c r="E41" i="23"/>
  <c r="C74" i="16" s="1"/>
  <c r="C64" i="16"/>
  <c r="D29" i="19"/>
  <c r="C98" i="16"/>
  <c r="D36" i="19"/>
  <c r="E56" i="23"/>
  <c r="E44" i="23"/>
  <c r="C78" i="16" s="1"/>
  <c r="E76" i="23"/>
  <c r="E39" i="23"/>
  <c r="C67" i="16" s="1"/>
  <c r="E84" i="23"/>
  <c r="E71" i="23"/>
  <c r="E37" i="23"/>
  <c r="C65" i="16" s="1"/>
  <c r="E49" i="23"/>
  <c r="E46" i="23"/>
  <c r="AF46" i="23" s="1"/>
  <c r="E83" i="23"/>
  <c r="C70" i="16"/>
  <c r="E55" i="23"/>
  <c r="C99" i="16"/>
  <c r="E78" i="23"/>
  <c r="E75" i="23"/>
  <c r="C93" i="16"/>
  <c r="C77" i="16"/>
  <c r="E51" i="23"/>
  <c r="AD44" i="19"/>
  <c r="AD102" i="19"/>
  <c r="X85" i="19"/>
  <c r="X109" i="19" s="1"/>
  <c r="AC33" i="23"/>
  <c r="AC65" i="23" s="1"/>
  <c r="AC89" i="23" s="1"/>
  <c r="AC101" i="23" s="1"/>
  <c r="D38" i="19" l="1"/>
  <c r="H46" i="15"/>
  <c r="H38" i="15"/>
  <c r="C117" i="16"/>
  <c r="C120" i="16"/>
  <c r="C127" i="16"/>
  <c r="C126" i="16"/>
  <c r="AF84" i="23"/>
  <c r="AF92" i="23"/>
  <c r="AF96" i="23" s="1"/>
  <c r="P51" i="2"/>
  <c r="C121" i="16"/>
  <c r="AD112" i="19"/>
  <c r="V49" i="2"/>
  <c r="W139" i="16" s="1"/>
  <c r="C113" i="16"/>
  <c r="C107" i="16"/>
  <c r="C97" i="16"/>
  <c r="AB22" i="17"/>
  <c r="E26" i="17"/>
  <c r="E30" i="17" s="1"/>
  <c r="E60" i="17" s="1"/>
  <c r="E109" i="17" s="1"/>
  <c r="AB22" i="16"/>
  <c r="E26" i="16"/>
  <c r="C89" i="16"/>
  <c r="C115" i="16"/>
  <c r="C96" i="16"/>
  <c r="C130" i="16"/>
  <c r="C84" i="16"/>
  <c r="C119" i="16"/>
  <c r="C90" i="16"/>
  <c r="C122" i="16"/>
  <c r="Z33" i="37"/>
  <c r="Z45" i="37" s="1"/>
  <c r="E132" i="16"/>
  <c r="D81" i="19"/>
  <c r="C141" i="17"/>
  <c r="D99" i="19"/>
  <c r="D106" i="19" s="1"/>
  <c r="D115" i="19"/>
  <c r="C123" i="17"/>
  <c r="C132" i="17" s="1"/>
  <c r="J19" i="33"/>
  <c r="J16" i="33"/>
  <c r="D20" i="33"/>
  <c r="E30" i="16" l="1"/>
  <c r="E60" i="16" s="1"/>
  <c r="E109" i="16" s="1"/>
  <c r="E135" i="16" s="1"/>
  <c r="AB26" i="16"/>
  <c r="E135" i="17"/>
  <c r="D85" i="19"/>
  <c r="D109" i="19" s="1"/>
  <c r="D119" i="19" s="1"/>
  <c r="J20" i="33"/>
  <c r="P20" i="22"/>
  <c r="H28" i="36"/>
  <c r="N36" i="19" l="1"/>
  <c r="N38" i="19" l="1"/>
  <c r="B34" i="6"/>
  <c r="B39" i="6" s="1"/>
  <c r="AE107" i="17"/>
  <c r="P45" i="22"/>
  <c r="P67" i="22"/>
  <c r="R52" i="21"/>
  <c r="R56" i="21" s="1"/>
  <c r="L42" i="2"/>
  <c r="A6" i="34"/>
  <c r="F34" i="6" l="1"/>
  <c r="S23" i="23"/>
  <c r="AA49" i="3"/>
  <c r="G30" i="9"/>
  <c r="R36" i="19"/>
  <c r="S28" i="23"/>
  <c r="L51" i="2"/>
  <c r="S61" i="23"/>
  <c r="A6" i="37"/>
  <c r="T9" i="37"/>
  <c r="B9" i="37"/>
  <c r="S33" i="23" l="1"/>
  <c r="S65" i="23" s="1"/>
  <c r="R99" i="19"/>
  <c r="R106" i="19" s="1"/>
  <c r="R81" i="19"/>
  <c r="S79" i="23"/>
  <c r="S86" i="23" s="1"/>
  <c r="S96" i="23"/>
  <c r="R29" i="19"/>
  <c r="R38"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97" i="18" l="1"/>
  <c r="L120" i="18" s="1"/>
  <c r="B37" i="5"/>
  <c r="F29" i="15"/>
  <c r="AI50" i="23"/>
  <c r="AG17" i="19"/>
  <c r="AI84" i="18"/>
  <c r="AI56" i="23"/>
  <c r="AN56" i="23" s="1"/>
  <c r="AI60" i="23"/>
  <c r="AD99" i="20"/>
  <c r="AD106" i="20" s="1"/>
  <c r="AI26" i="23"/>
  <c r="AD36" i="20"/>
  <c r="AD38" i="20" s="1"/>
  <c r="P44" i="18"/>
  <c r="P37" i="18"/>
  <c r="P111" i="18"/>
  <c r="P117" i="18" s="1"/>
  <c r="P26" i="18"/>
  <c r="P55" i="18" l="1"/>
  <c r="P97" i="18" s="1"/>
  <c r="P120" i="18" s="1"/>
  <c r="P138" i="18" s="1"/>
  <c r="X115" i="19"/>
  <c r="X119" i="19" s="1"/>
  <c r="Q49" i="17"/>
  <c r="Q34" i="26"/>
  <c r="P86" i="21"/>
  <c r="P90" i="21" s="1"/>
  <c r="Q42" i="17"/>
  <c r="N67" i="22"/>
  <c r="F29" i="5"/>
  <c r="V34" i="15"/>
  <c r="Q22" i="24"/>
  <c r="R26" i="18"/>
  <c r="P36" i="19"/>
  <c r="F26" i="6"/>
  <c r="F29" i="6" s="1"/>
  <c r="F39" i="6" s="1"/>
  <c r="F37" i="5"/>
  <c r="AF57" i="23"/>
  <c r="P38" i="19" l="1"/>
  <c r="M109" i="17"/>
  <c r="M135" i="17" s="1"/>
  <c r="M145" i="17" s="1"/>
  <c r="Q105" i="17"/>
  <c r="Q105" i="16"/>
  <c r="R86" i="21"/>
  <c r="R115" i="19"/>
  <c r="R85" i="19"/>
  <c r="R109" i="19" s="1"/>
  <c r="Q123" i="17"/>
  <c r="Q132" i="17" s="1"/>
  <c r="Q123" i="16"/>
  <c r="Q132" i="16" s="1"/>
  <c r="P99" i="19"/>
  <c r="P106" i="19" s="1"/>
  <c r="Q49" i="16"/>
  <c r="Q42" i="16"/>
  <c r="P81" i="19"/>
  <c r="P85" i="19" l="1"/>
  <c r="P109" i="19" s="1"/>
  <c r="P119" i="19" s="1"/>
  <c r="R119" i="19"/>
  <c r="Q141" i="17"/>
  <c r="AD17" i="29" l="1"/>
  <c r="AA17" i="28"/>
  <c r="AD25" i="29"/>
  <c r="AA25" i="28"/>
  <c r="AD33" i="29"/>
  <c r="AD76" i="25" l="1"/>
  <c r="AF58" i="23"/>
  <c r="AA29" i="27"/>
  <c r="AB47" i="26"/>
  <c r="AD27" i="24"/>
  <c r="AA19" i="27"/>
  <c r="AF77" i="23"/>
  <c r="AD30" i="24"/>
  <c r="AD81" i="20"/>
  <c r="AB34"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9" i="26" l="1"/>
  <c r="AB53" i="26" s="1"/>
  <c r="K147" i="30"/>
  <c r="AD70" i="25"/>
  <c r="AD80" i="25" s="1"/>
  <c r="AD85" i="20"/>
  <c r="AD109" i="20" s="1"/>
  <c r="AD37" i="29"/>
  <c r="AA26" i="22"/>
  <c r="AA49" i="22" s="1"/>
  <c r="AA34" i="27"/>
  <c r="AA48" i="27" s="1"/>
  <c r="N99" i="19"/>
  <c r="N106" i="19" s="1"/>
  <c r="AD32" i="24"/>
  <c r="AD64" i="24" s="1"/>
  <c r="AF26" i="23"/>
  <c r="AD80" i="21"/>
  <c r="AF75" i="23"/>
  <c r="AF49" i="23"/>
  <c r="AF81" i="23"/>
  <c r="AF51" i="23"/>
  <c r="AF70" i="23"/>
  <c r="AF73" i="23"/>
  <c r="AF71" i="23"/>
  <c r="AF83" i="23"/>
  <c r="AF82" i="23"/>
  <c r="D45" i="37"/>
  <c r="H45" i="37"/>
  <c r="F45" i="37"/>
  <c r="B45" i="37"/>
  <c r="AA60" i="22" l="1"/>
  <c r="AA72" i="22" s="1"/>
  <c r="AD88" i="24"/>
  <c r="AD100" i="24" s="1"/>
  <c r="N81" i="19"/>
  <c r="AB99" i="19"/>
  <c r="G190" i="42" l="1"/>
  <c r="N85" i="19"/>
  <c r="N109"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9" i="20"/>
  <c r="J106" i="20" s="1"/>
  <c r="H99" i="20"/>
  <c r="H106" i="20" s="1"/>
  <c r="F99" i="20"/>
  <c r="F106" i="20" s="1"/>
  <c r="D99" i="20"/>
  <c r="D106" i="20" s="1"/>
  <c r="J81" i="20"/>
  <c r="H81" i="20"/>
  <c r="F81" i="20"/>
  <c r="D81" i="20"/>
  <c r="J36" i="20"/>
  <c r="H36" i="20"/>
  <c r="F36" i="20"/>
  <c r="D36" i="20"/>
  <c r="J29" i="20"/>
  <c r="H29" i="20"/>
  <c r="F29" i="20"/>
  <c r="D29" i="20"/>
  <c r="G109" i="19"/>
  <c r="J36" i="19"/>
  <c r="H36" i="19"/>
  <c r="J111" i="18"/>
  <c r="J117" i="18" s="1"/>
  <c r="H111" i="18"/>
  <c r="H117" i="18" s="1"/>
  <c r="F111" i="18"/>
  <c r="F117" i="18" s="1"/>
  <c r="J93" i="18"/>
  <c r="H93" i="18"/>
  <c r="F93" i="18"/>
  <c r="J44" i="18"/>
  <c r="H44" i="18"/>
  <c r="F44" i="18"/>
  <c r="D44" i="18"/>
  <c r="J37" i="18"/>
  <c r="H37" i="18"/>
  <c r="F37" i="18"/>
  <c r="D37" i="18"/>
  <c r="J26" i="18"/>
  <c r="H26" i="18"/>
  <c r="F26" i="18"/>
  <c r="J38" i="20" l="1"/>
  <c r="J85" i="20" s="1"/>
  <c r="J109" i="20" s="1"/>
  <c r="H38" i="20"/>
  <c r="H85" i="20" s="1"/>
  <c r="H109" i="20" s="1"/>
  <c r="C39" i="26"/>
  <c r="C53" i="26" s="1"/>
  <c r="F38" i="20"/>
  <c r="F85" i="20" s="1"/>
  <c r="F109" i="20" s="1"/>
  <c r="D38" i="20"/>
  <c r="D85" i="20" s="1"/>
  <c r="D109" i="20" s="1"/>
  <c r="G70" i="25"/>
  <c r="I70" i="25"/>
  <c r="D28" i="29"/>
  <c r="V26" i="22"/>
  <c r="V49" i="22" s="1"/>
  <c r="V60" i="22" s="1"/>
  <c r="V72" i="22" s="1"/>
  <c r="F28" i="29"/>
  <c r="J55" i="18"/>
  <c r="J97" i="18" s="1"/>
  <c r="J120" i="18" s="1"/>
  <c r="H26" i="22"/>
  <c r="H49" i="22" s="1"/>
  <c r="H60" i="22" s="1"/>
  <c r="P26" i="22"/>
  <c r="P49" i="22" s="1"/>
  <c r="P60" i="22" s="1"/>
  <c r="P72" i="22" s="1"/>
  <c r="Q30" i="17"/>
  <c r="Q60" i="17" s="1"/>
  <c r="Q109" i="17" s="1"/>
  <c r="Q135" i="17" s="1"/>
  <c r="Q145" i="17" s="1"/>
  <c r="F34" i="27"/>
  <c r="H28" i="29"/>
  <c r="K70" i="25"/>
  <c r="G39" i="26"/>
  <c r="D34" i="27"/>
  <c r="I39" i="26"/>
  <c r="D28" i="28"/>
  <c r="H34" i="27"/>
  <c r="H29" i="19"/>
  <c r="H99" i="19"/>
  <c r="H106" i="19" s="1"/>
  <c r="H55" i="18"/>
  <c r="H97" i="18" s="1"/>
  <c r="H120" i="18" s="1"/>
  <c r="B26" i="22"/>
  <c r="B49" i="22" s="1"/>
  <c r="B60" i="22" s="1"/>
  <c r="J81" i="19"/>
  <c r="J29" i="19"/>
  <c r="I79" i="23"/>
  <c r="I86" i="23" s="1"/>
  <c r="F80" i="21"/>
  <c r="F55" i="18"/>
  <c r="F97" i="18" s="1"/>
  <c r="F120" i="18" s="1"/>
  <c r="H81" i="19"/>
  <c r="D26" i="22"/>
  <c r="D49" i="22" s="1"/>
  <c r="D60" i="22" s="1"/>
  <c r="B34" i="27"/>
  <c r="E70" i="25"/>
  <c r="E39" i="26"/>
  <c r="E53" i="26" s="1"/>
  <c r="K23" i="23"/>
  <c r="E79" i="23"/>
  <c r="E86" i="23" s="1"/>
  <c r="J99" i="19"/>
  <c r="J106"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8" i="19" l="1"/>
  <c r="J85" i="19" s="1"/>
  <c r="J109" i="19" s="1"/>
  <c r="H38" i="19"/>
  <c r="H85" i="19" s="1"/>
  <c r="H109" i="19" s="1"/>
  <c r="K33" i="23"/>
  <c r="K65" i="23" s="1"/>
  <c r="I33" i="23"/>
  <c r="I65" i="23" s="1"/>
  <c r="I89" i="23" s="1"/>
  <c r="A5" i="14"/>
  <c r="A5" i="13"/>
  <c r="A5" i="12"/>
  <c r="A5" i="11"/>
  <c r="A5" i="10"/>
  <c r="A5" i="9"/>
  <c r="A5" i="8"/>
  <c r="K89" i="23" l="1"/>
  <c r="AD49" i="18"/>
  <c r="R41" i="15" l="1"/>
  <c r="K137" i="30" l="1"/>
  <c r="K135" i="30"/>
  <c r="T93" i="18" l="1"/>
  <c r="X93" i="18"/>
  <c r="D18" i="2" s="1"/>
  <c r="R93" i="18"/>
  <c r="W49" i="17" l="1"/>
  <c r="O123" i="17"/>
  <c r="O132" i="17" s="1"/>
  <c r="S123" i="17"/>
  <c r="S132" i="17" s="1"/>
  <c r="V81" i="19"/>
  <c r="O49" i="17"/>
  <c r="S49" i="17"/>
  <c r="T81" i="19"/>
  <c r="I49" i="17" l="1"/>
  <c r="S42" i="17" l="1"/>
  <c r="W42" i="17"/>
  <c r="O42"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41" i="17"/>
  <c r="S141" i="17"/>
  <c r="W105" i="17"/>
  <c r="S105" i="17"/>
  <c r="U23" i="23"/>
  <c r="Y141" i="17"/>
  <c r="Q28" i="23"/>
  <c r="W60" i="17"/>
  <c r="P45" i="37" l="1"/>
  <c r="W49" i="16"/>
  <c r="I42" i="17"/>
  <c r="I30" i="17"/>
  <c r="I30" i="16"/>
  <c r="K96" i="23"/>
  <c r="B67" i="22"/>
  <c r="T45" i="37"/>
  <c r="S42" i="16"/>
  <c r="Y28" i="23"/>
  <c r="P16" i="2" s="1"/>
  <c r="W23" i="23"/>
  <c r="O42" i="16"/>
  <c r="Q23" i="23"/>
  <c r="W42" i="16"/>
  <c r="S123" i="16"/>
  <c r="S132" i="16" s="1"/>
  <c r="W86" i="23"/>
  <c r="R25" i="37"/>
  <c r="T25" i="37"/>
  <c r="V25" i="37"/>
  <c r="X25" i="37"/>
  <c r="N25" i="37"/>
  <c r="P25" i="37"/>
  <c r="U28" i="23"/>
  <c r="V45" i="37"/>
  <c r="O49" i="16"/>
  <c r="U79" i="23"/>
  <c r="U86" i="23" s="1"/>
  <c r="R45" i="37"/>
  <c r="S49" i="16"/>
  <c r="W109" i="17"/>
  <c r="X45" i="37"/>
  <c r="Y33" i="23" l="1"/>
  <c r="Y65" i="23" s="1"/>
  <c r="Y89" i="23" s="1"/>
  <c r="Y101" i="23" s="1"/>
  <c r="Q33" i="23"/>
  <c r="AA101" i="23"/>
  <c r="W33" i="23"/>
  <c r="U33" i="23"/>
  <c r="AI57" i="23"/>
  <c r="I123" i="16"/>
  <c r="I132" i="16" s="1"/>
  <c r="I49" i="16"/>
  <c r="I60" i="17"/>
  <c r="I42" i="16"/>
  <c r="I96" i="23"/>
  <c r="I105" i="16"/>
  <c r="I105" i="17"/>
  <c r="W60" i="16"/>
  <c r="I109" i="17" l="1"/>
  <c r="I135" i="17" s="1"/>
  <c r="I145" i="17" s="1"/>
  <c r="K101" i="23"/>
  <c r="I60" i="16"/>
  <c r="I109" i="16" s="1"/>
  <c r="I135" i="16" s="1"/>
  <c r="P28" i="5" l="1"/>
  <c r="J49" i="3" l="1"/>
  <c r="G25" i="11"/>
  <c r="I41" i="10"/>
  <c r="I34" i="10"/>
  <c r="I40" i="13"/>
  <c r="N28" i="15" l="1"/>
  <c r="N38" i="15" s="1"/>
  <c r="G96" i="23" l="1"/>
  <c r="G101" i="23" l="1"/>
  <c r="AA51" i="3" l="1"/>
  <c r="R33" i="11" l="1"/>
  <c r="AG31" i="19"/>
  <c r="AI27" i="23" l="1"/>
  <c r="Q30" i="16" l="1"/>
  <c r="Q60" i="16" l="1"/>
  <c r="Q109" i="16" s="1"/>
  <c r="Q135" i="16" s="1"/>
  <c r="AI55" i="23"/>
  <c r="AG55" i="19"/>
  <c r="AG60" i="19"/>
  <c r="AI52" i="23"/>
  <c r="AG57" i="19"/>
  <c r="AG24" i="19"/>
  <c r="AI49" i="23"/>
  <c r="AI71" i="23"/>
  <c r="AI92" i="23"/>
  <c r="AI58" i="23"/>
  <c r="AI48" i="23"/>
  <c r="P33" i="6"/>
  <c r="AG66" i="19"/>
  <c r="AG76" i="19"/>
  <c r="AG95" i="19"/>
  <c r="AG45" i="19"/>
  <c r="AF93" i="18"/>
  <c r="AI82" i="23"/>
  <c r="AG75" i="19"/>
  <c r="AG49" i="19"/>
  <c r="AI30" i="23"/>
  <c r="AI31" i="23" s="1"/>
  <c r="AG97" i="19"/>
  <c r="AI45" i="23"/>
  <c r="AI39" i="23"/>
  <c r="AI37" i="23"/>
  <c r="AG72" i="19"/>
  <c r="AG74" i="19"/>
  <c r="AE98" i="16" s="1"/>
  <c r="AG89" i="19"/>
  <c r="AI70" i="23"/>
  <c r="AG32" i="19"/>
  <c r="AG98" i="19"/>
  <c r="AG54" i="19"/>
  <c r="AI83" i="23"/>
  <c r="AG59" i="19"/>
  <c r="AG25" i="19"/>
  <c r="P24" i="6"/>
  <c r="AG23" i="19"/>
  <c r="AE35" i="16" s="1"/>
  <c r="AG96" i="19"/>
  <c r="AG52" i="19"/>
  <c r="P26" i="5"/>
  <c r="AG80" i="19"/>
  <c r="AG62" i="19"/>
  <c r="AL62" i="19" s="1"/>
  <c r="AG33" i="19"/>
  <c r="AG79" i="19"/>
  <c r="AI76" i="23"/>
  <c r="AG94" i="19"/>
  <c r="AG51" i="19"/>
  <c r="AG35" i="19"/>
  <c r="AG53" i="19"/>
  <c r="AI73" i="23"/>
  <c r="AI22" i="23"/>
  <c r="AI59" i="23"/>
  <c r="AI20" i="23"/>
  <c r="AI51" i="23"/>
  <c r="AG42" i="19"/>
  <c r="AI54" i="23"/>
  <c r="AD40" i="2"/>
  <c r="P20" i="5"/>
  <c r="AG101" i="19"/>
  <c r="AG34" i="19"/>
  <c r="AI69" i="23"/>
  <c r="P36" i="5"/>
  <c r="AG58" i="19"/>
  <c r="AG50" i="19"/>
  <c r="AG90" i="19"/>
  <c r="AI78" i="23"/>
  <c r="AG44" i="19"/>
  <c r="AI81" i="23"/>
  <c r="AI41" i="23"/>
  <c r="AI75" i="23"/>
  <c r="AG73" i="19"/>
  <c r="AG69" i="19"/>
  <c r="AI46" i="23"/>
  <c r="AG64" i="19"/>
  <c r="AG21" i="19"/>
  <c r="AI25" i="23"/>
  <c r="AG28" i="19"/>
  <c r="AG47" i="19"/>
  <c r="AI63" i="23"/>
  <c r="AI77" i="23"/>
  <c r="AG26" i="19"/>
  <c r="P25" i="6"/>
  <c r="AD20" i="22"/>
  <c r="AD26" i="22" s="1"/>
  <c r="AD49" i="22" s="1"/>
  <c r="AD60" i="22" s="1"/>
  <c r="AG91" i="19"/>
  <c r="AG83" i="19"/>
  <c r="AG65" i="19"/>
  <c r="P19" i="5"/>
  <c r="AG104" i="19"/>
  <c r="AL104" i="19" s="1"/>
  <c r="AG103" i="19"/>
  <c r="P27" i="5"/>
  <c r="AI42" i="23"/>
  <c r="AG20" i="19"/>
  <c r="AG63" i="19"/>
  <c r="AG78" i="19"/>
  <c r="AI44" i="23"/>
  <c r="AG93" i="19"/>
  <c r="AG77" i="19"/>
  <c r="AG46" i="19"/>
  <c r="AG67" i="19"/>
  <c r="AE97" i="16" l="1"/>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I96" i="23"/>
  <c r="AD48" i="2"/>
  <c r="AD26" i="2"/>
  <c r="M138" i="16" l="1"/>
  <c r="AD51" i="2"/>
  <c r="AE138" i="16"/>
  <c r="AC103" i="23"/>
  <c r="AG81" i="19"/>
  <c r="AD18" i="2" s="1"/>
  <c r="AE94" i="16"/>
  <c r="AI33" i="23"/>
  <c r="AI65" i="23" s="1"/>
  <c r="AI89" i="23" s="1"/>
  <c r="AI101" i="23" s="1"/>
  <c r="T99" i="19"/>
  <c r="T106" i="19" s="1"/>
  <c r="V99" i="19"/>
  <c r="V106" i="19" s="1"/>
  <c r="T36" i="19"/>
  <c r="V36" i="19"/>
  <c r="T29" i="19"/>
  <c r="V29" i="19"/>
  <c r="V38" i="19" l="1"/>
  <c r="V85" i="19" s="1"/>
  <c r="V109" i="19" s="1"/>
  <c r="T38" i="19"/>
  <c r="T85" i="19" s="1"/>
  <c r="T109" i="19" s="1"/>
  <c r="K64" i="30"/>
  <c r="J33" i="37"/>
  <c r="AJ73" i="25"/>
  <c r="F32" i="15"/>
  <c r="F37" i="15"/>
  <c r="F34" i="15"/>
  <c r="AI64" i="18"/>
  <c r="J43" i="37"/>
  <c r="N52" i="15"/>
  <c r="N56" i="15" s="1"/>
  <c r="F33" i="15"/>
  <c r="AJ74" i="25"/>
  <c r="AL74" i="25" s="1"/>
  <c r="J45" i="37" l="1"/>
  <c r="K123" i="17"/>
  <c r="K132" i="17" s="1"/>
  <c r="K49" i="17"/>
  <c r="J25" i="37"/>
  <c r="K30" i="17"/>
  <c r="K42" i="17"/>
  <c r="K105" i="17"/>
  <c r="M23" i="23"/>
  <c r="K30" i="16"/>
  <c r="M28" i="23"/>
  <c r="M79" i="23"/>
  <c r="M86" i="23" s="1"/>
  <c r="K141" i="17"/>
  <c r="L36" i="19"/>
  <c r="L81" i="19"/>
  <c r="M31" i="23"/>
  <c r="L29" i="19"/>
  <c r="M96" i="23"/>
  <c r="L99" i="19"/>
  <c r="L106" i="19" s="1"/>
  <c r="L38" i="19" l="1"/>
  <c r="L85" i="19" s="1"/>
  <c r="L109" i="19" s="1"/>
  <c r="M33" i="23"/>
  <c r="M65" i="23" s="1"/>
  <c r="M89" i="23" s="1"/>
  <c r="M101" i="23" s="1"/>
  <c r="K123" i="16"/>
  <c r="K132" i="16" s="1"/>
  <c r="K60" i="17"/>
  <c r="K109" i="17" s="1"/>
  <c r="K135" i="17" s="1"/>
  <c r="K145" i="17" s="1"/>
  <c r="K42" i="16"/>
  <c r="K49" i="16"/>
  <c r="K105" i="16"/>
  <c r="AB35" i="17"/>
  <c r="AH35" i="17" s="1"/>
  <c r="AJ35" i="17" s="1"/>
  <c r="AJ23" i="20"/>
  <c r="AL23" i="20" s="1"/>
  <c r="V31" i="15"/>
  <c r="K60" i="16" l="1"/>
  <c r="K109" i="16" s="1"/>
  <c r="K135" i="16" s="1"/>
  <c r="AD23" i="19"/>
  <c r="AJ23" i="19" l="1"/>
  <c r="AL23" i="19" s="1"/>
  <c r="J31" i="15"/>
  <c r="AH35" i="16"/>
  <c r="AJ35" i="16" s="1"/>
  <c r="C65" i="34" l="1"/>
  <c r="AE73" i="17" l="1"/>
  <c r="AB73" i="17" l="1"/>
  <c r="AH73" i="17" s="1"/>
  <c r="AJ73" i="17" s="1"/>
  <c r="AJ49" i="20" l="1"/>
  <c r="AL49" i="20" s="1"/>
  <c r="AE73" i="16" l="1"/>
  <c r="AD49" i="19"/>
  <c r="AJ49" i="19" s="1"/>
  <c r="AL49" i="19" s="1"/>
  <c r="AB73" i="16"/>
  <c r="AH73" i="16" l="1"/>
  <c r="AJ73" i="16" s="1"/>
  <c r="U95" i="24" l="1"/>
  <c r="U78" i="24"/>
  <c r="U85" i="24" s="1"/>
  <c r="U30" i="24"/>
  <c r="U27" i="24"/>
  <c r="U22" i="24"/>
  <c r="U76" i="25"/>
  <c r="U60" i="25"/>
  <c r="U67" i="25" s="1"/>
  <c r="U32" i="24" l="1"/>
  <c r="U64" i="24" l="1"/>
  <c r="U88" i="24" s="1"/>
  <c r="U100" i="24" s="1"/>
  <c r="AL50" i="25"/>
  <c r="M195" i="42" l="1"/>
  <c r="M201" i="42"/>
  <c r="X13" i="15"/>
  <c r="V13" i="15"/>
  <c r="R13" i="15"/>
  <c r="P13" i="15"/>
  <c r="N13" i="15"/>
  <c r="L13" i="15"/>
  <c r="J13" i="15"/>
  <c r="H13" i="15"/>
  <c r="AD12" i="15"/>
  <c r="X12" i="15"/>
  <c r="R12" i="15"/>
  <c r="N12" i="15"/>
  <c r="J12" i="15"/>
  <c r="M200" i="42" l="1"/>
  <c r="AJ55" i="24"/>
  <c r="AL38" i="25"/>
  <c r="AJ38" i="25"/>
  <c r="AL56" i="23" l="1"/>
  <c r="R29"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4" i="15" l="1"/>
  <c r="V53" i="15"/>
  <c r="V52" i="15"/>
  <c r="V51" i="15"/>
  <c r="V50" i="15"/>
  <c r="V49" i="15"/>
  <c r="N46" i="15"/>
  <c r="V45" i="15"/>
  <c r="V44" i="15"/>
  <c r="V43" i="15"/>
  <c r="V42" i="15"/>
  <c r="V41" i="15"/>
  <c r="V33" i="15"/>
  <c r="V32" i="15"/>
  <c r="V30" i="15"/>
  <c r="V28" i="15"/>
  <c r="V24" i="15"/>
  <c r="R25" i="15"/>
  <c r="P25" i="15"/>
  <c r="N25" i="15"/>
  <c r="V56" i="15" l="1"/>
  <c r="V46" i="15"/>
  <c r="N58" i="15"/>
  <c r="AE47" i="26" l="1"/>
  <c r="K94" i="30" l="1"/>
  <c r="J18" i="6"/>
  <c r="F16" i="15"/>
  <c r="F17" i="15"/>
  <c r="F18" i="15"/>
  <c r="F19" i="15"/>
  <c r="F22" i="15"/>
  <c r="X23" i="15"/>
  <c r="F24" i="15"/>
  <c r="F28" i="15"/>
  <c r="F30" i="15"/>
  <c r="F41" i="15"/>
  <c r="F42" i="15"/>
  <c r="F43" i="15"/>
  <c r="F44" i="15"/>
  <c r="F50" i="15"/>
  <c r="X50" i="15" s="1"/>
  <c r="F51" i="15"/>
  <c r="X51" i="15" s="1"/>
  <c r="F53" i="15"/>
  <c r="X53" i="15" s="1"/>
  <c r="X16" i="15" l="1"/>
  <c r="F21" i="15"/>
  <c r="F25" i="15" s="1"/>
  <c r="X18" i="15"/>
  <c r="X24" i="15"/>
  <c r="X19" i="15"/>
  <c r="X17" i="15"/>
  <c r="X20" i="15"/>
  <c r="X21" i="15" l="1"/>
  <c r="J33" i="28"/>
  <c r="AI129" i="18" l="1"/>
  <c r="AK129" i="18" s="1"/>
  <c r="K39" i="30" l="1"/>
  <c r="Z12" i="43"/>
  <c r="B16" i="43"/>
  <c r="D16" i="43"/>
  <c r="F16" i="43"/>
  <c r="H16" i="43"/>
  <c r="J16" i="43"/>
  <c r="N16" i="43"/>
  <c r="R16" i="43"/>
  <c r="T16" i="43"/>
  <c r="V16" i="43"/>
  <c r="X16" i="43"/>
  <c r="Z40" i="43"/>
  <c r="B40" i="43"/>
  <c r="D40" i="43"/>
  <c r="F40" i="43"/>
  <c r="H40" i="43"/>
  <c r="L40" i="43"/>
  <c r="T40" i="43"/>
  <c r="V40" i="43"/>
  <c r="X40" i="43"/>
  <c r="V42" i="43" l="1"/>
  <c r="F42" i="43"/>
  <c r="B42" i="43"/>
  <c r="B44" i="43" s="1"/>
  <c r="D12" i="43" s="1"/>
  <c r="L42" i="43"/>
  <c r="D42" i="43"/>
  <c r="X42" i="43"/>
  <c r="H42" i="43"/>
  <c r="D44" i="43" l="1"/>
  <c r="F12" i="43" s="1"/>
  <c r="F44" i="43" l="1"/>
  <c r="H12" i="43" s="1"/>
  <c r="H44" i="43" l="1"/>
  <c r="J12" i="43" s="1"/>
  <c r="AL57" i="23" l="1"/>
  <c r="AN57" i="23" s="1"/>
  <c r="M203" i="42" l="1"/>
  <c r="AJ56" i="24"/>
  <c r="AL56" i="24" s="1"/>
  <c r="AJ49" i="21" l="1"/>
  <c r="AL49" i="21" s="1"/>
  <c r="AD72" i="22" l="1"/>
  <c r="X67" i="22" l="1"/>
  <c r="X57" i="22"/>
  <c r="X45" i="22"/>
  <c r="X20" i="22"/>
  <c r="T67" i="22"/>
  <c r="T57" i="22"/>
  <c r="T45" i="22"/>
  <c r="T20" i="22"/>
  <c r="R67" i="22"/>
  <c r="R57" i="22"/>
  <c r="R45" i="22"/>
  <c r="R20" i="22"/>
  <c r="N20" i="22"/>
  <c r="J67" i="22"/>
  <c r="J57" i="22"/>
  <c r="J45" i="22"/>
  <c r="J20" i="22"/>
  <c r="H67" i="22"/>
  <c r="F67" i="22"/>
  <c r="J26" i="22" l="1"/>
  <c r="J49" i="22" s="1"/>
  <c r="J60" i="22" s="1"/>
  <c r="J72" i="22" s="1"/>
  <c r="R26" i="22"/>
  <c r="R49" i="22" s="1"/>
  <c r="R60" i="22" s="1"/>
  <c r="R72" i="22" s="1"/>
  <c r="H72" i="22"/>
  <c r="X26" i="22"/>
  <c r="X49" i="22" s="1"/>
  <c r="X60" i="22" s="1"/>
  <c r="X72" i="22" s="1"/>
  <c r="F72" i="22"/>
  <c r="T26" i="22"/>
  <c r="T49" i="22" s="1"/>
  <c r="T60" i="22" s="1"/>
  <c r="T72" i="22" s="1"/>
  <c r="P17" i="29"/>
  <c r="G25" i="14" l="1"/>
  <c r="G25" i="13" l="1"/>
  <c r="G40" i="7"/>
  <c r="AN42" i="23" l="1"/>
  <c r="AJ24" i="25"/>
  <c r="AJ41" i="24"/>
  <c r="AL42" i="23" l="1"/>
  <c r="AA34" i="3" l="1"/>
  <c r="AI88" i="18" l="1"/>
  <c r="AK88" i="18" s="1"/>
  <c r="AI89" i="18"/>
  <c r="AK89" i="18" s="1"/>
  <c r="AE103" i="17"/>
  <c r="AE68" i="17"/>
  <c r="AG44" i="22" l="1"/>
  <c r="AI44" i="22" s="1"/>
  <c r="AG30" i="22"/>
  <c r="AI30" i="22" s="1"/>
  <c r="AE99" i="17" l="1"/>
  <c r="AN49" i="23" l="1"/>
  <c r="AJ31" i="25"/>
  <c r="AJ48" i="24"/>
  <c r="AL48" i="24" s="1"/>
  <c r="AL49" i="23" l="1"/>
  <c r="R81" i="20" l="1"/>
  <c r="AL25" i="23" l="1"/>
  <c r="AA42" i="25" l="1"/>
  <c r="Y42" i="25"/>
  <c r="W42" i="25"/>
  <c r="S42" i="25"/>
  <c r="M42" i="25"/>
  <c r="AF60" i="23" l="1"/>
  <c r="W105" i="16"/>
  <c r="W109" i="16" s="1"/>
  <c r="W61" i="23"/>
  <c r="A39" i="13"/>
  <c r="A40" i="11"/>
  <c r="A40" i="10"/>
  <c r="A49" i="9"/>
  <c r="W65" i="23" l="1"/>
  <c r="W89" i="23" s="1"/>
  <c r="W101" i="23" s="1"/>
  <c r="Q31" i="14"/>
  <c r="AL59" i="25"/>
  <c r="Q24" i="14"/>
  <c r="G32" i="14"/>
  <c r="R31" i="11"/>
  <c r="G32" i="11"/>
  <c r="G31" i="11"/>
  <c r="G24" i="11"/>
  <c r="AJ76" i="20"/>
  <c r="AL76" i="20" s="1"/>
  <c r="AJ63" i="20"/>
  <c r="AL63" i="20" s="1"/>
  <c r="G20" i="11"/>
  <c r="AE28" i="16"/>
  <c r="AE27" i="17"/>
  <c r="AE28" i="17"/>
  <c r="AJ28" i="17" s="1"/>
  <c r="AE129" i="16"/>
  <c r="AE141" i="17"/>
  <c r="AE78" i="17"/>
  <c r="AE77" i="17"/>
  <c r="AE76" i="17"/>
  <c r="AE75" i="17"/>
  <c r="AE74" i="17"/>
  <c r="AE72" i="17"/>
  <c r="AE72" i="16"/>
  <c r="AG37" i="22"/>
  <c r="AI37" i="22" s="1"/>
  <c r="AG36" i="22"/>
  <c r="AI36" i="22" s="1"/>
  <c r="AG35" i="22"/>
  <c r="AI35" i="22" s="1"/>
  <c r="AG34" i="22"/>
  <c r="AI34" i="22" s="1"/>
  <c r="AG32" i="22"/>
  <c r="AI32" i="22" s="1"/>
  <c r="AE55" i="17"/>
  <c r="AE54" i="17"/>
  <c r="AE55" i="16"/>
  <c r="AE53" i="16"/>
  <c r="AE52" i="16"/>
  <c r="AE103" i="16"/>
  <c r="AE99" i="16"/>
  <c r="AE76" i="16"/>
  <c r="AE75" i="16"/>
  <c r="AE68" i="16"/>
  <c r="AG29" i="20"/>
  <c r="G33" i="8" l="1"/>
  <c r="AD23" i="15"/>
  <c r="AH23" i="15" s="1"/>
  <c r="AJ23" i="15" s="1"/>
  <c r="AJ28" i="16"/>
  <c r="AD51" i="15"/>
  <c r="AH51" i="15" s="1"/>
  <c r="AJ51" i="15" s="1"/>
  <c r="AD53" i="15"/>
  <c r="AH53" i="15" s="1"/>
  <c r="AJ53" i="15" s="1"/>
  <c r="AD50" i="15"/>
  <c r="AH50" i="15" s="1"/>
  <c r="AJ50" i="15" s="1"/>
  <c r="G30" i="11"/>
  <c r="R30" i="11"/>
  <c r="AL54" i="21"/>
  <c r="R24" i="11"/>
  <c r="G24" i="14"/>
  <c r="G26" i="14"/>
  <c r="G31" i="14"/>
  <c r="AJ93" i="24"/>
  <c r="AL93" i="24" s="1"/>
  <c r="Q32" i="14"/>
  <c r="R23" i="11"/>
  <c r="N14" i="2"/>
  <c r="AE74" i="16"/>
  <c r="AE77" i="16"/>
  <c r="AG16" i="22"/>
  <c r="AI16" i="22" s="1"/>
  <c r="Q23" i="14"/>
  <c r="G20" i="12"/>
  <c r="AE78" i="16"/>
  <c r="AG33" i="22"/>
  <c r="AI33" i="22" s="1"/>
  <c r="G33"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5" i="19"/>
  <c r="K140" i="30" l="1"/>
  <c r="G11" i="42"/>
  <c r="J37" i="5"/>
  <c r="J29" i="5"/>
  <c r="L90" i="21"/>
  <c r="L119" i="19" l="1"/>
  <c r="AE140" i="16" l="1"/>
  <c r="Z36" i="20"/>
  <c r="X36" i="20"/>
  <c r="H17" i="3" s="1"/>
  <c r="V36" i="20"/>
  <c r="T36" i="20"/>
  <c r="R36" i="20"/>
  <c r="P36" i="20"/>
  <c r="L36" i="20"/>
  <c r="Z29" i="20"/>
  <c r="X29" i="20"/>
  <c r="H16" i="3" s="1"/>
  <c r="V29" i="20"/>
  <c r="T29" i="20"/>
  <c r="L29" i="20"/>
  <c r="AG36" i="20"/>
  <c r="AG38" i="20" s="1"/>
  <c r="R38" i="20" l="1"/>
  <c r="P38" i="20"/>
  <c r="P85" i="20" s="1"/>
  <c r="P109" i="20" s="1"/>
  <c r="P119" i="20" s="1"/>
  <c r="V38" i="20"/>
  <c r="T38" i="20"/>
  <c r="Z38" i="20"/>
  <c r="Z85" i="20" s="1"/>
  <c r="Z109" i="20" s="1"/>
  <c r="X38" i="20"/>
  <c r="L38" i="20"/>
  <c r="K88" i="30" l="1"/>
  <c r="AE104" i="17"/>
  <c r="AE101" i="17"/>
  <c r="AE100" i="17"/>
  <c r="AE97" i="17"/>
  <c r="AE96" i="17"/>
  <c r="AE93" i="17"/>
  <c r="AE91" i="17"/>
  <c r="AE90" i="17"/>
  <c r="AE89" i="17"/>
  <c r="AE88" i="17"/>
  <c r="AE87" i="17"/>
  <c r="AE86" i="17"/>
  <c r="AJ86" i="17" s="1"/>
  <c r="AE84" i="17"/>
  <c r="AE83" i="17"/>
  <c r="AE82" i="17"/>
  <c r="AE81" i="17"/>
  <c r="AE79" i="17"/>
  <c r="AE70" i="17"/>
  <c r="AE69" i="17"/>
  <c r="AE67" i="17"/>
  <c r="AE65" i="17"/>
  <c r="AE33" i="17"/>
  <c r="AE38" i="17"/>
  <c r="AE36" i="17"/>
  <c r="AE48" i="17"/>
  <c r="AE45" i="17"/>
  <c r="AE129" i="17"/>
  <c r="AE126" i="17"/>
  <c r="AE127" i="17"/>
  <c r="AE125" i="17"/>
  <c r="AE122" i="17"/>
  <c r="AE121" i="17"/>
  <c r="AE120" i="17"/>
  <c r="AE119" i="17"/>
  <c r="AE118" i="17"/>
  <c r="AE117" i="17"/>
  <c r="AE115" i="17"/>
  <c r="AE114" i="17"/>
  <c r="AE113" i="17"/>
  <c r="AE65" i="16" l="1"/>
  <c r="AE64" i="16"/>
  <c r="AE64" i="17"/>
  <c r="AE123" i="17"/>
  <c r="AE132" i="17" s="1"/>
  <c r="G23" i="11" l="1"/>
  <c r="P40" i="43" l="1"/>
  <c r="P42" i="43" s="1"/>
  <c r="AF44" i="18" l="1"/>
  <c r="X44" i="18"/>
  <c r="D16" i="2" s="1"/>
  <c r="T44" i="18"/>
  <c r="AD17" i="2" l="1"/>
  <c r="AA18" i="3"/>
  <c r="AG30" i="24"/>
  <c r="AA30" i="24"/>
  <c r="W30" i="24"/>
  <c r="S30" i="24"/>
  <c r="M30" i="24"/>
  <c r="AG22" i="24"/>
  <c r="AA22" i="24"/>
  <c r="W22" i="24"/>
  <c r="S22" i="24"/>
  <c r="M22" i="24"/>
  <c r="AA27" i="24"/>
  <c r="W27" i="24"/>
  <c r="S27" i="24"/>
  <c r="Q27" i="24"/>
  <c r="Q32" i="24" s="1"/>
  <c r="M27" i="24"/>
  <c r="AE51" i="16"/>
  <c r="AE54" i="16"/>
  <c r="AE29" i="16"/>
  <c r="AE25" i="16"/>
  <c r="AE24" i="16"/>
  <c r="AE23" i="16"/>
  <c r="AJ56" i="17"/>
  <c r="AE53" i="17"/>
  <c r="AE52" i="17"/>
  <c r="AE51" i="17"/>
  <c r="AE47" i="17"/>
  <c r="AE46" i="17"/>
  <c r="AE44" i="17"/>
  <c r="AE41" i="17"/>
  <c r="AE37" i="17"/>
  <c r="AE34" i="17"/>
  <c r="AE32" i="17"/>
  <c r="AE29" i="17"/>
  <c r="AE25" i="17"/>
  <c r="AE24" i="17"/>
  <c r="AE23" i="17"/>
  <c r="AJ25" i="24"/>
  <c r="AL25" i="24" s="1"/>
  <c r="AJ24" i="24"/>
  <c r="AE58" i="17" l="1"/>
  <c r="AD49" i="15"/>
  <c r="AE58" i="16"/>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W32" i="24"/>
  <c r="W64" i="24" s="1"/>
  <c r="AE42" i="17"/>
  <c r="C42" i="17"/>
  <c r="C30" i="17"/>
  <c r="AH17" i="15" l="1"/>
  <c r="AJ17" i="15" s="1"/>
  <c r="G22" i="13"/>
  <c r="K22" i="13" s="1"/>
  <c r="AJ30" i="24"/>
  <c r="AL30" i="24" s="1"/>
  <c r="R42" i="15"/>
  <c r="R52" i="15"/>
  <c r="R56"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7" i="16"/>
  <c r="AE93" i="16"/>
  <c r="AE70" i="16"/>
  <c r="AG115" i="20"/>
  <c r="AJ35" i="20"/>
  <c r="AL35" i="20" s="1"/>
  <c r="AJ34" i="20"/>
  <c r="AL34" i="20" s="1"/>
  <c r="AJ33" i="20"/>
  <c r="AL33" i="20" s="1"/>
  <c r="AJ32" i="20"/>
  <c r="AL32" i="20" s="1"/>
  <c r="AA17" i="3"/>
  <c r="AJ28" i="20"/>
  <c r="AL28" i="20" s="1"/>
  <c r="AJ26" i="20"/>
  <c r="AL26" i="20" s="1"/>
  <c r="AJ25" i="20"/>
  <c r="AL25" i="20" s="1"/>
  <c r="AJ24" i="20"/>
  <c r="AL24" i="20" s="1"/>
  <c r="AJ22" i="20"/>
  <c r="AL22" i="20" s="1"/>
  <c r="AJ21" i="20"/>
  <c r="AL21" i="20" s="1"/>
  <c r="AL27" i="23" l="1"/>
  <c r="AN27" i="23" s="1"/>
  <c r="R45" i="15"/>
  <c r="R46" i="15" s="1"/>
  <c r="AL21" i="23"/>
  <c r="AN21" i="23" s="1"/>
  <c r="R32" i="15"/>
  <c r="R34" i="15"/>
  <c r="B72" i="22"/>
  <c r="AJ42" i="25"/>
  <c r="AL42" i="25" s="1"/>
  <c r="AB27" i="16"/>
  <c r="AE27" i="16"/>
  <c r="AD22" i="15" s="1"/>
  <c r="C49" i="16"/>
  <c r="AL30" i="23"/>
  <c r="AN30" i="23" s="1"/>
  <c r="C42" i="16"/>
  <c r="AE69" i="16"/>
  <c r="AE81" i="16"/>
  <c r="AE90" i="16"/>
  <c r="AE96" i="16"/>
  <c r="AE104" i="16"/>
  <c r="AE41" i="16"/>
  <c r="AE47" i="16"/>
  <c r="AJ31" i="20"/>
  <c r="AE79" i="16"/>
  <c r="AE84" i="16"/>
  <c r="AE33" i="16"/>
  <c r="AE38" i="16"/>
  <c r="AE46" i="16"/>
  <c r="AE67" i="16"/>
  <c r="AE83" i="16"/>
  <c r="AE88" i="16"/>
  <c r="AE32" i="16"/>
  <c r="AE37" i="16"/>
  <c r="AE45" i="16"/>
  <c r="AE100" i="16"/>
  <c r="AE34" i="16"/>
  <c r="AE89" i="16"/>
  <c r="AE82" i="16"/>
  <c r="AE87" i="16"/>
  <c r="AE91" i="16"/>
  <c r="AE101" i="16"/>
  <c r="AE36" i="16"/>
  <c r="AE48" i="16"/>
  <c r="AE86" i="16"/>
  <c r="AD25" i="19"/>
  <c r="C60" i="17"/>
  <c r="AD28" i="19"/>
  <c r="AD24" i="19"/>
  <c r="AD35" i="19"/>
  <c r="AD26" i="19"/>
  <c r="AD22" i="19"/>
  <c r="AD34" i="19"/>
  <c r="AG36" i="19"/>
  <c r="AD16" i="2" s="1"/>
  <c r="AE44" i="16"/>
  <c r="AD33" i="19"/>
  <c r="AG115" i="19"/>
  <c r="AD31" i="19"/>
  <c r="AG99" i="19"/>
  <c r="AG106" i="19" s="1"/>
  <c r="AD32" i="19"/>
  <c r="AG29" i="19"/>
  <c r="AF28" i="23"/>
  <c r="AL26" i="23"/>
  <c r="AN26" i="23" s="1"/>
  <c r="AJ59" i="24"/>
  <c r="AL59" i="24" s="1"/>
  <c r="AJ43" i="24"/>
  <c r="AL43" i="24" s="1"/>
  <c r="AJ47" i="24"/>
  <c r="AL47" i="24" s="1"/>
  <c r="AJ50" i="24"/>
  <c r="AL50" i="24" s="1"/>
  <c r="AJ40" i="24"/>
  <c r="AL40" i="24" s="1"/>
  <c r="AJ36" i="24"/>
  <c r="AL36" i="24" s="1"/>
  <c r="AJ38" i="24"/>
  <c r="AL38" i="24" s="1"/>
  <c r="AJ17" i="20"/>
  <c r="AJ20" i="20"/>
  <c r="J15" i="3"/>
  <c r="AI50" i="18"/>
  <c r="AK50" i="18" s="1"/>
  <c r="AI48" i="18"/>
  <c r="AK48" i="18" s="1"/>
  <c r="AI47" i="18"/>
  <c r="AK47" i="18" s="1"/>
  <c r="F49" i="15"/>
  <c r="AI42" i="18"/>
  <c r="AK42" i="18" s="1"/>
  <c r="AI41" i="18"/>
  <c r="AK41" i="18" s="1"/>
  <c r="AI40" i="18"/>
  <c r="AK40" i="18" s="1"/>
  <c r="AI39" i="18"/>
  <c r="AK39" i="18" s="1"/>
  <c r="AI32" i="18"/>
  <c r="AK32" i="18" s="1"/>
  <c r="AI30" i="18"/>
  <c r="AK30" i="18" s="1"/>
  <c r="AI28" i="18"/>
  <c r="AK28" i="18" s="1"/>
  <c r="AI23" i="18"/>
  <c r="AK23" i="18" s="1"/>
  <c r="AI21" i="18"/>
  <c r="AK21" i="18" s="1"/>
  <c r="AI20" i="18"/>
  <c r="AK20" i="18" s="1"/>
  <c r="AI19" i="18"/>
  <c r="AK19" i="18" s="1"/>
  <c r="AI18" i="18"/>
  <c r="AK18" i="18" s="1"/>
  <c r="AF37" i="18"/>
  <c r="X37" i="18"/>
  <c r="D15" i="2" s="1"/>
  <c r="T37" i="18"/>
  <c r="R37" i="18"/>
  <c r="X26" i="18"/>
  <c r="D14" i="2" s="1"/>
  <c r="AA13" i="3"/>
  <c r="Y13" i="3"/>
  <c r="F13" i="3"/>
  <c r="F12" i="3"/>
  <c r="D13" i="3"/>
  <c r="AB104" i="17"/>
  <c r="AE105" i="17"/>
  <c r="AG52" i="21"/>
  <c r="Z52" i="21"/>
  <c r="Z56" i="21" s="1"/>
  <c r="X52" i="21"/>
  <c r="V52" i="21"/>
  <c r="V56" i="21" s="1"/>
  <c r="T52" i="21"/>
  <c r="T56" i="21" s="1"/>
  <c r="AG81" i="20"/>
  <c r="AA19" i="3" s="1"/>
  <c r="X81" i="20"/>
  <c r="H19" i="3" s="1"/>
  <c r="V81" i="20"/>
  <c r="T81" i="20"/>
  <c r="L81" i="20"/>
  <c r="AA46" i="25"/>
  <c r="Y46" i="25"/>
  <c r="W46" i="25"/>
  <c r="S46" i="25"/>
  <c r="O46" i="25"/>
  <c r="M46" i="25"/>
  <c r="AG60" i="24"/>
  <c r="AD37" i="15" l="1"/>
  <c r="AG38" i="19"/>
  <c r="AG85" i="19" s="1"/>
  <c r="AG109" i="19" s="1"/>
  <c r="AG119" i="19" s="1"/>
  <c r="AL17" i="20"/>
  <c r="H21" i="3"/>
  <c r="R55" i="18"/>
  <c r="R97" i="18" s="1"/>
  <c r="X85" i="20"/>
  <c r="AD41" i="15"/>
  <c r="AD45" i="15"/>
  <c r="AD42" i="15"/>
  <c r="AD43" i="15"/>
  <c r="AD44" i="15"/>
  <c r="AD54" i="15"/>
  <c r="AD56" i="15" s="1"/>
  <c r="AD32" i="15"/>
  <c r="AD33" i="15"/>
  <c r="AD34" i="15"/>
  <c r="AD30" i="15"/>
  <c r="AD28" i="15"/>
  <c r="AD29" i="15"/>
  <c r="AA16" i="3"/>
  <c r="AD15" i="2"/>
  <c r="AJ34" i="19"/>
  <c r="AL34" i="19" s="1"/>
  <c r="J44" i="15"/>
  <c r="X44" i="15" s="1"/>
  <c r="AJ35" i="19"/>
  <c r="AL35" i="19" s="1"/>
  <c r="J45" i="15"/>
  <c r="AJ31" i="19"/>
  <c r="AL31" i="19" s="1"/>
  <c r="J41" i="15"/>
  <c r="AJ32" i="19"/>
  <c r="AL32" i="19" s="1"/>
  <c r="J42" i="15"/>
  <c r="X42" i="15" s="1"/>
  <c r="AJ33" i="19"/>
  <c r="AL33" i="19" s="1"/>
  <c r="J43" i="15"/>
  <c r="X43" i="15" s="1"/>
  <c r="AJ28" i="19"/>
  <c r="AL28" i="19" s="1"/>
  <c r="J37" i="15"/>
  <c r="X37" i="15" s="1"/>
  <c r="AJ26" i="19"/>
  <c r="AL26" i="19" s="1"/>
  <c r="J34" i="15"/>
  <c r="AJ25" i="19"/>
  <c r="AL25" i="19" s="1"/>
  <c r="J33" i="15"/>
  <c r="AJ24" i="19"/>
  <c r="AL24" i="19" s="1"/>
  <c r="J32" i="15"/>
  <c r="X32" i="15" s="1"/>
  <c r="AJ22" i="19"/>
  <c r="AL22" i="19" s="1"/>
  <c r="J30" i="15"/>
  <c r="X30" i="15" s="1"/>
  <c r="AJ21" i="19"/>
  <c r="AL21" i="19" s="1"/>
  <c r="J29" i="15"/>
  <c r="AJ20" i="19"/>
  <c r="AL20" i="19" s="1"/>
  <c r="J28" i="15"/>
  <c r="AI51" i="18"/>
  <c r="AK51" i="18" s="1"/>
  <c r="F54" i="15"/>
  <c r="X49" i="15"/>
  <c r="AI29" i="18"/>
  <c r="AK29" i="18" s="1"/>
  <c r="AI33" i="18"/>
  <c r="AK33" i="18" s="1"/>
  <c r="AI36" i="18"/>
  <c r="AK36" i="18" s="1"/>
  <c r="AI31" i="18"/>
  <c r="X31" i="15"/>
  <c r="AH31" i="15" s="1"/>
  <c r="AJ31" i="15" s="1"/>
  <c r="AI43" i="18"/>
  <c r="F45" i="15"/>
  <c r="AI49" i="18"/>
  <c r="AK49" i="18" s="1"/>
  <c r="F52" i="15"/>
  <c r="X52" i="15" s="1"/>
  <c r="AH52" i="15" s="1"/>
  <c r="AJ52" i="15" s="1"/>
  <c r="J17" i="3"/>
  <c r="G22" i="11"/>
  <c r="J16" i="3"/>
  <c r="G21" i="11"/>
  <c r="G23" i="14"/>
  <c r="AJ36" i="20"/>
  <c r="AL36" i="20" s="1"/>
  <c r="AL31" i="20"/>
  <c r="AJ29" i="20"/>
  <c r="AL29" i="20" s="1"/>
  <c r="AL20" i="20"/>
  <c r="AG56" i="21"/>
  <c r="AL52" i="21"/>
  <c r="G20" i="10"/>
  <c r="K20" i="10" s="1"/>
  <c r="X56" i="21"/>
  <c r="AI25" i="18"/>
  <c r="AK25" i="18" s="1"/>
  <c r="AH27" i="16"/>
  <c r="AJ27" i="16" s="1"/>
  <c r="C60" i="16"/>
  <c r="AI24" i="18"/>
  <c r="AK24" i="18" s="1"/>
  <c r="L85" i="20"/>
  <c r="AE49" i="16"/>
  <c r="AE42" i="16"/>
  <c r="V85" i="20"/>
  <c r="AG46" i="25"/>
  <c r="X55" i="18"/>
  <c r="X97" i="18" s="1"/>
  <c r="AI46" i="18"/>
  <c r="G23" i="9"/>
  <c r="G22" i="9"/>
  <c r="T85" i="20"/>
  <c r="AG24" i="22"/>
  <c r="AI24" i="22" s="1"/>
  <c r="G22" i="12"/>
  <c r="N17" i="2"/>
  <c r="AG20" i="22"/>
  <c r="AI20" i="22" s="1"/>
  <c r="G21" i="12"/>
  <c r="N15" i="2"/>
  <c r="AG85" i="20"/>
  <c r="AD36" i="19"/>
  <c r="J16" i="2" s="1"/>
  <c r="R85" i="20"/>
  <c r="AL31" i="23"/>
  <c r="AN31" i="23" s="1"/>
  <c r="R17" i="2"/>
  <c r="R16" i="2"/>
  <c r="AG64" i="24"/>
  <c r="AL28" i="23"/>
  <c r="AN28" i="23" s="1"/>
  <c r="AE105" i="16"/>
  <c r="AJ60" i="24"/>
  <c r="AL60" i="24" s="1"/>
  <c r="AD29" i="19"/>
  <c r="AB81" i="17"/>
  <c r="AB83" i="17"/>
  <c r="AB98" i="17"/>
  <c r="AB82" i="17"/>
  <c r="AA41" i="3"/>
  <c r="AA39" i="3"/>
  <c r="AA38" i="3"/>
  <c r="AA37" i="3"/>
  <c r="AA33" i="3"/>
  <c r="AA32" i="3"/>
  <c r="AA31" i="3"/>
  <c r="AA30" i="3"/>
  <c r="F56" i="15" l="1"/>
  <c r="AK46" i="18"/>
  <c r="AI53" i="18"/>
  <c r="AK53" i="18" s="1"/>
  <c r="G23" i="7"/>
  <c r="AJ38" i="20"/>
  <c r="AL38" i="20" s="1"/>
  <c r="J15" i="2"/>
  <c r="AJ54" i="15"/>
  <c r="AD38" i="15"/>
  <c r="AH30" i="15"/>
  <c r="AJ30" i="15" s="1"/>
  <c r="AH42" i="15"/>
  <c r="AJ42" i="15" s="1"/>
  <c r="AH32" i="15"/>
  <c r="AJ32" i="15" s="1"/>
  <c r="AH44" i="15"/>
  <c r="AJ44" i="15" s="1"/>
  <c r="AH43" i="15"/>
  <c r="AJ43" i="15" s="1"/>
  <c r="AD46" i="15"/>
  <c r="G23" i="13"/>
  <c r="AI44" i="18"/>
  <c r="AJ36" i="19"/>
  <c r="AL36" i="19" s="1"/>
  <c r="J46" i="15"/>
  <c r="X41" i="15"/>
  <c r="AH41" i="15" s="1"/>
  <c r="AJ41" i="15" s="1"/>
  <c r="X33" i="15"/>
  <c r="AH33" i="15" s="1"/>
  <c r="AJ33" i="15" s="1"/>
  <c r="X34" i="15"/>
  <c r="AH34" i="15" s="1"/>
  <c r="AJ34" i="15" s="1"/>
  <c r="AJ29" i="19"/>
  <c r="AL29" i="19" s="1"/>
  <c r="J38" i="15"/>
  <c r="X28" i="15"/>
  <c r="AH28" i="15" s="1"/>
  <c r="AJ28" i="15" s="1"/>
  <c r="AI37" i="18"/>
  <c r="X54" i="15"/>
  <c r="AH54" i="15" s="1"/>
  <c r="AH49" i="15"/>
  <c r="AJ49" i="15" s="1"/>
  <c r="X45" i="15"/>
  <c r="F46" i="15"/>
  <c r="G21" i="9"/>
  <c r="AH37" i="15"/>
  <c r="AJ37" i="15" s="1"/>
  <c r="G22" i="10"/>
  <c r="K22" i="10" s="1"/>
  <c r="G20" i="9"/>
  <c r="AG26" i="22"/>
  <c r="AI26" i="22" s="1"/>
  <c r="G21" i="10"/>
  <c r="K21" i="10" s="1"/>
  <c r="X56" i="15" l="1"/>
  <c r="AH56" i="15" s="1"/>
  <c r="AJ56" i="15" s="1"/>
  <c r="K23" i="13"/>
  <c r="AH45" i="15"/>
  <c r="AJ45" i="15" s="1"/>
  <c r="X46" i="15"/>
  <c r="AH46" i="15" s="1"/>
  <c r="AJ46" i="15" s="1"/>
  <c r="F38" i="15"/>
  <c r="F58" i="15" s="1"/>
  <c r="G20" i="7"/>
  <c r="AJ113" i="20"/>
  <c r="AL113" i="20" s="1"/>
  <c r="J50" i="3"/>
  <c r="N29" i="5" l="1"/>
  <c r="AA29" i="3"/>
  <c r="AA27" i="3"/>
  <c r="AA26" i="3"/>
  <c r="AA25" i="3"/>
  <c r="AA20" i="3"/>
  <c r="AH104" i="17"/>
  <c r="AJ104" i="17" s="1"/>
  <c r="AH98" i="17"/>
  <c r="AJ98" i="17" s="1"/>
  <c r="AH83" i="17"/>
  <c r="AJ83"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0" i="20"/>
  <c r="AL80" i="20" s="1"/>
  <c r="AJ79" i="20"/>
  <c r="AL79" i="20" s="1"/>
  <c r="AL78" i="20"/>
  <c r="AJ77" i="20"/>
  <c r="AL77" i="20" s="1"/>
  <c r="AJ75" i="20"/>
  <c r="AL75" i="20" s="1"/>
  <c r="AJ74" i="20"/>
  <c r="AL74" i="20" s="1"/>
  <c r="AJ73" i="20"/>
  <c r="AL73" i="20" s="1"/>
  <c r="AJ72" i="20"/>
  <c r="AL72" i="20" s="1"/>
  <c r="AJ70" i="20"/>
  <c r="AL70" i="20" s="1"/>
  <c r="AJ67" i="20"/>
  <c r="AL67" i="20" s="1"/>
  <c r="AJ66" i="20"/>
  <c r="AL66" i="20" s="1"/>
  <c r="AJ65" i="20"/>
  <c r="AL65" i="20" s="1"/>
  <c r="AJ64" i="20"/>
  <c r="AL64" i="20" s="1"/>
  <c r="AJ62" i="20"/>
  <c r="AJ60" i="20"/>
  <c r="AL60" i="20" s="1"/>
  <c r="AJ59" i="20"/>
  <c r="AL59" i="20" s="1"/>
  <c r="AJ58" i="20"/>
  <c r="AL58" i="20" s="1"/>
  <c r="AJ57" i="20"/>
  <c r="AL57"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5" i="19"/>
  <c r="AJ84" i="21" l="1"/>
  <c r="AL84" i="21" s="1"/>
  <c r="AL56" i="21"/>
  <c r="AJ19" i="21"/>
  <c r="AL19" i="21" s="1"/>
  <c r="AJ69" i="20"/>
  <c r="AL69" i="20" s="1"/>
  <c r="AB98" i="16"/>
  <c r="AB82" i="16"/>
  <c r="AB81" i="16"/>
  <c r="AB83" i="16"/>
  <c r="AB104" i="16"/>
  <c r="J119" i="19" l="1"/>
  <c r="AH104" i="16"/>
  <c r="AJ104" i="16" s="1"/>
  <c r="AH98" i="16"/>
  <c r="AJ98" i="16" s="1"/>
  <c r="AH83" i="16"/>
  <c r="AJ83" i="16" s="1"/>
  <c r="AH82" i="16"/>
  <c r="AJ82" i="16" s="1"/>
  <c r="AH81" i="16"/>
  <c r="AJ81" i="16" s="1"/>
  <c r="AJ52" i="21"/>
  <c r="J19" i="3"/>
  <c r="AJ81" i="20"/>
  <c r="G26" i="11" l="1"/>
  <c r="G23" i="10"/>
  <c r="K23" i="10" s="1"/>
  <c r="AL81"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AE39" i="26"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H36" i="5"/>
  <c r="AG39" i="27"/>
  <c r="AI39" i="27" s="1"/>
  <c r="H35" i="5"/>
  <c r="AG27" i="27"/>
  <c r="AI27" i="27" s="1"/>
  <c r="H27" i="5"/>
  <c r="AG26" i="27"/>
  <c r="AI26" i="27" s="1"/>
  <c r="H26" i="5"/>
  <c r="L26" i="5" s="1"/>
  <c r="S26" i="5" s="1"/>
  <c r="U26" i="5" s="1"/>
  <c r="AG25" i="27"/>
  <c r="AI25" i="27" s="1"/>
  <c r="H25" i="5"/>
  <c r="H18" i="5"/>
  <c r="AH44" i="26"/>
  <c r="AJ44" i="26" s="1"/>
  <c r="AG33" i="28"/>
  <c r="AI33" i="28" s="1"/>
  <c r="AD34" i="27"/>
  <c r="AD48" i="27" s="1"/>
  <c r="AA33" i="28"/>
  <c r="AG17" i="27"/>
  <c r="AI17" i="27" s="1"/>
  <c r="AG25" i="28"/>
  <c r="AI25" i="28" s="1"/>
  <c r="AE53" i="26" l="1"/>
  <c r="L36" i="5"/>
  <c r="S36" i="5" s="1"/>
  <c r="U36" i="5" s="1"/>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8" i="22"/>
  <c r="AI38" i="22" s="1"/>
  <c r="AG48" i="27"/>
  <c r="AI48" i="27" s="1"/>
  <c r="S32" i="5" l="1"/>
  <c r="AG45" i="22"/>
  <c r="AI45" i="22" s="1"/>
  <c r="U21" i="5"/>
  <c r="U32" i="5" l="1"/>
  <c r="S42" i="5"/>
  <c r="U42" i="5" s="1"/>
  <c r="Q26" i="14"/>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41" i="17"/>
  <c r="E141" i="17"/>
  <c r="AB129" i="17"/>
  <c r="AH129" i="17" s="1"/>
  <c r="AJ129" i="17" s="1"/>
  <c r="K111" i="30" l="1"/>
  <c r="K25" i="13"/>
  <c r="E145" i="17"/>
  <c r="H46" i="3"/>
  <c r="H55" i="3" s="1"/>
  <c r="AA35" i="3"/>
  <c r="AA43" i="3" s="1"/>
  <c r="G145" i="17"/>
  <c r="AJ44" i="19" l="1"/>
  <c r="AL44" i="19" s="1"/>
  <c r="AD45" i="19"/>
  <c r="AJ45" i="19" s="1"/>
  <c r="AL45" i="19" s="1"/>
  <c r="AD47" i="19"/>
  <c r="AJ47" i="19" s="1"/>
  <c r="AL47" i="19" s="1"/>
  <c r="AD51" i="19"/>
  <c r="AJ51" i="19" s="1"/>
  <c r="AL51" i="19" s="1"/>
  <c r="AJ52" i="19"/>
  <c r="AL52" i="19" s="1"/>
  <c r="AD54" i="19"/>
  <c r="AJ54" i="19" s="1"/>
  <c r="AL54" i="19" s="1"/>
  <c r="AD58" i="19"/>
  <c r="AJ58" i="19" s="1"/>
  <c r="AL58" i="19" s="1"/>
  <c r="AD63" i="19"/>
  <c r="AJ63" i="19" s="1"/>
  <c r="AL63" i="19" s="1"/>
  <c r="AD65" i="19"/>
  <c r="AJ65" i="19" s="1"/>
  <c r="AL65" i="19" s="1"/>
  <c r="AD66" i="19"/>
  <c r="AJ66" i="19" s="1"/>
  <c r="AL66" i="19" s="1"/>
  <c r="AD67" i="19"/>
  <c r="AJ67" i="19" s="1"/>
  <c r="AL67" i="19" s="1"/>
  <c r="AD70" i="19"/>
  <c r="AJ70" i="19" s="1"/>
  <c r="AL70" i="19" s="1"/>
  <c r="AD73" i="19"/>
  <c r="AJ73" i="19" s="1"/>
  <c r="AL73" i="19" s="1"/>
  <c r="AD74" i="19"/>
  <c r="AJ74" i="19" s="1"/>
  <c r="AL74" i="19" s="1"/>
  <c r="AD75" i="19"/>
  <c r="AJ75" i="19" s="1"/>
  <c r="AL75" i="19" s="1"/>
  <c r="AD77" i="19"/>
  <c r="AJ77" i="19" s="1"/>
  <c r="AL77" i="19" s="1"/>
  <c r="AD80" i="19"/>
  <c r="AJ80" i="19" s="1"/>
  <c r="AL80" i="19" s="1"/>
  <c r="AD79" i="19"/>
  <c r="AJ79" i="19" s="1"/>
  <c r="AL79" i="19" s="1"/>
  <c r="AD59" i="19"/>
  <c r="AJ59" i="19" s="1"/>
  <c r="AL59" i="19" s="1"/>
  <c r="AD50" i="19"/>
  <c r="AJ50" i="19" s="1"/>
  <c r="AL50" i="19" s="1"/>
  <c r="AD62" i="19"/>
  <c r="AJ62" i="19" s="1"/>
  <c r="AD57" i="19"/>
  <c r="AJ57" i="19" s="1"/>
  <c r="AL57" i="19" s="1"/>
  <c r="AI91" i="18"/>
  <c r="AK91" i="18" s="1"/>
  <c r="AI80" i="18"/>
  <c r="AK80" i="18" s="1"/>
  <c r="AI75" i="18"/>
  <c r="AK75" i="18" s="1"/>
  <c r="AI63" i="18"/>
  <c r="AK63" i="18" s="1"/>
  <c r="AI62" i="18"/>
  <c r="AK62" i="18" s="1"/>
  <c r="AB86" i="17" l="1"/>
  <c r="AH86" i="17" s="1"/>
  <c r="AI65" i="18"/>
  <c r="AK65" i="18" s="1"/>
  <c r="AK64" i="18"/>
  <c r="AI79" i="18"/>
  <c r="AK79" i="18" s="1"/>
  <c r="AI83" i="18"/>
  <c r="AK83" i="18" s="1"/>
  <c r="AB86" i="16"/>
  <c r="AI92" i="18"/>
  <c r="AK92" i="18" s="1"/>
  <c r="AD78" i="19"/>
  <c r="AJ78" i="19" s="1"/>
  <c r="AL78" i="19" s="1"/>
  <c r="AD76" i="19"/>
  <c r="AJ76" i="19" s="1"/>
  <c r="AL76" i="19" s="1"/>
  <c r="AD72" i="19"/>
  <c r="AJ72" i="19" s="1"/>
  <c r="AL72" i="19" s="1"/>
  <c r="AD69" i="19"/>
  <c r="AJ69" i="19" s="1"/>
  <c r="AL69" i="19" s="1"/>
  <c r="AD64" i="19"/>
  <c r="AJ64" i="19" s="1"/>
  <c r="AL64" i="19" s="1"/>
  <c r="AJ60" i="19"/>
  <c r="AL60" i="19" s="1"/>
  <c r="AJ55" i="19"/>
  <c r="AL55" i="19" s="1"/>
  <c r="AD53" i="19"/>
  <c r="AJ53" i="19" s="1"/>
  <c r="AL53" i="19" s="1"/>
  <c r="AD46" i="19"/>
  <c r="AJ46" i="19" s="1"/>
  <c r="AL46" i="19" s="1"/>
  <c r="AD42" i="19"/>
  <c r="AI90" i="18"/>
  <c r="AK90" i="18" s="1"/>
  <c r="AI86" i="18"/>
  <c r="AK86" i="18" s="1"/>
  <c r="AI85" i="18"/>
  <c r="AK85" i="18" s="1"/>
  <c r="AI81" i="18"/>
  <c r="AK81" i="18" s="1"/>
  <c r="AI78" i="18"/>
  <c r="AK78" i="18" s="1"/>
  <c r="AI77" i="18"/>
  <c r="AK77" i="18" s="1"/>
  <c r="AI74" i="18"/>
  <c r="AK74" i="18" s="1"/>
  <c r="AI73" i="18"/>
  <c r="AK73" i="18" s="1"/>
  <c r="AI72" i="18"/>
  <c r="AK72" i="18" s="1"/>
  <c r="AI71" i="18"/>
  <c r="AK71" i="18" s="1"/>
  <c r="AI70" i="18"/>
  <c r="AK70" i="18" s="1"/>
  <c r="AI69" i="18"/>
  <c r="AK69" i="18" s="1"/>
  <c r="AI67" i="18"/>
  <c r="AK67" i="18" s="1"/>
  <c r="AI60" i="18"/>
  <c r="AK60" i="18" s="1"/>
  <c r="AI59" i="18"/>
  <c r="AK59" i="18" s="1"/>
  <c r="AD81" i="19" l="1"/>
  <c r="AH86" i="16"/>
  <c r="AJ86" i="16" s="1"/>
  <c r="C105" i="17"/>
  <c r="C109" i="17" s="1"/>
  <c r="C135" i="17" s="1"/>
  <c r="C145" i="17" s="1"/>
  <c r="C105" i="16"/>
  <c r="AJ42" i="19"/>
  <c r="AL42" i="19" s="1"/>
  <c r="AI93" i="18"/>
  <c r="AK93" i="18" s="1"/>
  <c r="G24" i="9"/>
  <c r="AJ81" i="19" l="1"/>
  <c r="F18" i="2"/>
  <c r="F19" i="3" l="1"/>
  <c r="K50" i="30" l="1"/>
  <c r="L50" i="3"/>
  <c r="L49" i="3"/>
  <c r="L41" i="3"/>
  <c r="R41" i="3" s="1"/>
  <c r="L38" i="3"/>
  <c r="L19" i="3"/>
  <c r="L18" i="3"/>
  <c r="L16" i="3"/>
  <c r="L43" i="3" l="1"/>
  <c r="L51" i="3"/>
  <c r="G25" i="10" l="1"/>
  <c r="L20" i="3"/>
  <c r="AG99" i="20"/>
  <c r="AG106" i="20" l="1"/>
  <c r="F15" i="6"/>
  <c r="AI125" i="18" l="1"/>
  <c r="AK125" i="18" s="1"/>
  <c r="AI126" i="18"/>
  <c r="AK126" i="18" s="1"/>
  <c r="G29" i="9"/>
  <c r="AI127" i="18"/>
  <c r="AK127" i="18" s="1"/>
  <c r="X29"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7" i="26"/>
  <c r="W47" i="26"/>
  <c r="U47" i="26"/>
  <c r="S47" i="26"/>
  <c r="Q47" i="26"/>
  <c r="K47" i="26"/>
  <c r="I47" i="26"/>
  <c r="G47" i="26"/>
  <c r="Y34" i="26"/>
  <c r="U34" i="26"/>
  <c r="S34" i="26"/>
  <c r="O34" i="26"/>
  <c r="O39" i="26" s="1"/>
  <c r="O53" i="26" s="1"/>
  <c r="K34"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G25" i="12"/>
  <c r="G29" i="12"/>
  <c r="D67" i="22"/>
  <c r="AG86" i="21"/>
  <c r="AG70" i="21"/>
  <c r="Z86" i="21"/>
  <c r="X86" i="21"/>
  <c r="V86" i="21"/>
  <c r="T86" i="21"/>
  <c r="H86" i="21"/>
  <c r="F86" i="21"/>
  <c r="D86" i="21"/>
  <c r="G29" i="11"/>
  <c r="Z115" i="20"/>
  <c r="V115" i="20"/>
  <c r="T115" i="20"/>
  <c r="R115" i="20"/>
  <c r="N115" i="20"/>
  <c r="N119" i="20" s="1"/>
  <c r="L115" i="20"/>
  <c r="J115" i="20"/>
  <c r="H115" i="20"/>
  <c r="F115" i="20"/>
  <c r="X99" i="20"/>
  <c r="X106" i="20" s="1"/>
  <c r="V99" i="20"/>
  <c r="V106" i="20" s="1"/>
  <c r="T106" i="20"/>
  <c r="T109" i="20" s="1"/>
  <c r="R99" i="20"/>
  <c r="R106" i="20" s="1"/>
  <c r="L99" i="20"/>
  <c r="L106" i="20" s="1"/>
  <c r="D115" i="20"/>
  <c r="Z115" i="19"/>
  <c r="V115" i="19"/>
  <c r="V119" i="19" s="1"/>
  <c r="T115" i="19"/>
  <c r="N115" i="19"/>
  <c r="H115" i="19"/>
  <c r="F115" i="19"/>
  <c r="AF134" i="18"/>
  <c r="AF111" i="18"/>
  <c r="AF117" i="18" s="1"/>
  <c r="E29" i="8" l="1"/>
  <c r="V31" i="11"/>
  <c r="K31" i="11"/>
  <c r="E31" i="10"/>
  <c r="E31" i="7" s="1"/>
  <c r="E34" i="11"/>
  <c r="E29" i="10"/>
  <c r="E21" i="8"/>
  <c r="K21" i="9"/>
  <c r="E32" i="7"/>
  <c r="E32" i="8"/>
  <c r="E24" i="10"/>
  <c r="K24" i="11"/>
  <c r="E30" i="8"/>
  <c r="E23" i="13"/>
  <c r="O23" i="13" s="1"/>
  <c r="K23" i="14"/>
  <c r="E25" i="13"/>
  <c r="O25" i="13" s="1"/>
  <c r="K25" i="14"/>
  <c r="E40" i="7"/>
  <c r="K40" i="7" s="1"/>
  <c r="E21" i="13"/>
  <c r="V33" i="11"/>
  <c r="K22" i="12"/>
  <c r="U26" i="14"/>
  <c r="E20" i="13"/>
  <c r="E27" i="14"/>
  <c r="E21" i="10"/>
  <c r="O21" i="10" s="1"/>
  <c r="K21" i="11"/>
  <c r="E24" i="13"/>
  <c r="K24" i="14"/>
  <c r="K29" i="9"/>
  <c r="E31" i="13"/>
  <c r="K31" i="14"/>
  <c r="U21" i="14"/>
  <c r="K23" i="11"/>
  <c r="E23" i="10"/>
  <c r="O23" i="10" s="1"/>
  <c r="E25" i="8"/>
  <c r="E24" i="8"/>
  <c r="K24" i="9"/>
  <c r="K22" i="14"/>
  <c r="E22" i="13"/>
  <c r="O22" i="13" s="1"/>
  <c r="U25" i="14"/>
  <c r="K30" i="11"/>
  <c r="E30" i="10"/>
  <c r="E30" i="7" s="1"/>
  <c r="V24" i="11"/>
  <c r="V20" i="11"/>
  <c r="P26" i="11"/>
  <c r="O33" i="14"/>
  <c r="V21" i="11"/>
  <c r="V23" i="11"/>
  <c r="E25" i="10"/>
  <c r="K25" i="11"/>
  <c r="U23" i="14"/>
  <c r="K21" i="12"/>
  <c r="K26" i="14"/>
  <c r="E26" i="13"/>
  <c r="K41" i="9"/>
  <c r="U32" i="14"/>
  <c r="K39" i="9"/>
  <c r="K32" i="11"/>
  <c r="E32" i="10"/>
  <c r="E33" i="8"/>
  <c r="K33" i="8" s="1"/>
  <c r="E30" i="13"/>
  <c r="E33" i="14"/>
  <c r="E23" i="8"/>
  <c r="K23" i="9"/>
  <c r="O27" i="14"/>
  <c r="U20" i="14"/>
  <c r="V32" i="11"/>
  <c r="K40" i="9"/>
  <c r="K28" i="9"/>
  <c r="P34" i="11"/>
  <c r="K33" i="11"/>
  <c r="E33" i="10"/>
  <c r="E31" i="8"/>
  <c r="U24" i="14"/>
  <c r="V22" i="11"/>
  <c r="E26" i="12"/>
  <c r="K20" i="12"/>
  <c r="V30" i="11"/>
  <c r="E20" i="8"/>
  <c r="K20" i="9"/>
  <c r="E26" i="11"/>
  <c r="E20" i="10"/>
  <c r="E20" i="7" s="1"/>
  <c r="K20" i="7" s="1"/>
  <c r="K20" i="11"/>
  <c r="U31" i="14"/>
  <c r="U22" i="14"/>
  <c r="E32" i="13"/>
  <c r="K32" i="14"/>
  <c r="E22" i="8"/>
  <c r="K22" i="9"/>
  <c r="E22" i="10"/>
  <c r="O22" i="10" s="1"/>
  <c r="K22" i="11"/>
  <c r="E32" i="12"/>
  <c r="K29" i="11"/>
  <c r="K29" i="12"/>
  <c r="K25" i="12"/>
  <c r="K31" i="12"/>
  <c r="J43" i="3"/>
  <c r="Q67" i="25"/>
  <c r="Q79" i="23"/>
  <c r="Q86"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99" i="20"/>
  <c r="AG77" i="21"/>
  <c r="T28" i="28"/>
  <c r="T37" i="28" s="1"/>
  <c r="G31" i="10"/>
  <c r="K31" i="10" s="1"/>
  <c r="G32" i="10"/>
  <c r="F48" i="27"/>
  <c r="H37" i="28"/>
  <c r="G24" i="10"/>
  <c r="K24" i="10" s="1"/>
  <c r="H119" i="19"/>
  <c r="E100" i="24"/>
  <c r="E80" i="25"/>
  <c r="W39" i="26"/>
  <c r="W53" i="26" s="1"/>
  <c r="T28" i="29"/>
  <c r="T37" i="29" s="1"/>
  <c r="S39" i="26"/>
  <c r="S53" i="26" s="1"/>
  <c r="T119" i="20"/>
  <c r="X48" i="27"/>
  <c r="P28" i="28"/>
  <c r="P37" i="28" s="1"/>
  <c r="D48" i="27"/>
  <c r="N28" i="29"/>
  <c r="N37" i="29" s="1"/>
  <c r="B37" i="29"/>
  <c r="H37" i="29"/>
  <c r="P28" i="29"/>
  <c r="P37" i="29" s="1"/>
  <c r="X28" i="29"/>
  <c r="X37" i="29" s="1"/>
  <c r="R28" i="29"/>
  <c r="R37" i="29" s="1"/>
  <c r="F37" i="29"/>
  <c r="J28" i="28"/>
  <c r="J37" i="28" s="1"/>
  <c r="G30" i="10"/>
  <c r="K30" i="10" s="1"/>
  <c r="N119" i="19"/>
  <c r="D119" i="20"/>
  <c r="AG47" i="22"/>
  <c r="AI47" i="22" s="1"/>
  <c r="G24" i="12"/>
  <c r="K24" i="12" s="1"/>
  <c r="AG33" i="29"/>
  <c r="AI33" i="29" s="1"/>
  <c r="AG25" i="29"/>
  <c r="AI25" i="29" s="1"/>
  <c r="V109" i="20"/>
  <c r="V119" i="20" s="1"/>
  <c r="L109" i="20"/>
  <c r="L119" i="20" s="1"/>
  <c r="X109" i="20"/>
  <c r="X119" i="20" s="1"/>
  <c r="R109" i="20"/>
  <c r="R119" i="20" s="1"/>
  <c r="Z119" i="20"/>
  <c r="AJ76" i="25"/>
  <c r="AL76" i="25" s="1"/>
  <c r="AJ91" i="24"/>
  <c r="AL91" i="24" s="1"/>
  <c r="J119"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K39" i="26"/>
  <c r="K53" i="26" s="1"/>
  <c r="H48" i="27"/>
  <c r="B48" i="27"/>
  <c r="D37" i="29"/>
  <c r="G23" i="12"/>
  <c r="K23" i="12" s="1"/>
  <c r="AG55" i="22"/>
  <c r="AI55" i="22" s="1"/>
  <c r="G30" i="12"/>
  <c r="K30" i="12" s="1"/>
  <c r="Z119" i="19"/>
  <c r="T119" i="19"/>
  <c r="G53" i="26"/>
  <c r="AG65" i="22"/>
  <c r="AI65" i="22" s="1"/>
  <c r="AG64" i="22"/>
  <c r="AI64" i="22" s="1"/>
  <c r="F37" i="28"/>
  <c r="H119"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G80" i="25"/>
  <c r="AJ44" i="25"/>
  <c r="AL44" i="25" s="1"/>
  <c r="AG53" i="22"/>
  <c r="AI53" i="22" s="1"/>
  <c r="AG109" i="20"/>
  <c r="AG119" i="20" s="1"/>
  <c r="AJ99" i="20"/>
  <c r="F119" i="20"/>
  <c r="AL106" i="20"/>
  <c r="C43" i="31"/>
  <c r="AA33" i="29"/>
  <c r="AA25" i="29"/>
  <c r="N19" i="6"/>
  <c r="N34" i="2"/>
  <c r="C100" i="30"/>
  <c r="C90" i="30"/>
  <c r="E36" i="12" l="1"/>
  <c r="E39" i="12" s="1"/>
  <c r="O37" i="14"/>
  <c r="O40" i="14" s="1"/>
  <c r="E34" i="10"/>
  <c r="O24" i="10"/>
  <c r="O30" i="10"/>
  <c r="E34" i="8"/>
  <c r="E38" i="11"/>
  <c r="E41" i="11" s="1"/>
  <c r="U27" i="14"/>
  <c r="E24" i="7"/>
  <c r="E25" i="7"/>
  <c r="K26" i="11"/>
  <c r="K34" i="11"/>
  <c r="E29" i="7"/>
  <c r="E21" i="7"/>
  <c r="E26" i="10"/>
  <c r="E31" i="9"/>
  <c r="E43" i="9"/>
  <c r="E33" i="13"/>
  <c r="E26" i="8"/>
  <c r="O20" i="10"/>
  <c r="E37" i="14"/>
  <c r="E40" i="14" s="1"/>
  <c r="P38" i="11"/>
  <c r="P41" i="11" s="1"/>
  <c r="E33" i="7"/>
  <c r="E40" i="8"/>
  <c r="E41" i="7"/>
  <c r="K30" i="9"/>
  <c r="E41" i="8"/>
  <c r="K42" i="9"/>
  <c r="E42" i="7"/>
  <c r="E27" i="13"/>
  <c r="E23" i="7"/>
  <c r="K23" i="7" s="1"/>
  <c r="O31" i="10"/>
  <c r="E22" i="7"/>
  <c r="K32" i="10"/>
  <c r="O32" i="10" s="1"/>
  <c r="G33" i="7"/>
  <c r="O123" i="16"/>
  <c r="O132" i="16" s="1"/>
  <c r="AF78" i="23"/>
  <c r="AF79" i="23" s="1"/>
  <c r="U33" i="14"/>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AJ27" i="24"/>
  <c r="AL27" i="24" s="1"/>
  <c r="AJ22" i="24"/>
  <c r="AL22" i="24" s="1"/>
  <c r="AG49" i="22"/>
  <c r="AI49" i="22" s="1"/>
  <c r="J46" i="3"/>
  <c r="AJ60" i="25"/>
  <c r="AJ78" i="24"/>
  <c r="AL78" i="24" s="1"/>
  <c r="AJ95" i="24"/>
  <c r="AL95" i="24" s="1"/>
  <c r="AG57" i="22"/>
  <c r="AI57" i="22" s="1"/>
  <c r="AJ106" i="20"/>
  <c r="AG88" i="24"/>
  <c r="H24" i="6"/>
  <c r="AK37" i="18"/>
  <c r="G25" i="9"/>
  <c r="AI102" i="18"/>
  <c r="AK102" i="18" s="1"/>
  <c r="AI105" i="18"/>
  <c r="AK105" i="18" s="1"/>
  <c r="AI106" i="18"/>
  <c r="AK106" i="18" s="1"/>
  <c r="AI107" i="18"/>
  <c r="AK107" i="18" s="1"/>
  <c r="AI108" i="18"/>
  <c r="AK108" i="18" s="1"/>
  <c r="AI109" i="18"/>
  <c r="AK109" i="18" s="1"/>
  <c r="AI110" i="18"/>
  <c r="AK110" i="18" s="1"/>
  <c r="R111" i="18"/>
  <c r="R117" i="18" s="1"/>
  <c r="T111" i="18"/>
  <c r="AI113" i="18"/>
  <c r="AK113" i="18" s="1"/>
  <c r="G27" i="9"/>
  <c r="K27" i="9" s="1"/>
  <c r="AI131" i="18"/>
  <c r="AK131" i="18" s="1"/>
  <c r="F134" i="18"/>
  <c r="H134" i="18"/>
  <c r="J134" i="18"/>
  <c r="L134" i="18"/>
  <c r="R134" i="18"/>
  <c r="T134" i="18"/>
  <c r="X134" i="18"/>
  <c r="Z134" i="18"/>
  <c r="Z70" i="21"/>
  <c r="Z77" i="21" s="1"/>
  <c r="Z80" i="21" s="1"/>
  <c r="Z90" i="21" s="1"/>
  <c r="X70" i="21"/>
  <c r="X77" i="21" s="1"/>
  <c r="X80" i="21" s="1"/>
  <c r="V70" i="21"/>
  <c r="V77" i="21" s="1"/>
  <c r="V80" i="21" s="1"/>
  <c r="T70" i="21"/>
  <c r="T77" i="21" s="1"/>
  <c r="T80" i="21" s="1"/>
  <c r="T90" i="21" s="1"/>
  <c r="R70" i="21"/>
  <c r="R77" i="21" s="1"/>
  <c r="R80" i="21" s="1"/>
  <c r="R90" i="21" s="1"/>
  <c r="AG80" i="21"/>
  <c r="AG90" i="21" s="1"/>
  <c r="E38" i="10" l="1"/>
  <c r="E41" i="10" s="1"/>
  <c r="K24" i="7"/>
  <c r="E37" i="8"/>
  <c r="E37" i="13"/>
  <c r="U37" i="14"/>
  <c r="K38" i="11"/>
  <c r="E47" i="9"/>
  <c r="K33" i="7"/>
  <c r="E26" i="7"/>
  <c r="E42" i="8"/>
  <c r="E46" i="8" s="1"/>
  <c r="K25" i="9"/>
  <c r="K31" i="9" s="1"/>
  <c r="T117" i="18"/>
  <c r="K21" i="13"/>
  <c r="O21" i="13" s="1"/>
  <c r="G20" i="13"/>
  <c r="K27" i="14"/>
  <c r="G30" i="13"/>
  <c r="K33" i="14"/>
  <c r="K36" i="12"/>
  <c r="G36" i="12"/>
  <c r="G22" i="7"/>
  <c r="K22" i="7" s="1"/>
  <c r="G27" i="14"/>
  <c r="F50" i="2"/>
  <c r="AG100" i="24"/>
  <c r="D90" i="21"/>
  <c r="G31" i="9"/>
  <c r="G25" i="7"/>
  <c r="K25" i="7" s="1"/>
  <c r="Q33" i="14"/>
  <c r="Q37" i="14" s="1"/>
  <c r="AJ32" i="24"/>
  <c r="AL32" i="24" s="1"/>
  <c r="AI95" i="18"/>
  <c r="AK95" i="18" s="1"/>
  <c r="X90" i="21"/>
  <c r="N90" i="21"/>
  <c r="V90" i="21"/>
  <c r="J90" i="21"/>
  <c r="AI130" i="18"/>
  <c r="AK130" i="18" s="1"/>
  <c r="G38" i="9"/>
  <c r="K38" i="9" s="1"/>
  <c r="AI128" i="18"/>
  <c r="AK128" i="18" s="1"/>
  <c r="AI115" i="18"/>
  <c r="AK115" i="18" s="1"/>
  <c r="G36" i="9"/>
  <c r="K36" i="9" s="1"/>
  <c r="AI114" i="18"/>
  <c r="AK114" i="18" s="1"/>
  <c r="G35" i="9"/>
  <c r="K35" i="9" s="1"/>
  <c r="G33" i="14"/>
  <c r="AK44" i="18"/>
  <c r="H90" i="21"/>
  <c r="AJ85" i="24"/>
  <c r="AL85" i="24" s="1"/>
  <c r="AI124" i="18"/>
  <c r="AK124" i="18" s="1"/>
  <c r="F49" i="2"/>
  <c r="F90" i="21"/>
  <c r="AJ109" i="20"/>
  <c r="AL109" i="20" s="1"/>
  <c r="R120" i="18"/>
  <c r="AI101" i="18"/>
  <c r="AK101" i="18" s="1"/>
  <c r="F49" i="3" l="1"/>
  <c r="K37" i="14"/>
  <c r="K30" i="13"/>
  <c r="O30" i="13" s="1"/>
  <c r="G37" i="14"/>
  <c r="AI134" i="18"/>
  <c r="AK134" i="18" s="1"/>
  <c r="G31" i="7"/>
  <c r="K31" i="7" s="1"/>
  <c r="G30" i="7"/>
  <c r="K30" i="7" s="1"/>
  <c r="AJ64" i="24"/>
  <c r="AL64" i="24" s="1"/>
  <c r="AG60" i="22"/>
  <c r="AJ88" i="24"/>
  <c r="AL88" i="24" s="1"/>
  <c r="H33" i="6"/>
  <c r="H32" i="6"/>
  <c r="D33" i="6"/>
  <c r="D32" i="6"/>
  <c r="L32" i="6" l="1"/>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K33" i="10"/>
  <c r="O33" i="10" s="1"/>
  <c r="AL100" i="24"/>
  <c r="G37" i="13"/>
  <c r="G26" i="7"/>
  <c r="S34" i="6"/>
  <c r="L34" i="6"/>
  <c r="J34" i="6"/>
  <c r="G42" i="7" l="1"/>
  <c r="K42" i="7" s="1"/>
  <c r="R40" i="43"/>
  <c r="J40" i="43"/>
  <c r="J42" i="43" s="1"/>
  <c r="J44" i="43" s="1"/>
  <c r="L12" i="43" s="1"/>
  <c r="AE130" i="16" l="1"/>
  <c r="AJ74" i="21"/>
  <c r="AL74" i="21" s="1"/>
  <c r="AJ68" i="21"/>
  <c r="AL68" i="21" s="1"/>
  <c r="AJ95" i="20"/>
  <c r="AL95" i="20" s="1"/>
  <c r="R25" i="11"/>
  <c r="V25"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V26" i="11" l="1"/>
  <c r="AE120" i="16"/>
  <c r="AE118" i="16"/>
  <c r="AE115" i="16"/>
  <c r="AE114" i="16"/>
  <c r="AE113" i="16"/>
  <c r="R26" i="11"/>
  <c r="AE121" i="16"/>
  <c r="AE122" i="16"/>
  <c r="AE126" i="16"/>
  <c r="AE119" i="16"/>
  <c r="AE125" i="16"/>
  <c r="AE117" i="16"/>
  <c r="AE127" i="16"/>
  <c r="AJ85" i="20"/>
  <c r="J51" i="3"/>
  <c r="J55" i="3" s="1"/>
  <c r="AD86" i="21"/>
  <c r="AL86" i="21" s="1"/>
  <c r="AJ83" i="21"/>
  <c r="AJ112" i="20"/>
  <c r="AL112" i="20" s="1"/>
  <c r="AJ60" i="21"/>
  <c r="AL60" i="21" s="1"/>
  <c r="R29" i="11"/>
  <c r="V29" i="11" s="1"/>
  <c r="K59" i="30" l="1"/>
  <c r="V34" i="11"/>
  <c r="V38" i="11" s="1"/>
  <c r="I26" i="10"/>
  <c r="K25" i="10"/>
  <c r="O25" i="10" s="1"/>
  <c r="O26" i="10" s="1"/>
  <c r="AL70" i="21"/>
  <c r="AD119" i="20"/>
  <c r="AL115" i="20"/>
  <c r="AE123" i="16"/>
  <c r="AJ86" i="21"/>
  <c r="AJ115" i="20"/>
  <c r="AJ119" i="20" s="1"/>
  <c r="G38" i="11"/>
  <c r="AL77" i="21"/>
  <c r="AJ70" i="21"/>
  <c r="F24" i="32" l="1"/>
  <c r="K26" i="10"/>
  <c r="AL119" i="20"/>
  <c r="G29" i="10"/>
  <c r="R34" i="11"/>
  <c r="R38" i="11" s="1"/>
  <c r="AJ77" i="21"/>
  <c r="AL80" i="21"/>
  <c r="K29" i="10" l="1"/>
  <c r="O29" i="10" s="1"/>
  <c r="O34" i="10" s="1"/>
  <c r="O38" i="10" s="1"/>
  <c r="G34" i="10"/>
  <c r="G38" i="10" s="1"/>
  <c r="AD90" i="21"/>
  <c r="AJ80" i="21"/>
  <c r="AJ90" i="21" s="1"/>
  <c r="J15" i="6"/>
  <c r="AL90" i="21" l="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4" i="19"/>
  <c r="AJ104" i="19" s="1"/>
  <c r="AD97" i="19"/>
  <c r="AJ97" i="19" s="1"/>
  <c r="AL97" i="19" s="1"/>
  <c r="AD91" i="19"/>
  <c r="AJ91" i="19" s="1"/>
  <c r="AL91" i="19" s="1"/>
  <c r="AD89" i="19"/>
  <c r="AD98" i="19"/>
  <c r="AJ98" i="19" s="1"/>
  <c r="AL98" i="19" s="1"/>
  <c r="AD103" i="19"/>
  <c r="AJ103" i="19" s="1"/>
  <c r="AL103" i="19" s="1"/>
  <c r="AD90" i="19"/>
  <c r="AJ90" i="19" s="1"/>
  <c r="AL90" i="19" s="1"/>
  <c r="AD95" i="19"/>
  <c r="AJ95" i="19" s="1"/>
  <c r="AL95" i="19" s="1"/>
  <c r="AJ101" i="19"/>
  <c r="AL101" i="19" s="1"/>
  <c r="AD83" i="19"/>
  <c r="AJ102" i="19"/>
  <c r="AL102" i="19" s="1"/>
  <c r="AD96" i="19"/>
  <c r="AJ96" i="19" s="1"/>
  <c r="AL96" i="19" s="1"/>
  <c r="AJ113" i="19"/>
  <c r="AL113" i="19" s="1"/>
  <c r="AD93" i="19"/>
  <c r="AB34" i="2"/>
  <c r="AB20" i="2"/>
  <c r="V48" i="2"/>
  <c r="Z138" i="18"/>
  <c r="R138" i="18"/>
  <c r="L138" i="18"/>
  <c r="J138" i="18"/>
  <c r="H138" i="18"/>
  <c r="F138" i="18"/>
  <c r="AJ93" i="19" l="1"/>
  <c r="AL93" i="19" s="1"/>
  <c r="AD99" i="19"/>
  <c r="C109" i="16"/>
  <c r="AL94" i="23"/>
  <c r="AN94" i="23" s="1"/>
  <c r="AJ83" i="19"/>
  <c r="AL83" i="19" s="1"/>
  <c r="AL63" i="23"/>
  <c r="AN63" i="23" s="1"/>
  <c r="AL81" i="19"/>
  <c r="AJ112" i="19"/>
  <c r="AL112" i="19" s="1"/>
  <c r="AD115" i="19"/>
  <c r="AJ115" i="19" s="1"/>
  <c r="AL115" i="19" s="1"/>
  <c r="AJ89" i="19"/>
  <c r="AL89" i="19" s="1"/>
  <c r="AL84" i="23"/>
  <c r="AN84" i="23" s="1"/>
  <c r="AF86" i="23"/>
  <c r="AL71" i="23"/>
  <c r="AN71" i="23" s="1"/>
  <c r="AL96" i="23"/>
  <c r="AN96" i="23" s="1"/>
  <c r="P34" i="2"/>
  <c r="H34" i="2"/>
  <c r="H42" i="2" s="1"/>
  <c r="P42" i="2" l="1"/>
  <c r="AL79" i="23"/>
  <c r="AN79" i="23" s="1"/>
  <c r="AJ99" i="19"/>
  <c r="AD106" i="19"/>
  <c r="N37" i="5" l="1"/>
  <c r="AJ106" i="19"/>
  <c r="AL106" i="19" s="1"/>
  <c r="AL99" i="19"/>
  <c r="AG67" i="25"/>
  <c r="AG70" i="25" l="1"/>
  <c r="AL70" i="25" s="1"/>
  <c r="AL67" i="25"/>
  <c r="AJ67" i="25"/>
  <c r="AJ70" i="25" l="1"/>
  <c r="AG80" i="25"/>
  <c r="AL80" i="25" l="1"/>
  <c r="AJ80" i="25"/>
  <c r="V40" i="2" l="1"/>
  <c r="C102" i="30" l="1"/>
  <c r="C156" i="30" s="1"/>
  <c r="E43" i="7" l="1"/>
  <c r="E34" i="7"/>
  <c r="G102" i="42" l="1"/>
  <c r="G214" i="42"/>
  <c r="G260" i="42"/>
  <c r="G209" i="42"/>
  <c r="G204" i="42"/>
  <c r="E37" i="7"/>
  <c r="E47" i="7"/>
  <c r="G263" i="42" l="1"/>
  <c r="AD34" i="2"/>
  <c r="AD42" i="2" s="1"/>
  <c r="AE139" i="16"/>
  <c r="AE142" i="16" l="1"/>
  <c r="N26" i="6" l="1"/>
  <c r="N29" i="6" s="1"/>
  <c r="H25" i="6" l="1"/>
  <c r="H23" i="6" l="1"/>
  <c r="H26" i="6" s="1"/>
  <c r="D25" i="6" l="1"/>
  <c r="L25" i="6" s="1"/>
  <c r="S25" i="6" s="1"/>
  <c r="U25" i="6" s="1"/>
  <c r="D24" i="6"/>
  <c r="L24" i="6" s="1"/>
  <c r="D23" i="6"/>
  <c r="D18" i="6"/>
  <c r="D19" i="6" l="1"/>
  <c r="D26" i="6"/>
  <c r="D29" i="6" l="1"/>
  <c r="D39" i="6" s="1"/>
  <c r="W29" i="27"/>
  <c r="R48" i="2" l="1"/>
  <c r="R30" i="2"/>
  <c r="R37" i="2"/>
  <c r="R36" i="2"/>
  <c r="R28" i="2"/>
  <c r="R38" i="2"/>
  <c r="R50" i="2"/>
  <c r="R41" i="2"/>
  <c r="R33" i="2"/>
  <c r="R32" i="2"/>
  <c r="R31" i="2"/>
  <c r="R29" i="2"/>
  <c r="R26" i="2"/>
  <c r="R24" i="2"/>
  <c r="R19" i="2"/>
  <c r="X48" i="2" l="1"/>
  <c r="R49" i="2"/>
  <c r="R51" i="2" s="1"/>
  <c r="R25" i="2"/>
  <c r="R34" i="2" s="1"/>
  <c r="R42" i="2" s="1"/>
  <c r="AB138" i="16" l="1"/>
  <c r="AL86" i="23"/>
  <c r="AN86" i="23" l="1"/>
  <c r="AH138" i="16"/>
  <c r="AJ138" i="16" s="1"/>
  <c r="N50" i="2" l="1"/>
  <c r="N50" i="3" s="1"/>
  <c r="N49" i="2"/>
  <c r="N49" i="3" s="1"/>
  <c r="N40" i="2"/>
  <c r="N37" i="2"/>
  <c r="N38" i="3" s="1"/>
  <c r="N19" i="2"/>
  <c r="N20" i="3" s="1"/>
  <c r="N18" i="2"/>
  <c r="N19" i="3" s="1"/>
  <c r="T19" i="3" s="1"/>
  <c r="N18" i="3"/>
  <c r="N16" i="3"/>
  <c r="N15" i="3"/>
  <c r="N21" i="3" l="1"/>
  <c r="G24" i="8"/>
  <c r="K24" i="8" s="1"/>
  <c r="AD19" i="3"/>
  <c r="AF19" i="3" s="1"/>
  <c r="X40" i="2"/>
  <c r="AI40" i="2" s="1"/>
  <c r="N41" i="3"/>
  <c r="T41" i="3" s="1"/>
  <c r="T49" i="3"/>
  <c r="N51" i="3"/>
  <c r="N42" i="2"/>
  <c r="N51" i="2"/>
  <c r="N20" i="2"/>
  <c r="N43" i="3" l="1"/>
  <c r="N46" i="3" s="1"/>
  <c r="AG40" i="2"/>
  <c r="G40" i="8"/>
  <c r="K40" i="8" s="1"/>
  <c r="AD49" i="3"/>
  <c r="G32" i="8"/>
  <c r="K32" i="8" s="1"/>
  <c r="AD41" i="3"/>
  <c r="AF41" i="3" s="1"/>
  <c r="N45" i="2"/>
  <c r="N55" i="2" s="1"/>
  <c r="Y51" i="3" l="1"/>
  <c r="N55" i="3"/>
  <c r="AF49" i="3"/>
  <c r="J50" i="2" l="1"/>
  <c r="J49" i="2"/>
  <c r="X49" i="2" s="1"/>
  <c r="AB139" i="16" l="1"/>
  <c r="J51" i="2"/>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2" i="16"/>
  <c r="J25" i="6" l="1"/>
  <c r="S24" i="6"/>
  <c r="U24" i="6" s="1"/>
  <c r="J24" i="6"/>
  <c r="L23" i="6"/>
  <c r="S23" i="6" s="1"/>
  <c r="U23" i="6" s="1"/>
  <c r="J23" i="6"/>
  <c r="J19" i="6"/>
  <c r="L15" i="6"/>
  <c r="H15" i="6"/>
  <c r="L14" i="6"/>
  <c r="H14" i="6"/>
  <c r="P14" i="6" s="1"/>
  <c r="S26" i="6" l="1"/>
  <c r="U26" i="6" s="1"/>
  <c r="J26" i="6"/>
  <c r="J29" i="6" s="1"/>
  <c r="J39" i="6" s="1"/>
  <c r="L26" i="6"/>
  <c r="AG48" i="2" l="1"/>
  <c r="AB130" i="16"/>
  <c r="AB129" i="16"/>
  <c r="AA12" i="3"/>
  <c r="AI48" i="2" l="1"/>
  <c r="AG51" i="2"/>
  <c r="AI51" i="2" s="1"/>
  <c r="C123" i="16"/>
  <c r="C132" i="16" s="1"/>
  <c r="AH129" i="16"/>
  <c r="AJ129" i="16" s="1"/>
  <c r="AH130" i="16"/>
  <c r="AJ130" i="16" s="1"/>
  <c r="F14" i="2" l="1"/>
  <c r="F15" i="3" l="1"/>
  <c r="F20" i="2"/>
  <c r="F21" i="3" l="1"/>
  <c r="T15" i="3"/>
  <c r="C135" i="16"/>
  <c r="G20" i="8" l="1"/>
  <c r="K20" i="8" s="1"/>
  <c r="T21" i="3"/>
  <c r="G26" i="8" l="1"/>
  <c r="K26" i="8"/>
  <c r="L16" i="43" l="1"/>
  <c r="L44" i="43" s="1"/>
  <c r="N12" i="43" s="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5" i="18"/>
  <c r="AF97" i="18" s="1"/>
  <c r="AF120" i="18" s="1"/>
  <c r="AF138" i="18" s="1"/>
  <c r="AD16" i="15"/>
  <c r="AD21" i="15" s="1"/>
  <c r="AH21" i="15" s="1"/>
  <c r="AE30" i="17"/>
  <c r="AE60" i="17" s="1"/>
  <c r="AE109" i="17" s="1"/>
  <c r="K109" i="30" l="1"/>
  <c r="AH16" i="15"/>
  <c r="AJ16" i="15" s="1"/>
  <c r="AJ21" i="15"/>
  <c r="AD25" i="15"/>
  <c r="AE30" i="16"/>
  <c r="AE60" i="16" s="1"/>
  <c r="AI26" i="18"/>
  <c r="AD20" i="2"/>
  <c r="AD15" i="3"/>
  <c r="AA21" i="3"/>
  <c r="AA46" i="3" s="1"/>
  <c r="AA55" i="3" s="1"/>
  <c r="AE135" i="17"/>
  <c r="AD58" i="15" l="1"/>
  <c r="AE109" i="16"/>
  <c r="AF140" i="18"/>
  <c r="AF15" i="3"/>
  <c r="AD21" i="3"/>
  <c r="AI55" i="18"/>
  <c r="AK26" i="18"/>
  <c r="AE145" i="17"/>
  <c r="AD45" i="2"/>
  <c r="AD38" i="28" l="1"/>
  <c r="AE135" i="16"/>
  <c r="AD55" i="2"/>
  <c r="AI97" i="18"/>
  <c r="AK97" i="18" s="1"/>
  <c r="AK55" i="18"/>
  <c r="AF21" i="3"/>
  <c r="AE146" i="16" l="1"/>
  <c r="Z24" i="43" l="1"/>
  <c r="Z31" i="43"/>
  <c r="Z32" i="43"/>
  <c r="Z29" i="43"/>
  <c r="Z35" i="43"/>
  <c r="Z25" i="43"/>
  <c r="Z28" i="43"/>
  <c r="Z33" i="43"/>
  <c r="N42" i="43"/>
  <c r="N44" i="43" s="1"/>
  <c r="P12" i="43" s="1"/>
  <c r="AB38" i="15" l="1"/>
  <c r="F26" i="2" l="1"/>
  <c r="X26" i="2" s="1"/>
  <c r="X34" i="2" s="1"/>
  <c r="G34" i="9"/>
  <c r="AI103" i="18"/>
  <c r="AK103" i="18" s="1"/>
  <c r="G43" i="9" l="1"/>
  <c r="G47" i="9" s="1"/>
  <c r="K34" i="9"/>
  <c r="K43" i="9" s="1"/>
  <c r="K47" i="9" s="1"/>
  <c r="W123" i="16"/>
  <c r="W132" i="16" s="1"/>
  <c r="W135" i="16" s="1"/>
  <c r="AI34" i="2"/>
  <c r="X42" i="2"/>
  <c r="X111" i="18"/>
  <c r="X117" i="18" s="1"/>
  <c r="F34" i="2"/>
  <c r="F42" i="2" s="1"/>
  <c r="F45" i="2" s="1"/>
  <c r="F27" i="3"/>
  <c r="AI120" i="18"/>
  <c r="AK120" i="18" s="1"/>
  <c r="AI26" i="2"/>
  <c r="AG26" i="2"/>
  <c r="AG34" i="2" s="1"/>
  <c r="AG42" i="2" s="1"/>
  <c r="G29" i="7"/>
  <c r="K29" i="7" s="1"/>
  <c r="AI111" i="18"/>
  <c r="X120" i="18" l="1"/>
  <c r="X138" i="18" s="1"/>
  <c r="F55" i="2"/>
  <c r="AI42" i="2"/>
  <c r="W123" i="17"/>
  <c r="F35" i="3"/>
  <c r="T27" i="3"/>
  <c r="AK111" i="18"/>
  <c r="AI117" i="18"/>
  <c r="AK117" i="18" s="1"/>
  <c r="K34" i="7"/>
  <c r="K37" i="7" s="1"/>
  <c r="G34" i="7"/>
  <c r="W132" i="17" l="1"/>
  <c r="W135" i="17" s="1"/>
  <c r="W145" i="17" s="1"/>
  <c r="F43" i="3"/>
  <c r="F46" i="3" s="1"/>
  <c r="F55" i="3" s="1"/>
  <c r="V50" i="2"/>
  <c r="W140" i="16" s="1"/>
  <c r="AI138" i="18"/>
  <c r="AK138" i="18" s="1"/>
  <c r="AD27" i="3"/>
  <c r="T35" i="3"/>
  <c r="T43" i="3" s="1"/>
  <c r="G37" i="7"/>
  <c r="Q142" i="16" l="1"/>
  <c r="Q146" i="16" s="1"/>
  <c r="S142" i="16"/>
  <c r="V51" i="2"/>
  <c r="U142" i="16"/>
  <c r="G29" i="8"/>
  <c r="T46" i="3"/>
  <c r="T55" i="3" s="1"/>
  <c r="AF27" i="3"/>
  <c r="AD35" i="3"/>
  <c r="AD43" i="3" s="1"/>
  <c r="AF43" i="3" s="1"/>
  <c r="G34" i="8" l="1"/>
  <c r="K29" i="8"/>
  <c r="K34" i="8" s="1"/>
  <c r="K46" i="8" s="1"/>
  <c r="AD46" i="3"/>
  <c r="AF46" i="3" s="1"/>
  <c r="AF35" i="3"/>
  <c r="AD55" i="3" l="1"/>
  <c r="AF55" i="3" s="1"/>
  <c r="G46" i="8"/>
  <c r="G37" i="8"/>
  <c r="K37" i="8"/>
  <c r="D26" i="18" l="1"/>
  <c r="K93" i="30" l="1"/>
  <c r="E100" i="30"/>
  <c r="Y145" i="17"/>
  <c r="D55" i="18"/>
  <c r="D97" i="18" s="1"/>
  <c r="D120" i="18" s="1"/>
  <c r="D138" i="18" s="1"/>
  <c r="N21" i="5" l="1"/>
  <c r="N32" i="5" s="1"/>
  <c r="N42" i="5" s="1"/>
  <c r="E23" i="23" l="1"/>
  <c r="E33" i="23" l="1"/>
  <c r="E65" i="23" s="1"/>
  <c r="E89" i="23" s="1"/>
  <c r="E101" i="23" s="1"/>
  <c r="AB115" i="19" l="1"/>
  <c r="AB119" i="19" s="1"/>
  <c r="AB121" i="19" s="1"/>
  <c r="N26" i="18" l="1"/>
  <c r="N37" i="18" l="1"/>
  <c r="N55" i="18" l="1"/>
  <c r="N97" i="18" s="1"/>
  <c r="N111" i="18" l="1"/>
  <c r="N117" i="18" s="1"/>
  <c r="N120" i="18" l="1"/>
  <c r="N138" i="18" l="1"/>
  <c r="V20" i="15" l="1"/>
  <c r="V18" i="15"/>
  <c r="V16" i="15"/>
  <c r="V17" i="15"/>
  <c r="V19" i="15"/>
  <c r="T26" i="18"/>
  <c r="V21" i="15" l="1"/>
  <c r="T55" i="18"/>
  <c r="T97" i="18" s="1"/>
  <c r="T120" i="18" s="1"/>
  <c r="T138" i="18" s="1"/>
  <c r="S30" i="17"/>
  <c r="S60" i="17" s="1"/>
  <c r="S109" i="17" l="1"/>
  <c r="S135" i="17" s="1"/>
  <c r="S145" i="17" s="1"/>
  <c r="S30" i="16"/>
  <c r="S60" i="16" l="1"/>
  <c r="U61" i="23" l="1"/>
  <c r="U42" i="25"/>
  <c r="U46" i="25" s="1"/>
  <c r="U70" i="25" s="1"/>
  <c r="U80" i="25" s="1"/>
  <c r="S105" i="16" l="1"/>
  <c r="S109" i="16" s="1"/>
  <c r="S135" i="16" s="1"/>
  <c r="S146" i="16" s="1"/>
  <c r="U65" i="23"/>
  <c r="U89" i="23" s="1"/>
  <c r="U101" i="23" s="1"/>
  <c r="D38" i="3" l="1"/>
  <c r="R38" i="3" s="1"/>
  <c r="D34" i="3"/>
  <c r="R34" i="3" s="1"/>
  <c r="AB44" i="17"/>
  <c r="AH44" i="17" s="1"/>
  <c r="V30" i="2"/>
  <c r="V16" i="2"/>
  <c r="V31" i="2"/>
  <c r="AB54" i="17"/>
  <c r="AH54" i="17" s="1"/>
  <c r="AJ54" i="17" s="1"/>
  <c r="AB41" i="17"/>
  <c r="AH41" i="17" s="1"/>
  <c r="AJ41" i="17" s="1"/>
  <c r="AB138" i="17"/>
  <c r="AH138" i="17" s="1"/>
  <c r="AB103" i="17"/>
  <c r="AH103" i="17" s="1"/>
  <c r="AJ103" i="17" s="1"/>
  <c r="AB64" i="16"/>
  <c r="AB56" i="17"/>
  <c r="AH56" i="17" s="1"/>
  <c r="D33" i="3"/>
  <c r="R33" i="3" s="1"/>
  <c r="AB97" i="16"/>
  <c r="AH97" i="16" s="1"/>
  <c r="AJ97" i="16" s="1"/>
  <c r="AB114" i="16"/>
  <c r="AH114" i="16" s="1"/>
  <c r="AJ114" i="16" s="1"/>
  <c r="AB68" i="16"/>
  <c r="AH68" i="16" s="1"/>
  <c r="AJ68" i="16" s="1"/>
  <c r="AB37" i="16"/>
  <c r="AH37" i="16" s="1"/>
  <c r="AJ37" i="16" s="1"/>
  <c r="AB64" i="17"/>
  <c r="AH64" i="17" s="1"/>
  <c r="AJ64" i="17" s="1"/>
  <c r="AB96" i="17"/>
  <c r="AH96" i="17" s="1"/>
  <c r="AJ96" i="17" s="1"/>
  <c r="AB90" i="17"/>
  <c r="AH90" i="17" s="1"/>
  <c r="AJ90" i="17" s="1"/>
  <c r="AH27" i="17"/>
  <c r="AJ27" i="17" s="1"/>
  <c r="AB41" i="16"/>
  <c r="AH41" i="16" s="1"/>
  <c r="AJ41" i="16" s="1"/>
  <c r="AB45" i="16"/>
  <c r="AH45" i="16" s="1"/>
  <c r="AJ45" i="16" s="1"/>
  <c r="AB126" i="17"/>
  <c r="AB115" i="16"/>
  <c r="AH115" i="16" s="1"/>
  <c r="AJ115" i="16" s="1"/>
  <c r="AB53" i="17"/>
  <c r="AH53" i="17" s="1"/>
  <c r="AJ53" i="17" s="1"/>
  <c r="AB100" i="17"/>
  <c r="AH100" i="17" s="1"/>
  <c r="AJ100" i="17" s="1"/>
  <c r="AB69" i="16"/>
  <c r="AH69" i="16" s="1"/>
  <c r="AJ69" i="16" s="1"/>
  <c r="AB125" i="16"/>
  <c r="AH125" i="16" s="1"/>
  <c r="AJ125" i="16" s="1"/>
  <c r="D37" i="3"/>
  <c r="AB34" i="16"/>
  <c r="AH34" i="16" s="1"/>
  <c r="AJ34" i="16" s="1"/>
  <c r="AB46" i="16"/>
  <c r="AH46" i="16" s="1"/>
  <c r="AJ46" i="16" s="1"/>
  <c r="AB69" i="17"/>
  <c r="AH69" i="17" s="1"/>
  <c r="AJ69" i="17" s="1"/>
  <c r="AB34" i="17"/>
  <c r="AH34" i="17" s="1"/>
  <c r="AJ34" i="17" s="1"/>
  <c r="AB101" i="16"/>
  <c r="AH101" i="16" s="1"/>
  <c r="AJ101" i="16" s="1"/>
  <c r="AB79" i="17"/>
  <c r="AH79" i="17" s="1"/>
  <c r="AJ79" i="17" s="1"/>
  <c r="V29" i="2"/>
  <c r="AB84" i="17"/>
  <c r="AH84" i="17" s="1"/>
  <c r="AJ84" i="17" s="1"/>
  <c r="AB47" i="16"/>
  <c r="AH47" i="16" s="1"/>
  <c r="AJ47" i="16" s="1"/>
  <c r="V25" i="2"/>
  <c r="AB89" i="16"/>
  <c r="AH89" i="16" s="1"/>
  <c r="AJ89" i="16" s="1"/>
  <c r="AB122" i="16"/>
  <c r="AH122" i="16" s="1"/>
  <c r="AJ122" i="16" s="1"/>
  <c r="AB90" i="16"/>
  <c r="AH90" i="16" s="1"/>
  <c r="AJ90" i="16" s="1"/>
  <c r="AB67" i="17"/>
  <c r="AH67" i="17" s="1"/>
  <c r="AJ67" i="17" s="1"/>
  <c r="AB55" i="17"/>
  <c r="AH55" i="17" s="1"/>
  <c r="AJ55" i="17" s="1"/>
  <c r="AB24" i="16"/>
  <c r="AH24" i="16" s="1"/>
  <c r="AJ24" i="16" s="1"/>
  <c r="AB23" i="17"/>
  <c r="AB94" i="16"/>
  <c r="AH94" i="16" s="1"/>
  <c r="AJ94" i="16" s="1"/>
  <c r="AB56" i="16"/>
  <c r="AH56" i="16" s="1"/>
  <c r="AJ56" i="16" s="1"/>
  <c r="AB113" i="16"/>
  <c r="AB75" i="17"/>
  <c r="AH75" i="17" s="1"/>
  <c r="AJ75" i="17" s="1"/>
  <c r="AB72" i="17"/>
  <c r="AH72" i="17" s="1"/>
  <c r="AJ72" i="17" s="1"/>
  <c r="AB74" i="17"/>
  <c r="AH74" i="17" s="1"/>
  <c r="AJ74" i="17" s="1"/>
  <c r="AB121" i="16"/>
  <c r="AH121" i="16" s="1"/>
  <c r="AJ121" i="16" s="1"/>
  <c r="AB100" i="16"/>
  <c r="AH100" i="16" s="1"/>
  <c r="AJ100" i="16" s="1"/>
  <c r="AH24" i="17"/>
  <c r="AJ24" i="17" s="1"/>
  <c r="AB99" i="17"/>
  <c r="AH99" i="17" s="1"/>
  <c r="AJ99" i="17" s="1"/>
  <c r="AB77" i="16"/>
  <c r="AH77" i="16" s="1"/>
  <c r="AJ77" i="16" s="1"/>
  <c r="AB101" i="17"/>
  <c r="AH101" i="17" s="1"/>
  <c r="AJ101" i="17" s="1"/>
  <c r="AB125" i="17"/>
  <c r="AH125" i="17" s="1"/>
  <c r="AJ125" i="17" s="1"/>
  <c r="AB84" i="16"/>
  <c r="AH84" i="16" s="1"/>
  <c r="AJ84" i="16" s="1"/>
  <c r="AB89" i="17"/>
  <c r="AH89" i="17" s="1"/>
  <c r="AJ89" i="17" s="1"/>
  <c r="AB29" i="16"/>
  <c r="AH29" i="16" s="1"/>
  <c r="AJ29" i="16" s="1"/>
  <c r="AB70" i="16"/>
  <c r="AH70" i="16" s="1"/>
  <c r="AJ70" i="16" s="1"/>
  <c r="AB139" i="17"/>
  <c r="AH139" i="17" s="1"/>
  <c r="AJ139" i="17" s="1"/>
  <c r="AB44" i="16"/>
  <c r="AB127" i="17"/>
  <c r="AH127" i="17" s="1"/>
  <c r="AJ127" i="17" s="1"/>
  <c r="AB91" i="17"/>
  <c r="AH91" i="17" s="1"/>
  <c r="AJ91" i="17" s="1"/>
  <c r="AB68" i="17"/>
  <c r="AH68" i="17" s="1"/>
  <c r="AJ68" i="17" s="1"/>
  <c r="AB118" i="16"/>
  <c r="AH118" i="16" s="1"/>
  <c r="AJ118" i="16" s="1"/>
  <c r="AB75" i="16"/>
  <c r="AH75" i="16" s="1"/>
  <c r="AJ75" i="16" s="1"/>
  <c r="AB76" i="17"/>
  <c r="AH76" i="17" s="1"/>
  <c r="AJ76" i="17" s="1"/>
  <c r="AB93" i="16"/>
  <c r="AH93" i="16" s="1"/>
  <c r="AJ93" i="16" s="1"/>
  <c r="AB52" i="16"/>
  <c r="AH52" i="16" s="1"/>
  <c r="AJ52" i="16" s="1"/>
  <c r="AH22" i="16"/>
  <c r="AJ22" i="16" s="1"/>
  <c r="AB117" i="16"/>
  <c r="AH117" i="16" s="1"/>
  <c r="AJ117" i="16" s="1"/>
  <c r="AB102" i="17"/>
  <c r="AH102" i="17" s="1"/>
  <c r="AJ102" i="17" s="1"/>
  <c r="AB36" i="16"/>
  <c r="AH36" i="16" s="1"/>
  <c r="AJ36" i="16" s="1"/>
  <c r="AB87" i="16"/>
  <c r="AH87" i="16" s="1"/>
  <c r="AJ87" i="16" s="1"/>
  <c r="AB67" i="16"/>
  <c r="AH67" i="16" s="1"/>
  <c r="AJ67" i="16" s="1"/>
  <c r="AH21" i="16"/>
  <c r="AJ21" i="16" s="1"/>
  <c r="AH22" i="17"/>
  <c r="AJ22" i="17" s="1"/>
  <c r="AH21" i="17"/>
  <c r="AJ21" i="17" s="1"/>
  <c r="AB45" i="17"/>
  <c r="AH45" i="17" s="1"/>
  <c r="AJ45" i="17" s="1"/>
  <c r="AB77" i="17"/>
  <c r="AH77" i="17" s="1"/>
  <c r="AJ77" i="17" s="1"/>
  <c r="AB37" i="17"/>
  <c r="AH37" i="17" s="1"/>
  <c r="AJ37" i="17" s="1"/>
  <c r="AB32" i="16"/>
  <c r="D50" i="3"/>
  <c r="R50" i="3" s="1"/>
  <c r="AB88" i="17"/>
  <c r="AH88" i="17" s="1"/>
  <c r="AJ88" i="17" s="1"/>
  <c r="AB48" i="17"/>
  <c r="AH48" i="17" s="1"/>
  <c r="AJ48" i="17" s="1"/>
  <c r="AB74" i="16"/>
  <c r="AH74" i="16" s="1"/>
  <c r="AJ74" i="16" s="1"/>
  <c r="AB114" i="17"/>
  <c r="AH114" i="17" s="1"/>
  <c r="AJ114" i="17" s="1"/>
  <c r="AB78" i="17"/>
  <c r="AH78" i="17" s="1"/>
  <c r="AJ78" i="17" s="1"/>
  <c r="AB120" i="17"/>
  <c r="AH120" i="17" s="1"/>
  <c r="AJ120" i="17" s="1"/>
  <c r="AB46" i="17"/>
  <c r="AH46" i="17" s="1"/>
  <c r="AJ46" i="17" s="1"/>
  <c r="AB52" i="17"/>
  <c r="AH52" i="17" s="1"/>
  <c r="AJ52" i="17" s="1"/>
  <c r="AB88" i="16"/>
  <c r="AH88" i="16" s="1"/>
  <c r="AJ88"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126" i="16"/>
  <c r="AH126" i="16" s="1"/>
  <c r="AJ126" i="16" s="1"/>
  <c r="AB36" i="17"/>
  <c r="AH36" i="17" s="1"/>
  <c r="AJ36" i="17" s="1"/>
  <c r="AB119" i="16"/>
  <c r="AH119" i="16" s="1"/>
  <c r="AJ119" i="16" s="1"/>
  <c r="AB118" i="17"/>
  <c r="AH118" i="17" s="1"/>
  <c r="AJ118" i="17" s="1"/>
  <c r="AB94" i="17"/>
  <c r="AH94" i="17" s="1"/>
  <c r="AJ94" i="17" s="1"/>
  <c r="AB78" i="16"/>
  <c r="AH78" i="16" s="1"/>
  <c r="AJ78" i="16" s="1"/>
  <c r="AB107" i="16"/>
  <c r="AB93" i="17"/>
  <c r="AH93" i="17" s="1"/>
  <c r="AJ93" i="17" s="1"/>
  <c r="AB91" i="16"/>
  <c r="AH91" i="16" s="1"/>
  <c r="AJ91" i="16" s="1"/>
  <c r="AB127" i="16"/>
  <c r="AH127" i="16" s="1"/>
  <c r="AJ127" i="16" s="1"/>
  <c r="AB47" i="17"/>
  <c r="AH47" i="17" s="1"/>
  <c r="AJ47" i="17" s="1"/>
  <c r="AB33" i="17"/>
  <c r="AH33" i="17" s="1"/>
  <c r="AJ33" i="17" s="1"/>
  <c r="AB120" i="16"/>
  <c r="AH120" i="16" s="1"/>
  <c r="AJ120" i="16" s="1"/>
  <c r="AH102" i="16"/>
  <c r="AJ102" i="16" s="1"/>
  <c r="AB119" i="17"/>
  <c r="AH119" i="17" s="1"/>
  <c r="AJ119" i="17" s="1"/>
  <c r="V26" i="18"/>
  <c r="AB79" i="16"/>
  <c r="AH79" i="16" s="1"/>
  <c r="AJ79" i="16" s="1"/>
  <c r="AB48" i="16"/>
  <c r="AH48" i="16" s="1"/>
  <c r="AJ48" i="16" s="1"/>
  <c r="AB70" i="17"/>
  <c r="AH70" i="17" s="1"/>
  <c r="AJ70" i="17" s="1"/>
  <c r="AB122" i="17"/>
  <c r="AH122" i="17" s="1"/>
  <c r="AJ122" i="17" s="1"/>
  <c r="AB115" i="17"/>
  <c r="AH115" i="17" s="1"/>
  <c r="AJ115" i="17" s="1"/>
  <c r="AB103" i="16"/>
  <c r="AH103" i="16" s="1"/>
  <c r="AJ103" i="16" s="1"/>
  <c r="AB76" i="16"/>
  <c r="AH76" i="16" s="1"/>
  <c r="AJ76" i="16" s="1"/>
  <c r="AB87" i="17"/>
  <c r="AH87" i="17" s="1"/>
  <c r="AJ87" i="17" s="1"/>
  <c r="AB97" i="17"/>
  <c r="AH97" i="17" s="1"/>
  <c r="AJ97" i="17" s="1"/>
  <c r="AB51" i="17"/>
  <c r="AB58" i="17" l="1"/>
  <c r="AH126" i="17"/>
  <c r="AH23" i="17"/>
  <c r="AJ23" i="17" s="1"/>
  <c r="AB26" i="17"/>
  <c r="V55" i="18"/>
  <c r="V97" i="18" s="1"/>
  <c r="V120" i="18" s="1"/>
  <c r="V138" i="18" s="1"/>
  <c r="D30" i="3"/>
  <c r="R30" i="3" s="1"/>
  <c r="V33" i="2"/>
  <c r="D26" i="3"/>
  <c r="R26" i="3" s="1"/>
  <c r="D17" i="3"/>
  <c r="R17" i="3" s="1"/>
  <c r="U105" i="17"/>
  <c r="U30" i="16"/>
  <c r="D32" i="3"/>
  <c r="R32" i="3" s="1"/>
  <c r="D31" i="3"/>
  <c r="R31" i="3" s="1"/>
  <c r="U141" i="17"/>
  <c r="V36" i="2"/>
  <c r="V37" i="2"/>
  <c r="AH51" i="17"/>
  <c r="AH58" i="17" s="1"/>
  <c r="D18" i="3"/>
  <c r="R18" i="3" s="1"/>
  <c r="V17" i="2"/>
  <c r="AB105" i="17"/>
  <c r="AH65" i="17"/>
  <c r="D51" i="2"/>
  <c r="U42" i="17"/>
  <c r="AH44" i="16"/>
  <c r="AB49" i="16"/>
  <c r="AH123" i="17"/>
  <c r="U30" i="17"/>
  <c r="AH64" i="16"/>
  <c r="V28" i="2"/>
  <c r="D29" i="3"/>
  <c r="R29" i="3" s="1"/>
  <c r="AH107" i="16"/>
  <c r="AB123" i="17"/>
  <c r="AB132" i="17" s="1"/>
  <c r="AH107" i="17"/>
  <c r="AJ107" i="17" s="1"/>
  <c r="V24" i="2"/>
  <c r="U42" i="16"/>
  <c r="AB123" i="16"/>
  <c r="AB132" i="16" s="1"/>
  <c r="AH132" i="16" s="1"/>
  <c r="AJ132" i="16" s="1"/>
  <c r="AH113" i="16"/>
  <c r="V38" i="2"/>
  <c r="D39" i="3"/>
  <c r="R39" i="3" s="1"/>
  <c r="AH32" i="16"/>
  <c r="D25" i="3"/>
  <c r="D19" i="3"/>
  <c r="R19" i="3" s="1"/>
  <c r="AB51" i="16"/>
  <c r="AB58" i="16" s="1"/>
  <c r="AJ44" i="17"/>
  <c r="AH49" i="17"/>
  <c r="AJ49" i="17" s="1"/>
  <c r="AB49" i="17"/>
  <c r="U123" i="17"/>
  <c r="U132" i="17" s="1"/>
  <c r="D49" i="3"/>
  <c r="AB32" i="17"/>
  <c r="AH141" i="17"/>
  <c r="AJ141" i="17" s="1"/>
  <c r="AJ138" i="17"/>
  <c r="V19" i="2"/>
  <c r="D20" i="3"/>
  <c r="R20" i="3" s="1"/>
  <c r="R37" i="3"/>
  <c r="U49" i="16"/>
  <c r="V26" i="2"/>
  <c r="D27" i="3"/>
  <c r="R27" i="3" s="1"/>
  <c r="U105" i="16"/>
  <c r="D16" i="3"/>
  <c r="R16" i="3" s="1"/>
  <c r="AB141" i="17"/>
  <c r="V32" i="2"/>
  <c r="U49" i="17"/>
  <c r="AJ126" i="17" l="1"/>
  <c r="AH132" i="17"/>
  <c r="AJ132" i="17" s="1"/>
  <c r="M142" i="16"/>
  <c r="K142" i="16"/>
  <c r="K146" i="16" s="1"/>
  <c r="E142" i="16"/>
  <c r="E146" i="16" s="1"/>
  <c r="C142" i="16"/>
  <c r="C146" i="16" s="1"/>
  <c r="Y142" i="16"/>
  <c r="Y146" i="16" s="1"/>
  <c r="AH26" i="16"/>
  <c r="U60" i="16"/>
  <c r="U109" i="16" s="1"/>
  <c r="U135" i="16" s="1"/>
  <c r="U146" i="16" s="1"/>
  <c r="AH32" i="17"/>
  <c r="AB42" i="17"/>
  <c r="V34" i="2"/>
  <c r="V42" i="2" s="1"/>
  <c r="AJ64" i="16"/>
  <c r="D51" i="3"/>
  <c r="R49" i="3"/>
  <c r="R51" i="3" s="1"/>
  <c r="AJ32" i="16"/>
  <c r="AJ107" i="16"/>
  <c r="AJ44" i="16"/>
  <c r="AH49" i="16"/>
  <c r="AJ49" i="16" s="1"/>
  <c r="AJ65" i="17"/>
  <c r="AH105" i="17"/>
  <c r="AJ105" i="17" s="1"/>
  <c r="AJ51" i="17"/>
  <c r="AJ58" i="17"/>
  <c r="AH26" i="17"/>
  <c r="AJ113" i="16"/>
  <c r="AH123" i="16"/>
  <c r="AJ123" i="16" s="1"/>
  <c r="U60" i="17"/>
  <c r="D20" i="2"/>
  <c r="D15" i="3"/>
  <c r="AH51" i="16"/>
  <c r="AH58" i="16" s="1"/>
  <c r="D35" i="3"/>
  <c r="D43" i="3" s="1"/>
  <c r="R25" i="3"/>
  <c r="R35" i="3" s="1"/>
  <c r="R43" i="3" s="1"/>
  <c r="AJ123" i="17"/>
  <c r="O142" i="16" l="1"/>
  <c r="D45" i="2"/>
  <c r="D55" i="2" s="1"/>
  <c r="AB140" i="16"/>
  <c r="AH140" i="16" s="1"/>
  <c r="AJ140" i="16" s="1"/>
  <c r="I142" i="16"/>
  <c r="I146" i="16" s="1"/>
  <c r="G142" i="16"/>
  <c r="G146" i="16" s="1"/>
  <c r="W142" i="16"/>
  <c r="W146" i="16" s="1"/>
  <c r="AJ26" i="16"/>
  <c r="AJ51" i="16"/>
  <c r="AJ26" i="17"/>
  <c r="AH42" i="17"/>
  <c r="AJ42" i="17" s="1"/>
  <c r="AJ32" i="17"/>
  <c r="D21" i="3"/>
  <c r="D46" i="3" s="1"/>
  <c r="D55" i="3" s="1"/>
  <c r="U109" i="17"/>
  <c r="U135" i="17" s="1"/>
  <c r="U145" i="17" s="1"/>
  <c r="K107" i="30" l="1"/>
  <c r="AB142" i="16"/>
  <c r="AH139" i="16"/>
  <c r="AJ58" i="16"/>
  <c r="AJ139" i="16" l="1"/>
  <c r="AH142" i="16"/>
  <c r="AJ142" i="16" s="1"/>
  <c r="U23" i="26" l="1"/>
  <c r="U39" i="26" s="1"/>
  <c r="U53" i="26" s="1"/>
  <c r="B32" i="5"/>
  <c r="B42" i="5" s="1"/>
  <c r="AB28" i="16" l="1"/>
  <c r="AH28" i="16" s="1"/>
  <c r="AH30" i="16" s="1"/>
  <c r="O30" i="17"/>
  <c r="O60" i="17" s="1"/>
  <c r="N26" i="22"/>
  <c r="N49" i="22" s="1"/>
  <c r="N60" i="22" s="1"/>
  <c r="N72" i="22" s="1"/>
  <c r="O109" i="17" l="1"/>
  <c r="O135" i="17" s="1"/>
  <c r="O145" i="17" s="1"/>
  <c r="AB60" i="17"/>
  <c r="AJ30" i="16"/>
  <c r="O30" i="16"/>
  <c r="AB30" i="16" s="1"/>
  <c r="L20" i="2"/>
  <c r="L45" i="2" s="1"/>
  <c r="L55" i="2" s="1"/>
  <c r="L15" i="3"/>
  <c r="AB28" i="17"/>
  <c r="O60" i="16" l="1"/>
  <c r="AB109" i="17"/>
  <c r="AB135" i="17" s="1"/>
  <c r="AH60" i="17"/>
  <c r="R15" i="3"/>
  <c r="R21" i="3" s="1"/>
  <c r="R46" i="3" s="1"/>
  <c r="R55" i="3" s="1"/>
  <c r="L21" i="3"/>
  <c r="L46" i="3" s="1"/>
  <c r="L55" i="3" s="1"/>
  <c r="AH28" i="17"/>
  <c r="AH30" i="17" s="1"/>
  <c r="AJ30" i="17" s="1"/>
  <c r="AB30" i="17"/>
  <c r="AJ60" i="17" l="1"/>
  <c r="AH109" i="17"/>
  <c r="AJ109" i="17" s="1"/>
  <c r="AB145" i="17"/>
  <c r="AH135" i="17"/>
  <c r="AJ135" i="17" s="1"/>
  <c r="AH145" i="17" l="1"/>
  <c r="AJ145" i="17" s="1"/>
  <c r="R36" i="43" l="1"/>
  <c r="R42" i="43" s="1"/>
  <c r="Z21" i="43"/>
  <c r="X44" i="43" l="1"/>
  <c r="H17" i="32" l="1"/>
  <c r="C39" i="13" l="1"/>
  <c r="E40" i="13" l="1"/>
  <c r="N45" i="5" l="1"/>
  <c r="F17" i="32" l="1"/>
  <c r="Z121" i="19" l="1"/>
  <c r="V22" i="15"/>
  <c r="V25" i="15" s="1"/>
  <c r="H20" i="2"/>
  <c r="H45" i="2" s="1"/>
  <c r="H55" i="2" s="1"/>
  <c r="F38" i="19"/>
  <c r="F85" i="19" s="1"/>
  <c r="F109" i="19" s="1"/>
  <c r="F119" i="19" s="1"/>
  <c r="AD17" i="19"/>
  <c r="AJ17" i="19" s="1"/>
  <c r="AJ38" i="19" l="1"/>
  <c r="AL38" i="19" s="1"/>
  <c r="AL17" i="19"/>
  <c r="J14" i="2"/>
  <c r="H25" i="15"/>
  <c r="H58" i="15" s="1"/>
  <c r="J22" i="15"/>
  <c r="AD38" i="19"/>
  <c r="AD85" i="19" s="1"/>
  <c r="AD109" i="19" s="1"/>
  <c r="AD119" i="19" s="1"/>
  <c r="V14" i="2"/>
  <c r="AJ85" i="19" l="1"/>
  <c r="AL85" i="19" s="1"/>
  <c r="J20" i="2"/>
  <c r="J45" i="2" s="1"/>
  <c r="J55" i="2" s="1"/>
  <c r="X14" i="2"/>
  <c r="AJ119" i="19"/>
  <c r="AL119" i="19" s="1"/>
  <c r="X22" i="15"/>
  <c r="J25" i="15"/>
  <c r="J58" i="15" s="1"/>
  <c r="AJ109" i="19" l="1"/>
  <c r="AL109" i="19" s="1"/>
  <c r="AH22" i="15"/>
  <c r="AJ22" i="15" s="1"/>
  <c r="X25" i="15"/>
  <c r="AI14" i="2"/>
  <c r="AG14" i="2"/>
  <c r="AH25" i="15" l="1"/>
  <c r="AJ25" i="15" s="1"/>
  <c r="Y35" i="3" l="1"/>
  <c r="M16" i="34" l="1"/>
  <c r="G26" i="31"/>
  <c r="K46" i="30" l="1"/>
  <c r="K95" i="30"/>
  <c r="K36" i="31" l="1"/>
  <c r="AA103" i="23" l="1"/>
  <c r="AA102" i="24"/>
  <c r="O22" i="24"/>
  <c r="O32" i="24" s="1"/>
  <c r="O64" i="24" s="1"/>
  <c r="O88" i="24" s="1"/>
  <c r="O100" i="24" s="1"/>
  <c r="O20" i="23"/>
  <c r="V29" i="15" l="1"/>
  <c r="V38" i="15" s="1"/>
  <c r="V58" i="15" s="1"/>
  <c r="P38" i="15"/>
  <c r="P58" i="15" s="1"/>
  <c r="M33" i="16"/>
  <c r="O23" i="23"/>
  <c r="AF20" i="23"/>
  <c r="AB33" i="16" l="1"/>
  <c r="M42" i="16"/>
  <c r="M60" i="16" s="1"/>
  <c r="M109" i="16" s="1"/>
  <c r="M135" i="16" s="1"/>
  <c r="M146" i="16" s="1"/>
  <c r="O33" i="23"/>
  <c r="O65" i="23" s="1"/>
  <c r="O89" i="23" s="1"/>
  <c r="O101" i="23" s="1"/>
  <c r="AF23" i="23"/>
  <c r="R29" i="15"/>
  <c r="AL20" i="23"/>
  <c r="AN20" i="23" s="1"/>
  <c r="AH33" i="16" l="1"/>
  <c r="AB42" i="16"/>
  <c r="AB60" i="16" s="1"/>
  <c r="X29" i="15"/>
  <c r="R38" i="15"/>
  <c r="R58" i="15" s="1"/>
  <c r="AL23" i="23"/>
  <c r="AN23" i="23" s="1"/>
  <c r="R15" i="2"/>
  <c r="AF33" i="23"/>
  <c r="V15" i="2"/>
  <c r="AH42" i="16" l="1"/>
  <c r="AJ42" i="16" s="1"/>
  <c r="AJ33" i="16"/>
  <c r="AH29" i="15"/>
  <c r="AJ29" i="15" s="1"/>
  <c r="X38" i="15"/>
  <c r="AL33" i="23"/>
  <c r="X15" i="2"/>
  <c r="AH60" i="16" l="1"/>
  <c r="AJ60" i="16" s="1"/>
  <c r="AH38" i="15"/>
  <c r="AJ38" i="15" s="1"/>
  <c r="X58" i="15"/>
  <c r="AH58" i="15" s="1"/>
  <c r="AJ58" i="15" s="1"/>
  <c r="AG15" i="2"/>
  <c r="AI15" i="2"/>
  <c r="AN33" i="23"/>
  <c r="M34" i="34" l="1"/>
  <c r="M23" i="34"/>
  <c r="M43" i="34"/>
  <c r="M31" i="34"/>
  <c r="G65" i="34" l="1"/>
  <c r="AB21" i="15" l="1"/>
  <c r="R19" i="35"/>
  <c r="V19" i="35" s="1"/>
  <c r="H43" i="35"/>
  <c r="AA82" i="25"/>
  <c r="Q42" i="25"/>
  <c r="Q46" i="25" s="1"/>
  <c r="Q70" i="25" s="1"/>
  <c r="Q80" i="25" s="1"/>
  <c r="Q37" i="23"/>
  <c r="Q61" i="23" s="1"/>
  <c r="K37" i="31" l="1"/>
  <c r="O65" i="16"/>
  <c r="AF37" i="23"/>
  <c r="AL37" i="23" s="1"/>
  <c r="Q65" i="23"/>
  <c r="Q89" i="23" s="1"/>
  <c r="Q101" i="23" s="1"/>
  <c r="AL61" i="23" l="1"/>
  <c r="AN61" i="23" s="1"/>
  <c r="AN37" i="23"/>
  <c r="AB65" i="16"/>
  <c r="O105" i="16"/>
  <c r="O109" i="16" s="1"/>
  <c r="O135" i="16" s="1"/>
  <c r="O146" i="16" s="1"/>
  <c r="V18" i="2"/>
  <c r="V20" i="2" s="1"/>
  <c r="V45" i="2" s="1"/>
  <c r="V55" i="2" s="1"/>
  <c r="P20" i="2"/>
  <c r="P45" i="2" s="1"/>
  <c r="P55" i="2" s="1"/>
  <c r="AF61" i="23"/>
  <c r="AF65" i="23" s="1"/>
  <c r="AF89" i="23" s="1"/>
  <c r="AF101" i="23" s="1"/>
  <c r="AL65" i="23" l="1"/>
  <c r="AL89" i="23" s="1"/>
  <c r="AN89" i="23" s="1"/>
  <c r="R18" i="2"/>
  <c r="X18" i="2" s="1"/>
  <c r="X20" i="2" s="1"/>
  <c r="AH65" i="16"/>
  <c r="AB105" i="16"/>
  <c r="AB109" i="16" s="1"/>
  <c r="AB135" i="16" s="1"/>
  <c r="AH135" i="16" s="1"/>
  <c r="AL101" i="23"/>
  <c r="AN65" i="23" l="1"/>
  <c r="R20" i="2"/>
  <c r="R45" i="2" s="1"/>
  <c r="R55" i="2" s="1"/>
  <c r="AH105" i="16"/>
  <c r="AJ105" i="16" s="1"/>
  <c r="AJ65" i="16"/>
  <c r="AI18" i="2"/>
  <c r="AG18" i="2"/>
  <c r="AG20" i="2" s="1"/>
  <c r="AJ135" i="16"/>
  <c r="AB146" i="16"/>
  <c r="AN101" i="23"/>
  <c r="X45" i="2"/>
  <c r="AI20" i="2"/>
  <c r="R23" i="35" l="1"/>
  <c r="V23" i="35" s="1"/>
  <c r="AH109" i="16"/>
  <c r="AJ109" i="16" s="1"/>
  <c r="AG45" i="2"/>
  <c r="AG55" i="2" s="1"/>
  <c r="AI45" i="2"/>
  <c r="X55" i="2"/>
  <c r="AH146" i="16"/>
  <c r="AJ146" i="16" s="1"/>
  <c r="AI55" i="2" l="1"/>
  <c r="X50" i="27" l="1"/>
  <c r="P19" i="27"/>
  <c r="P34" i="27" s="1"/>
  <c r="P48" i="27" s="1"/>
  <c r="F21" i="5"/>
  <c r="F32" i="5" s="1"/>
  <c r="F42" i="5" s="1"/>
  <c r="J18" i="5" l="1"/>
  <c r="J21" i="5" s="1"/>
  <c r="J32" i="5" s="1"/>
  <c r="J42" i="5" s="1"/>
  <c r="P16" i="43"/>
  <c r="P44" i="43" s="1"/>
  <c r="R12" i="43" s="1"/>
  <c r="R44" i="43" s="1"/>
  <c r="Z16" i="43"/>
  <c r="T12" i="43" l="1"/>
  <c r="G40" i="31" l="1"/>
  <c r="G43" i="31" s="1"/>
  <c r="H24" i="32"/>
  <c r="G100" i="30"/>
  <c r="E40" i="31"/>
  <c r="E43" i="31" s="1"/>
  <c r="E90" i="30"/>
  <c r="E102" i="30" s="1"/>
  <c r="E26" i="31"/>
  <c r="AB25" i="15"/>
  <c r="Y43" i="3"/>
  <c r="Y46" i="3" s="1"/>
  <c r="Y55" i="3" s="1"/>
  <c r="Y21" i="3"/>
  <c r="K41" i="30"/>
  <c r="I260" i="42"/>
  <c r="G90" i="30"/>
  <c r="G102" i="30" s="1"/>
  <c r="K28" i="30"/>
  <c r="K30" i="30"/>
  <c r="M143" i="42"/>
  <c r="I214" i="42"/>
  <c r="K51" i="30"/>
  <c r="M50" i="34"/>
  <c r="K47" i="30"/>
  <c r="R38" i="35"/>
  <c r="V38" i="35" s="1"/>
  <c r="R30" i="35"/>
  <c r="V30" i="35" s="1"/>
  <c r="K49" i="30"/>
  <c r="R17" i="35"/>
  <c r="V17" i="35" s="1"/>
  <c r="K44" i="30"/>
  <c r="K190" i="42"/>
  <c r="K72" i="30"/>
  <c r="I102" i="42"/>
  <c r="M22" i="34"/>
  <c r="M177" i="42"/>
  <c r="K78" i="30"/>
  <c r="I209" i="42"/>
  <c r="K82" i="30"/>
  <c r="M35" i="34"/>
  <c r="K38" i="30"/>
  <c r="K209" i="42"/>
  <c r="K31" i="30"/>
  <c r="K54" i="30"/>
  <c r="M199" i="42"/>
  <c r="K89" i="30"/>
  <c r="M56" i="34"/>
  <c r="K38" i="31"/>
  <c r="R25" i="35"/>
  <c r="V25" i="35" s="1"/>
  <c r="K81" i="30"/>
  <c r="K53" i="30"/>
  <c r="K56" i="30"/>
  <c r="M57" i="34"/>
  <c r="M39" i="34"/>
  <c r="K18" i="31"/>
  <c r="M59" i="34"/>
  <c r="K73" i="30"/>
  <c r="K11" i="42"/>
  <c r="K80" i="30"/>
  <c r="M52" i="34"/>
  <c r="D121" i="20"/>
  <c r="F13" i="20" s="1"/>
  <c r="F121" i="20" s="1"/>
  <c r="H13" i="20" s="1"/>
  <c r="H121" i="20" s="1"/>
  <c r="J13" i="20" s="1"/>
  <c r="J121" i="20" s="1"/>
  <c r="L13" i="20" s="1"/>
  <c r="L121" i="20" s="1"/>
  <c r="N13" i="20" s="1"/>
  <c r="N121" i="20" s="1"/>
  <c r="P13" i="20" s="1"/>
  <c r="P121" i="20" s="1"/>
  <c r="R13" i="20" s="1"/>
  <c r="R121" i="20" s="1"/>
  <c r="T13" i="20" s="1"/>
  <c r="T121" i="20" s="1"/>
  <c r="V13" i="20" s="1"/>
  <c r="V121" i="20" s="1"/>
  <c r="X13" i="20" s="1"/>
  <c r="X121" i="20" s="1"/>
  <c r="Z121" i="20" s="1"/>
  <c r="AD13" i="20"/>
  <c r="J57" i="3"/>
  <c r="J59" i="3" s="1"/>
  <c r="G40" i="11"/>
  <c r="K40" i="11" s="1"/>
  <c r="K41" i="11" s="1"/>
  <c r="D13" i="19"/>
  <c r="D121" i="19" s="1"/>
  <c r="F13" i="19" s="1"/>
  <c r="F121" i="19" s="1"/>
  <c r="H13" i="19" s="1"/>
  <c r="H121" i="19" s="1"/>
  <c r="J13" i="19" s="1"/>
  <c r="J121" i="19" s="1"/>
  <c r="L13" i="19" s="1"/>
  <c r="L121" i="19" s="1"/>
  <c r="N13" i="19" s="1"/>
  <c r="N121" i="19" s="1"/>
  <c r="P13" i="19" s="1"/>
  <c r="P121" i="19" s="1"/>
  <c r="R13" i="19" s="1"/>
  <c r="R121" i="19" s="1"/>
  <c r="T13" i="19" s="1"/>
  <c r="T121" i="19" s="1"/>
  <c r="V13" i="19" s="1"/>
  <c r="V121" i="19" s="1"/>
  <c r="X13" i="19" s="1"/>
  <c r="H57" i="2" s="1"/>
  <c r="H59" i="2" s="1"/>
  <c r="I190" i="42"/>
  <c r="K40" i="30"/>
  <c r="P43" i="35"/>
  <c r="K35" i="30"/>
  <c r="R40" i="35"/>
  <c r="V40" i="35" s="1"/>
  <c r="K151" i="30"/>
  <c r="K55" i="30"/>
  <c r="AG92" i="21"/>
  <c r="E102" i="24"/>
  <c r="G14" i="24" s="1"/>
  <c r="G102" i="24" s="1"/>
  <c r="I14" i="24" s="1"/>
  <c r="I102" i="24" s="1"/>
  <c r="K14" i="24" s="1"/>
  <c r="K102" i="24" s="1"/>
  <c r="M14" i="24" s="1"/>
  <c r="M102" i="24" s="1"/>
  <c r="O14" i="24" s="1"/>
  <c r="O102" i="24" s="1"/>
  <c r="Q14" i="24" s="1"/>
  <c r="Q102" i="24" s="1"/>
  <c r="S14" i="24" s="1"/>
  <c r="S102" i="24" s="1"/>
  <c r="U14" i="24" s="1"/>
  <c r="U102" i="24" s="1"/>
  <c r="W14" i="24" s="1"/>
  <c r="W102" i="24" s="1"/>
  <c r="Y14" i="24" s="1"/>
  <c r="Y102" i="24" s="1"/>
  <c r="AD14" i="24"/>
  <c r="G39" i="14"/>
  <c r="I39" i="14" s="1"/>
  <c r="I22" i="12"/>
  <c r="M53" i="34"/>
  <c r="K214" i="42"/>
  <c r="K48" i="30"/>
  <c r="K77" i="30"/>
  <c r="M19" i="34"/>
  <c r="K29" i="30"/>
  <c r="K96" i="30"/>
  <c r="K65" i="30"/>
  <c r="K115" i="30"/>
  <c r="M154" i="42"/>
  <c r="M21" i="42"/>
  <c r="AG82" i="25"/>
  <c r="B47" i="37"/>
  <c r="D12" i="37" s="1"/>
  <c r="D47" i="37" s="1"/>
  <c r="F12" i="37" s="1"/>
  <c r="F47" i="37" s="1"/>
  <c r="H12" i="37" s="1"/>
  <c r="H47" i="37" s="1"/>
  <c r="J12" i="37" s="1"/>
  <c r="J47" i="37" s="1"/>
  <c r="L12" i="37" s="1"/>
  <c r="L47" i="37" s="1"/>
  <c r="N12" i="37" s="1"/>
  <c r="N47" i="37" s="1"/>
  <c r="P12" i="37" s="1"/>
  <c r="P47" i="37" s="1"/>
  <c r="R12" i="37" s="1"/>
  <c r="R47" i="37" s="1"/>
  <c r="T12" i="37" s="1"/>
  <c r="T47" i="37" s="1"/>
  <c r="V12" i="37" s="1"/>
  <c r="V47" i="37" s="1"/>
  <c r="X47" i="37" s="1"/>
  <c r="Z12" i="37"/>
  <c r="Z47" i="37" s="1"/>
  <c r="K60" i="30"/>
  <c r="I204" i="42"/>
  <c r="K68" i="30"/>
  <c r="M62" i="34"/>
  <c r="K75" i="30"/>
  <c r="M41" i="34"/>
  <c r="K57" i="30"/>
  <c r="K58" i="30"/>
  <c r="I20" i="11"/>
  <c r="AB46" i="15"/>
  <c r="K83" i="30"/>
  <c r="K33" i="31"/>
  <c r="M26" i="34"/>
  <c r="K87" i="30"/>
  <c r="D92" i="21"/>
  <c r="F13" i="21" s="1"/>
  <c r="F92" i="21" s="1"/>
  <c r="H13" i="21" s="1"/>
  <c r="H92" i="21" s="1"/>
  <c r="J13" i="21" s="1"/>
  <c r="J92" i="21" s="1"/>
  <c r="L13" i="21" s="1"/>
  <c r="L92" i="21" s="1"/>
  <c r="N13" i="21" s="1"/>
  <c r="N92" i="21" s="1"/>
  <c r="P13" i="21" s="1"/>
  <c r="P92" i="21" s="1"/>
  <c r="R13" i="21" s="1"/>
  <c r="R92" i="21" s="1"/>
  <c r="T13" i="21" s="1"/>
  <c r="T92" i="21" s="1"/>
  <c r="V13" i="21" s="1"/>
  <c r="V92" i="21" s="1"/>
  <c r="X13" i="21" s="1"/>
  <c r="X92" i="21" s="1"/>
  <c r="Z92" i="21" s="1"/>
  <c r="AD13" i="21"/>
  <c r="AD92" i="21" s="1"/>
  <c r="R40" i="11"/>
  <c r="V40" i="11" s="1"/>
  <c r="V41" i="11" s="1"/>
  <c r="K79" i="30"/>
  <c r="M105" i="42"/>
  <c r="M21" i="34"/>
  <c r="M38" i="34"/>
  <c r="K71" i="30"/>
  <c r="K117" i="30"/>
  <c r="K70" i="30"/>
  <c r="K84" i="30"/>
  <c r="R20" i="35"/>
  <c r="V20" i="35" s="1"/>
  <c r="L43" i="35"/>
  <c r="M45" i="34"/>
  <c r="M48" i="34"/>
  <c r="M51" i="34"/>
  <c r="K106" i="30"/>
  <c r="I112" i="30"/>
  <c r="AB51" i="2"/>
  <c r="AB55" i="2" s="1"/>
  <c r="R36" i="35"/>
  <c r="V36" i="35" s="1"/>
  <c r="K39" i="31"/>
  <c r="K97" i="30"/>
  <c r="D43" i="35"/>
  <c r="R39" i="35"/>
  <c r="V39" i="35" s="1"/>
  <c r="K33" i="30"/>
  <c r="K63" i="30"/>
  <c r="M29" i="34"/>
  <c r="M202" i="42"/>
  <c r="M49" i="34"/>
  <c r="M30" i="34"/>
  <c r="K76" i="30"/>
  <c r="K43" i="30"/>
  <c r="K152" i="30"/>
  <c r="K42" i="30"/>
  <c r="R15" i="35"/>
  <c r="V15" i="35" s="1"/>
  <c r="K36" i="30"/>
  <c r="I23" i="11"/>
  <c r="I11" i="42"/>
  <c r="K45" i="30"/>
  <c r="AG13" i="19"/>
  <c r="AG121" i="19" s="1"/>
  <c r="AG121" i="20"/>
  <c r="K32" i="30"/>
  <c r="M22" i="42"/>
  <c r="K52" i="30"/>
  <c r="K204" i="42"/>
  <c r="M198" i="42"/>
  <c r="M204" i="42" s="1"/>
  <c r="K69" i="30"/>
  <c r="M14" i="42"/>
  <c r="K102" i="42"/>
  <c r="K260" i="42"/>
  <c r="K66" i="30"/>
  <c r="K37" i="30"/>
  <c r="AI15" i="23"/>
  <c r="AI103" i="23" s="1"/>
  <c r="AG102" i="24"/>
  <c r="K86" i="30"/>
  <c r="AD13" i="19"/>
  <c r="AD121" i="19" s="1"/>
  <c r="G41" i="11"/>
  <c r="Q65" i="34"/>
  <c r="I100" i="30"/>
  <c r="G24" i="30"/>
  <c r="E24" i="30"/>
  <c r="I65" i="34"/>
  <c r="E154" i="30"/>
  <c r="F45" i="32"/>
  <c r="F48" i="32" s="1"/>
  <c r="I90" i="30"/>
  <c r="K65" i="34"/>
  <c r="F43" i="35"/>
  <c r="I26" i="31"/>
  <c r="I24" i="30"/>
  <c r="T43" i="35"/>
  <c r="G154" i="30"/>
  <c r="I154" i="30"/>
  <c r="C26" i="11"/>
  <c r="O190" i="42"/>
  <c r="O102" i="42"/>
  <c r="S65" i="34"/>
  <c r="M75" i="42"/>
  <c r="C22" i="13"/>
  <c r="M22" i="13" s="1"/>
  <c r="I22" i="14"/>
  <c r="C24" i="10"/>
  <c r="M24" i="10" s="1"/>
  <c r="I24" i="11"/>
  <c r="K120" i="30"/>
  <c r="M255" i="42"/>
  <c r="M52" i="42"/>
  <c r="K23" i="31"/>
  <c r="K139" i="30"/>
  <c r="M23" i="42"/>
  <c r="P44" i="5"/>
  <c r="P45" i="5" s="1"/>
  <c r="AE55" i="26"/>
  <c r="M76" i="42"/>
  <c r="M56" i="42"/>
  <c r="K146" i="30"/>
  <c r="T23" i="11"/>
  <c r="C23" i="10"/>
  <c r="M23" i="10" s="1"/>
  <c r="M171" i="42"/>
  <c r="T31" i="11"/>
  <c r="L32" i="32"/>
  <c r="K21" i="30"/>
  <c r="M58" i="42"/>
  <c r="AD38" i="29"/>
  <c r="P41" i="6"/>
  <c r="P42" i="6" s="1"/>
  <c r="K133" i="30"/>
  <c r="M186" i="42"/>
  <c r="M77" i="42"/>
  <c r="K153" i="30"/>
  <c r="K148" i="30"/>
  <c r="M232" i="42"/>
  <c r="M41" i="42"/>
  <c r="M16" i="42"/>
  <c r="M172" i="42"/>
  <c r="M87" i="42"/>
  <c r="M86" i="42"/>
  <c r="M28" i="42"/>
  <c r="M82" i="42"/>
  <c r="I40" i="31"/>
  <c r="K32" i="31"/>
  <c r="M119" i="42"/>
  <c r="E112" i="30"/>
  <c r="K105" i="30"/>
  <c r="K34" i="31"/>
  <c r="L31" i="32"/>
  <c r="R41" i="35"/>
  <c r="V41" i="35" s="1"/>
  <c r="M59" i="42"/>
  <c r="M229" i="42"/>
  <c r="M155" i="42"/>
  <c r="C30" i="8"/>
  <c r="I30" i="8" s="1"/>
  <c r="I35" i="9"/>
  <c r="M243" i="42"/>
  <c r="R31" i="35"/>
  <c r="V31" i="35" s="1"/>
  <c r="M178" i="42"/>
  <c r="J45" i="32"/>
  <c r="M106" i="42"/>
  <c r="M91" i="42"/>
  <c r="M88" i="42"/>
  <c r="L22" i="32"/>
  <c r="C40" i="7"/>
  <c r="I40" i="7" s="1"/>
  <c r="C25" i="13"/>
  <c r="M25" i="13" s="1"/>
  <c r="I25" i="14"/>
  <c r="G112" i="30"/>
  <c r="R18" i="35"/>
  <c r="V18" i="35" s="1"/>
  <c r="N43" i="35"/>
  <c r="O260" i="42"/>
  <c r="M217" i="42"/>
  <c r="M92" i="42"/>
  <c r="C23" i="8"/>
  <c r="I23" i="8" s="1"/>
  <c r="I23" i="9"/>
  <c r="M110" i="42"/>
  <c r="M64" i="42"/>
  <c r="L15" i="32"/>
  <c r="L17" i="32" s="1"/>
  <c r="J17" i="32"/>
  <c r="L30" i="32"/>
  <c r="M25" i="42"/>
  <c r="M157" i="42"/>
  <c r="M141" i="42"/>
  <c r="O11" i="42"/>
  <c r="M10" i="42"/>
  <c r="M11" i="42" s="1"/>
  <c r="I20" i="12"/>
  <c r="C26" i="12"/>
  <c r="M183" i="42"/>
  <c r="M32" i="42"/>
  <c r="M140" i="42"/>
  <c r="C25" i="10"/>
  <c r="M25" i="10" s="1"/>
  <c r="I25" i="11"/>
  <c r="M219" i="42"/>
  <c r="C30" i="13"/>
  <c r="M30" i="13" s="1"/>
  <c r="I30" i="14"/>
  <c r="C33" i="14"/>
  <c r="M27" i="14"/>
  <c r="S20" i="14"/>
  <c r="K121" i="30"/>
  <c r="M34" i="42"/>
  <c r="R34" i="35"/>
  <c r="V34" i="35" s="1"/>
  <c r="M57" i="42"/>
  <c r="K136" i="30"/>
  <c r="M79" i="42"/>
  <c r="M63" i="42"/>
  <c r="M47" i="42"/>
  <c r="M101" i="42"/>
  <c r="M245" i="42"/>
  <c r="K126" i="30"/>
  <c r="K98" i="30"/>
  <c r="K22" i="30"/>
  <c r="K141" i="30"/>
  <c r="M184" i="42"/>
  <c r="L35" i="32"/>
  <c r="K25" i="31"/>
  <c r="M85" i="42"/>
  <c r="S21" i="14"/>
  <c r="M94" i="42"/>
  <c r="M166" i="42"/>
  <c r="M138" i="42"/>
  <c r="M50" i="42"/>
  <c r="E82" i="25"/>
  <c r="G14" i="25" s="1"/>
  <c r="G82" i="25" s="1"/>
  <c r="I14" i="25" s="1"/>
  <c r="I82" i="25" s="1"/>
  <c r="K14" i="25" s="1"/>
  <c r="K82" i="25" s="1"/>
  <c r="M14" i="25" s="1"/>
  <c r="M82" i="25" s="1"/>
  <c r="O14" i="25" s="1"/>
  <c r="O82" i="25" s="1"/>
  <c r="Q14" i="25" s="1"/>
  <c r="Q82" i="25" s="1"/>
  <c r="S14" i="25" s="1"/>
  <c r="S82" i="25" s="1"/>
  <c r="U14" i="25" s="1"/>
  <c r="U82" i="25" s="1"/>
  <c r="W14" i="25" s="1"/>
  <c r="W82" i="25" s="1"/>
  <c r="Y14" i="25" s="1"/>
  <c r="Y82" i="25" s="1"/>
  <c r="AD14" i="25"/>
  <c r="AJ14" i="25" s="1"/>
  <c r="AJ82" i="25" s="1"/>
  <c r="Q39" i="14"/>
  <c r="U39" i="14" s="1"/>
  <c r="U40" i="14" s="1"/>
  <c r="E15" i="23"/>
  <c r="AF15" i="23" s="1"/>
  <c r="M145" i="42"/>
  <c r="M150" i="42"/>
  <c r="K16" i="30"/>
  <c r="M128" i="42"/>
  <c r="M175" i="42"/>
  <c r="M131" i="42"/>
  <c r="C30" i="10"/>
  <c r="M30" i="10" s="1"/>
  <c r="I30" i="11"/>
  <c r="K142" i="30"/>
  <c r="M66" i="42"/>
  <c r="K19" i="30"/>
  <c r="T32" i="11"/>
  <c r="M148" i="42"/>
  <c r="M165" i="42"/>
  <c r="M244" i="42"/>
  <c r="C29" i="10"/>
  <c r="M29" i="10" s="1"/>
  <c r="I29" i="11"/>
  <c r="C34" i="11"/>
  <c r="I25" i="12"/>
  <c r="L43" i="32"/>
  <c r="I20" i="9"/>
  <c r="C20" i="8"/>
  <c r="I20" i="8" s="1"/>
  <c r="K35" i="31"/>
  <c r="AB56" i="15"/>
  <c r="M121" i="42"/>
  <c r="M242" i="42"/>
  <c r="R26" i="35"/>
  <c r="V26" i="35" s="1"/>
  <c r="J43" i="35"/>
  <c r="M176" i="42"/>
  <c r="I23" i="12"/>
  <c r="M45" i="42"/>
  <c r="M84" i="42"/>
  <c r="I31" i="12"/>
  <c r="M18" i="42"/>
  <c r="M118" i="42"/>
  <c r="K17" i="30"/>
  <c r="M44" i="42"/>
  <c r="M236" i="42"/>
  <c r="S25" i="14"/>
  <c r="M122" i="42"/>
  <c r="M238" i="42"/>
  <c r="M48" i="42"/>
  <c r="M124" i="42"/>
  <c r="M36" i="42"/>
  <c r="I25" i="9"/>
  <c r="C25" i="8"/>
  <c r="I25" i="8" s="1"/>
  <c r="I39" i="9"/>
  <c r="M249" i="42"/>
  <c r="I28" i="9"/>
  <c r="M42" i="42"/>
  <c r="C32" i="10"/>
  <c r="M32" i="10" s="1"/>
  <c r="C33" i="8"/>
  <c r="I33" i="8" s="1"/>
  <c r="I32" i="11"/>
  <c r="B75" i="22"/>
  <c r="D12" i="22" s="1"/>
  <c r="D75" i="22" s="1"/>
  <c r="F12" i="22" s="1"/>
  <c r="F75" i="22" s="1"/>
  <c r="H12" i="22" s="1"/>
  <c r="H75" i="22" s="1"/>
  <c r="J12" i="22" s="1"/>
  <c r="J75" i="22" s="1"/>
  <c r="L12" i="22" s="1"/>
  <c r="L75" i="22" s="1"/>
  <c r="N12" i="22" s="1"/>
  <c r="N75" i="22" s="1"/>
  <c r="P12" i="22" s="1"/>
  <c r="P75" i="22" s="1"/>
  <c r="R12" i="22" s="1"/>
  <c r="R75" i="22" s="1"/>
  <c r="T12" i="22" s="1"/>
  <c r="T75" i="22" s="1"/>
  <c r="V12" i="22" s="1"/>
  <c r="L57" i="2" s="1"/>
  <c r="L59" i="2" s="1"/>
  <c r="AA12" i="22"/>
  <c r="AG12" i="22" s="1"/>
  <c r="AG75" i="22" s="1"/>
  <c r="N57" i="2"/>
  <c r="N57" i="3" s="1"/>
  <c r="N59" i="3" s="1"/>
  <c r="M252" i="42"/>
  <c r="M139" i="42"/>
  <c r="K125" i="30"/>
  <c r="M241" i="42"/>
  <c r="R35" i="35"/>
  <c r="V35" i="35" s="1"/>
  <c r="M39" i="42"/>
  <c r="M93" i="42"/>
  <c r="M123" i="42"/>
  <c r="AA57" i="3"/>
  <c r="AA59" i="3" s="1"/>
  <c r="AE16" i="17"/>
  <c r="AE147" i="17" s="1"/>
  <c r="AD75" i="22"/>
  <c r="M173" i="42"/>
  <c r="M127" i="42"/>
  <c r="L33" i="32"/>
  <c r="M129" i="42"/>
  <c r="M187" i="42"/>
  <c r="M149" i="42"/>
  <c r="C55" i="26"/>
  <c r="E16" i="26" s="1"/>
  <c r="E55" i="26" s="1"/>
  <c r="G16" i="26" s="1"/>
  <c r="G55" i="26" s="1"/>
  <c r="I16" i="26" s="1"/>
  <c r="I55" i="26" s="1"/>
  <c r="K16" i="26" s="1"/>
  <c r="K55" i="26" s="1"/>
  <c r="M16" i="26" s="1"/>
  <c r="M55" i="26" s="1"/>
  <c r="O16" i="26" s="1"/>
  <c r="O55" i="26" s="1"/>
  <c r="Q16" i="26" s="1"/>
  <c r="Q55" i="26" s="1"/>
  <c r="S16" i="26" s="1"/>
  <c r="S55" i="26" s="1"/>
  <c r="U16" i="26" s="1"/>
  <c r="U55" i="26" s="1"/>
  <c r="W16" i="26" s="1"/>
  <c r="B44" i="5" s="1"/>
  <c r="B45" i="5" s="1"/>
  <c r="AB16" i="26"/>
  <c r="M168" i="42"/>
  <c r="S31" i="14"/>
  <c r="M24" i="42"/>
  <c r="S22" i="14"/>
  <c r="M174" i="42"/>
  <c r="M224" i="42"/>
  <c r="K145" i="30"/>
  <c r="M134" i="42"/>
  <c r="M156" i="42"/>
  <c r="M162" i="42"/>
  <c r="M70" i="42"/>
  <c r="M160" i="42"/>
  <c r="M185" i="42"/>
  <c r="M30" i="42"/>
  <c r="M221" i="42"/>
  <c r="AA13" i="28"/>
  <c r="B38" i="28"/>
  <c r="D13" i="28" s="1"/>
  <c r="D38" i="28" s="1"/>
  <c r="F13" i="28" s="1"/>
  <c r="F38" i="28" s="1"/>
  <c r="H13" i="28" s="1"/>
  <c r="H38" i="28" s="1"/>
  <c r="J13" i="28" s="1"/>
  <c r="J38" i="28" s="1"/>
  <c r="L13" i="28" s="1"/>
  <c r="L38" i="28" s="1"/>
  <c r="N13" i="28" s="1"/>
  <c r="N38" i="28" s="1"/>
  <c r="P13" i="28" s="1"/>
  <c r="P38" i="28" s="1"/>
  <c r="R13" i="28" s="1"/>
  <c r="R38" i="28" s="1"/>
  <c r="T13" i="28" s="1"/>
  <c r="T38" i="28" s="1"/>
  <c r="V13" i="28" s="1"/>
  <c r="B41" i="6" s="1"/>
  <c r="B42" i="6" s="1"/>
  <c r="T24" i="11"/>
  <c r="M254" i="42"/>
  <c r="I21" i="9"/>
  <c r="C21" i="8"/>
  <c r="I21" i="8" s="1"/>
  <c r="I38" i="9"/>
  <c r="K127" i="30"/>
  <c r="M69" i="42"/>
  <c r="L42" i="32"/>
  <c r="M208" i="42"/>
  <c r="M220" i="42"/>
  <c r="M228" i="42"/>
  <c r="M142" i="42"/>
  <c r="K18" i="30"/>
  <c r="M96" i="42"/>
  <c r="M233" i="42"/>
  <c r="M20" i="42"/>
  <c r="C26" i="13"/>
  <c r="I26" i="14"/>
  <c r="K26" i="13" s="1"/>
  <c r="O26" i="13" s="1"/>
  <c r="O27" i="13" s="1"/>
  <c r="O37" i="13" s="1"/>
  <c r="T33" i="11"/>
  <c r="M51" i="42"/>
  <c r="M248" i="42"/>
  <c r="M35" i="42"/>
  <c r="M207" i="42"/>
  <c r="O209" i="42"/>
  <c r="K132" i="30"/>
  <c r="T30" i="11"/>
  <c r="M120" i="42"/>
  <c r="M17" i="42"/>
  <c r="M169" i="42"/>
  <c r="M33" i="14"/>
  <c r="S30" i="14"/>
  <c r="C32" i="12"/>
  <c r="I29" i="12"/>
  <c r="M130" i="42"/>
  <c r="M161" i="42"/>
  <c r="I22" i="11"/>
  <c r="C22" i="10"/>
  <c r="M22" i="10" s="1"/>
  <c r="M37" i="42"/>
  <c r="M146" i="42"/>
  <c r="M225" i="42"/>
  <c r="K119" i="30"/>
  <c r="M74" i="42"/>
  <c r="L44" i="32"/>
  <c r="M95" i="42"/>
  <c r="I22" i="9"/>
  <c r="C22" i="8"/>
  <c r="I22" i="8" s="1"/>
  <c r="M213" i="42"/>
  <c r="M226" i="42"/>
  <c r="I21" i="14"/>
  <c r="C21" i="13"/>
  <c r="M21" i="13" s="1"/>
  <c r="S26" i="14"/>
  <c r="K24" i="31"/>
  <c r="M212" i="42"/>
  <c r="O214" i="42"/>
  <c r="L40" i="32"/>
  <c r="I23" i="14"/>
  <c r="C23" i="13"/>
  <c r="M23" i="13" s="1"/>
  <c r="M38" i="42"/>
  <c r="C33" i="10"/>
  <c r="M33" i="10" s="1"/>
  <c r="I33" i="11"/>
  <c r="K122" i="30"/>
  <c r="L41" i="32"/>
  <c r="T22" i="11"/>
  <c r="M251" i="42"/>
  <c r="K85" i="30"/>
  <c r="M235" i="42"/>
  <c r="M153" i="42"/>
  <c r="K134" i="30"/>
  <c r="M147" i="42"/>
  <c r="M181" i="42"/>
  <c r="M109" i="42"/>
  <c r="M115" i="42"/>
  <c r="M222" i="42"/>
  <c r="K108" i="30"/>
  <c r="M239" i="42"/>
  <c r="K149" i="30"/>
  <c r="K143" i="30"/>
  <c r="M71" i="42"/>
  <c r="M61" i="42"/>
  <c r="M65" i="42"/>
  <c r="K138" i="30"/>
  <c r="C31" i="8"/>
  <c r="I31" i="8" s="1"/>
  <c r="I36" i="9"/>
  <c r="M26" i="42"/>
  <c r="I34" i="9"/>
  <c r="C29" i="8"/>
  <c r="I29" i="8" s="1"/>
  <c r="I21" i="12"/>
  <c r="M164" i="42"/>
  <c r="M80" i="42"/>
  <c r="M55" i="42"/>
  <c r="I29" i="9"/>
  <c r="I31" i="14"/>
  <c r="C31" i="13"/>
  <c r="M31" i="13" s="1"/>
  <c r="C32" i="7"/>
  <c r="I32" i="7" s="1"/>
  <c r="C32" i="8"/>
  <c r="I32" i="8" s="1"/>
  <c r="I30" i="12"/>
  <c r="M218" i="42"/>
  <c r="I24" i="12"/>
  <c r="K124" i="30"/>
  <c r="M54" i="42"/>
  <c r="T25" i="11"/>
  <c r="M43" i="42"/>
  <c r="K20" i="31"/>
  <c r="M247" i="42"/>
  <c r="M250" i="42"/>
  <c r="M256" i="42"/>
  <c r="R28" i="35"/>
  <c r="V28" i="35" s="1"/>
  <c r="M223" i="42"/>
  <c r="L36" i="32"/>
  <c r="M40" i="42"/>
  <c r="M89" i="42"/>
  <c r="M135" i="42"/>
  <c r="M136" i="42"/>
  <c r="M116" i="42"/>
  <c r="I41" i="9"/>
  <c r="M132" i="42"/>
  <c r="R22" i="35"/>
  <c r="V22" i="35" s="1"/>
  <c r="M152" i="42"/>
  <c r="S23" i="14"/>
  <c r="M114" i="42"/>
  <c r="C31" i="10"/>
  <c r="M31" i="10" s="1"/>
  <c r="I31" i="11"/>
  <c r="M126" i="42"/>
  <c r="M90" i="42"/>
  <c r="S24" i="14"/>
  <c r="M258" i="42"/>
  <c r="M259" i="42"/>
  <c r="K23" i="30"/>
  <c r="M144" i="42"/>
  <c r="I40" i="9"/>
  <c r="M189" i="42"/>
  <c r="J24" i="32"/>
  <c r="L21" i="32"/>
  <c r="M137" i="42"/>
  <c r="L38" i="32"/>
  <c r="M29" i="42"/>
  <c r="M107" i="42"/>
  <c r="M20" i="34"/>
  <c r="M97" i="42"/>
  <c r="M231" i="42"/>
  <c r="M151" i="42"/>
  <c r="T29" i="11"/>
  <c r="N34" i="11"/>
  <c r="M99" i="42"/>
  <c r="M81" i="42"/>
  <c r="M98" i="42"/>
  <c r="M227" i="42"/>
  <c r="AD50" i="27"/>
  <c r="R24" i="35"/>
  <c r="V24" i="35" s="1"/>
  <c r="M46" i="42"/>
  <c r="R21" i="35"/>
  <c r="V21" i="35" s="1"/>
  <c r="M113" i="42"/>
  <c r="I21" i="11"/>
  <c r="C21" i="10"/>
  <c r="M21" i="10" s="1"/>
  <c r="T21" i="11"/>
  <c r="K19" i="31"/>
  <c r="R37" i="35"/>
  <c r="V37" i="35" s="1"/>
  <c r="K128" i="30"/>
  <c r="I32" i="14"/>
  <c r="C32" i="13"/>
  <c r="M32" i="13" s="1"/>
  <c r="M246" i="42"/>
  <c r="M72" i="42"/>
  <c r="K118" i="30"/>
  <c r="M125" i="42"/>
  <c r="C24" i="13"/>
  <c r="M24" i="13" s="1"/>
  <c r="I24" i="14"/>
  <c r="K20" i="30"/>
  <c r="M73" i="42"/>
  <c r="K22" i="31"/>
  <c r="M158" i="42"/>
  <c r="T20" i="11"/>
  <c r="N26" i="11"/>
  <c r="C20" i="10"/>
  <c r="C20" i="7" s="1"/>
  <c r="I20" i="7" s="1"/>
  <c r="AA13" i="29"/>
  <c r="AA38" i="29" s="1"/>
  <c r="B38" i="29"/>
  <c r="D13" i="29" s="1"/>
  <c r="D38" i="29" s="1"/>
  <c r="F13" i="29" s="1"/>
  <c r="F38" i="29" s="1"/>
  <c r="H13" i="29" s="1"/>
  <c r="H38" i="29" s="1"/>
  <c r="J13" i="29" s="1"/>
  <c r="J38" i="29" s="1"/>
  <c r="L13" i="29" s="1"/>
  <c r="L38" i="29" s="1"/>
  <c r="N13" i="29" s="1"/>
  <c r="N38" i="29" s="1"/>
  <c r="P13" i="29" s="1"/>
  <c r="P38" i="29" s="1"/>
  <c r="R13" i="29" s="1"/>
  <c r="R38" i="29" s="1"/>
  <c r="T13" i="29" s="1"/>
  <c r="T38" i="29" s="1"/>
  <c r="V13" i="29" s="1"/>
  <c r="F41" i="6" s="1"/>
  <c r="F42" i="6" s="1"/>
  <c r="K110" i="30"/>
  <c r="N34" i="6"/>
  <c r="N39" i="6" s="1"/>
  <c r="D140" i="18"/>
  <c r="F12" i="18" s="1"/>
  <c r="F140" i="18" s="1"/>
  <c r="H12" i="18" s="1"/>
  <c r="H140" i="18" s="1"/>
  <c r="J12" i="18" s="1"/>
  <c r="J140" i="18" s="1"/>
  <c r="L12" i="18" s="1"/>
  <c r="L140" i="18" s="1"/>
  <c r="N12" i="18" s="1"/>
  <c r="N140" i="18" s="1"/>
  <c r="P12" i="18" s="1"/>
  <c r="P140" i="18" s="1"/>
  <c r="R12" i="18" s="1"/>
  <c r="R140" i="18" s="1"/>
  <c r="T12" i="18" s="1"/>
  <c r="T140" i="18" s="1"/>
  <c r="V12" i="18" s="1"/>
  <c r="V140" i="18" s="1"/>
  <c r="X12" i="18" s="1"/>
  <c r="X140" i="18" s="1"/>
  <c r="Z140" i="18" s="1"/>
  <c r="AC12" i="18"/>
  <c r="AC140" i="18" s="1"/>
  <c r="AI140" i="18" s="1"/>
  <c r="AK140" i="18" s="1"/>
  <c r="E49" i="9"/>
  <c r="C49" i="9"/>
  <c r="C49" i="7" s="1"/>
  <c r="F57" i="2"/>
  <c r="M62" i="42"/>
  <c r="C24" i="8"/>
  <c r="I24" i="8" s="1"/>
  <c r="I24" i="9"/>
  <c r="L37" i="32"/>
  <c r="M159" i="42"/>
  <c r="M27" i="42"/>
  <c r="L29" i="32"/>
  <c r="M63" i="34"/>
  <c r="M179" i="42"/>
  <c r="M182" i="42"/>
  <c r="I27" i="9"/>
  <c r="K144" i="30"/>
  <c r="M180" i="42"/>
  <c r="M31" i="42"/>
  <c r="M163" i="42"/>
  <c r="M33" i="42"/>
  <c r="M237" i="42"/>
  <c r="M112" i="42"/>
  <c r="M53" i="42"/>
  <c r="K129" i="30"/>
  <c r="B50" i="27"/>
  <c r="D14" i="27" s="1"/>
  <c r="D50" i="27" s="1"/>
  <c r="F14" i="27" s="1"/>
  <c r="F50" i="27" s="1"/>
  <c r="H14" i="27" s="1"/>
  <c r="H50" i="27" s="1"/>
  <c r="J14" i="27" s="1"/>
  <c r="J50" i="27" s="1"/>
  <c r="L14" i="27" s="1"/>
  <c r="L50" i="27" s="1"/>
  <c r="N14" i="27" s="1"/>
  <c r="N50" i="27" s="1"/>
  <c r="P14" i="27" s="1"/>
  <c r="P50" i="27" s="1"/>
  <c r="R14" i="27" s="1"/>
  <c r="R50" i="27" s="1"/>
  <c r="T14" i="27" s="1"/>
  <c r="T50" i="27" s="1"/>
  <c r="V14" i="27" s="1"/>
  <c r="F44" i="5" s="1"/>
  <c r="F45" i="5" s="1"/>
  <c r="AA14" i="27"/>
  <c r="AA50" i="27" s="1"/>
  <c r="S32" i="14"/>
  <c r="M19" i="42"/>
  <c r="M15" i="42"/>
  <c r="M49" i="42"/>
  <c r="K130" i="30"/>
  <c r="M240" i="42"/>
  <c r="M234" i="42"/>
  <c r="M133" i="42"/>
  <c r="M68" i="42"/>
  <c r="M60" i="42"/>
  <c r="M257" i="42"/>
  <c r="C27" i="14"/>
  <c r="C20" i="13"/>
  <c r="M20" i="13" s="1"/>
  <c r="I20" i="14"/>
  <c r="M78" i="42"/>
  <c r="M230" i="42"/>
  <c r="M117" i="42"/>
  <c r="K150" i="30"/>
  <c r="M67" i="42"/>
  <c r="M253" i="42"/>
  <c r="M188" i="42"/>
  <c r="M83" i="42"/>
  <c r="K99" i="30"/>
  <c r="M108" i="42"/>
  <c r="L39" i="32"/>
  <c r="L34" i="32"/>
  <c r="K123" i="30"/>
  <c r="M111" i="42"/>
  <c r="L28" i="32"/>
  <c r="H45" i="32"/>
  <c r="H48" i="32" s="1"/>
  <c r="K21" i="31"/>
  <c r="R32" i="35"/>
  <c r="V32" i="35" s="1"/>
  <c r="M167" i="42"/>
  <c r="M170" i="42"/>
  <c r="H57" i="3" l="1"/>
  <c r="H59" i="3" s="1"/>
  <c r="G40" i="14"/>
  <c r="R41" i="11"/>
  <c r="C37" i="14"/>
  <c r="C40" i="14" s="1"/>
  <c r="AL15" i="23"/>
  <c r="AN15" i="23" s="1"/>
  <c r="AJ121" i="19"/>
  <c r="AL121" i="19" s="1"/>
  <c r="AD57" i="2"/>
  <c r="AD59" i="2" s="1"/>
  <c r="AJ13" i="21"/>
  <c r="I263" i="42"/>
  <c r="K263" i="42"/>
  <c r="AB58" i="15"/>
  <c r="K90" i="30"/>
  <c r="J57" i="2"/>
  <c r="J59" i="2" s="1"/>
  <c r="X121" i="19"/>
  <c r="AE16" i="16"/>
  <c r="AE148" i="16" s="1"/>
  <c r="AJ13" i="19"/>
  <c r="I40" i="11"/>
  <c r="C16" i="17"/>
  <c r="AB59" i="2"/>
  <c r="AJ14" i="24"/>
  <c r="AD102" i="24"/>
  <c r="G40" i="10"/>
  <c r="K40" i="10" s="1"/>
  <c r="M40" i="10" s="1"/>
  <c r="AD121" i="20"/>
  <c r="AJ13" i="20"/>
  <c r="T40" i="11"/>
  <c r="K39" i="14"/>
  <c r="K40" i="14" s="1"/>
  <c r="AA75" i="22"/>
  <c r="L57" i="3"/>
  <c r="L59" i="3" s="1"/>
  <c r="V75" i="22"/>
  <c r="X75" i="22" s="1"/>
  <c r="AD82" i="25"/>
  <c r="AL82" i="25" s="1"/>
  <c r="AL14" i="25"/>
  <c r="Y59" i="3"/>
  <c r="J48" i="32"/>
  <c r="G38" i="12"/>
  <c r="I38" i="12" s="1"/>
  <c r="AI12" i="22"/>
  <c r="AL13" i="19"/>
  <c r="C36" i="12"/>
  <c r="C39" i="12" s="1"/>
  <c r="AG13" i="29"/>
  <c r="AI13" i="29" s="1"/>
  <c r="M209" i="42"/>
  <c r="I102" i="30"/>
  <c r="I156" i="30" s="1"/>
  <c r="I43" i="31"/>
  <c r="V43" i="35"/>
  <c r="K26" i="31"/>
  <c r="O263" i="42"/>
  <c r="T26" i="11"/>
  <c r="S33" i="14"/>
  <c r="C38" i="11"/>
  <c r="C41" i="11" s="1"/>
  <c r="G156" i="30"/>
  <c r="C24" i="7"/>
  <c r="I24" i="7" s="1"/>
  <c r="V38" i="28"/>
  <c r="X38" i="28" s="1"/>
  <c r="I27" i="14"/>
  <c r="C48" i="8"/>
  <c r="I26" i="11"/>
  <c r="K27" i="13"/>
  <c r="K37" i="13" s="1"/>
  <c r="C23" i="7"/>
  <c r="I23" i="7" s="1"/>
  <c r="I34" i="11"/>
  <c r="K154" i="30"/>
  <c r="I26" i="8"/>
  <c r="AG50" i="27"/>
  <c r="AI50" i="27" s="1"/>
  <c r="M260" i="42"/>
  <c r="M190" i="42"/>
  <c r="K112" i="30"/>
  <c r="V50" i="27"/>
  <c r="I33" i="14"/>
  <c r="M33" i="13"/>
  <c r="I26" i="12"/>
  <c r="M102" i="42"/>
  <c r="M65" i="34"/>
  <c r="I34" i="8"/>
  <c r="M34" i="10"/>
  <c r="S27" i="14"/>
  <c r="K40" i="31"/>
  <c r="AI12" i="18"/>
  <c r="AK12" i="18" s="1"/>
  <c r="L45" i="32"/>
  <c r="I32" i="12"/>
  <c r="S39" i="14"/>
  <c r="Q40" i="14"/>
  <c r="T34" i="11"/>
  <c r="V38" i="29"/>
  <c r="X38" i="29" s="1"/>
  <c r="D57" i="2"/>
  <c r="D57" i="3" s="1"/>
  <c r="G49" i="9"/>
  <c r="R43" i="35"/>
  <c r="K100" i="30"/>
  <c r="K24" i="30"/>
  <c r="E156" i="30"/>
  <c r="C33" i="13"/>
  <c r="C31" i="7"/>
  <c r="I31" i="7" s="1"/>
  <c r="C31" i="9"/>
  <c r="C43" i="9"/>
  <c r="C26" i="8"/>
  <c r="N38" i="11"/>
  <c r="N41" i="11" s="1"/>
  <c r="M214" i="42"/>
  <c r="H41" i="6"/>
  <c r="H42" i="6" s="1"/>
  <c r="AG14" i="27"/>
  <c r="AI14" i="27" s="1"/>
  <c r="H44" i="5"/>
  <c r="H45" i="5" s="1"/>
  <c r="G41" i="7"/>
  <c r="K41" i="7" s="1"/>
  <c r="K43" i="7" s="1"/>
  <c r="K47" i="7" s="1"/>
  <c r="K50" i="7" s="1"/>
  <c r="C16" i="16"/>
  <c r="C148" i="16" s="1"/>
  <c r="E16" i="16" s="1"/>
  <c r="E148" i="16" s="1"/>
  <c r="G16" i="16" s="1"/>
  <c r="G148" i="16" s="1"/>
  <c r="I16" i="16" s="1"/>
  <c r="I148" i="16" s="1"/>
  <c r="K16" i="16" s="1"/>
  <c r="K148" i="16" s="1"/>
  <c r="M16" i="16" s="1"/>
  <c r="M148" i="16" s="1"/>
  <c r="O16" i="16" s="1"/>
  <c r="O148" i="16" s="1"/>
  <c r="Q16" i="16" s="1"/>
  <c r="Q148" i="16" s="1"/>
  <c r="S16" i="16" s="1"/>
  <c r="S148" i="16" s="1"/>
  <c r="U16" i="16" s="1"/>
  <c r="U148" i="16" s="1"/>
  <c r="W16" i="16" s="1"/>
  <c r="W148" i="16" s="1"/>
  <c r="Y148" i="16" s="1"/>
  <c r="AG38" i="29"/>
  <c r="AI38" i="29" s="1"/>
  <c r="M26" i="13"/>
  <c r="M27" i="13" s="1"/>
  <c r="C27" i="13"/>
  <c r="C30" i="7"/>
  <c r="I30" i="7" s="1"/>
  <c r="M37" i="14"/>
  <c r="M40" i="14" s="1"/>
  <c r="C34" i="8"/>
  <c r="J41" i="6"/>
  <c r="J42" i="6" s="1"/>
  <c r="C22" i="7"/>
  <c r="I22" i="7" s="1"/>
  <c r="C21" i="7"/>
  <c r="I21" i="7" s="1"/>
  <c r="C40" i="8"/>
  <c r="I40" i="8" s="1"/>
  <c r="I30" i="9"/>
  <c r="I31" i="9" s="1"/>
  <c r="C41" i="7"/>
  <c r="I42" i="9"/>
  <c r="I43" i="9" s="1"/>
  <c r="C41" i="8"/>
  <c r="I41" i="8" s="1"/>
  <c r="C42" i="7"/>
  <c r="I42" i="7" s="1"/>
  <c r="N42" i="6"/>
  <c r="W55" i="26"/>
  <c r="Y55" i="26" s="1"/>
  <c r="C25" i="7"/>
  <c r="I25" i="7" s="1"/>
  <c r="F57" i="3"/>
  <c r="F59" i="2"/>
  <c r="E50" i="9"/>
  <c r="E49" i="7"/>
  <c r="E50" i="7" s="1"/>
  <c r="E48" i="8"/>
  <c r="E49" i="8" s="1"/>
  <c r="AI75" i="22"/>
  <c r="L24" i="32"/>
  <c r="R57" i="2"/>
  <c r="R59" i="2" s="1"/>
  <c r="G39" i="13"/>
  <c r="C26" i="10"/>
  <c r="N59" i="2"/>
  <c r="C34" i="10"/>
  <c r="C33" i="7"/>
  <c r="I33" i="7" s="1"/>
  <c r="E103" i="23"/>
  <c r="G15" i="23" s="1"/>
  <c r="G103" i="23" s="1"/>
  <c r="I15" i="23" s="1"/>
  <c r="I103" i="23" s="1"/>
  <c r="K15" i="23" s="1"/>
  <c r="K103" i="23" s="1"/>
  <c r="M15" i="23" s="1"/>
  <c r="M103" i="23" s="1"/>
  <c r="O15" i="23" s="1"/>
  <c r="O103" i="23" s="1"/>
  <c r="Q15" i="23" s="1"/>
  <c r="Q103" i="23" s="1"/>
  <c r="S15" i="23" s="1"/>
  <c r="S103" i="23" s="1"/>
  <c r="U15" i="23" s="1"/>
  <c r="U103" i="23" s="1"/>
  <c r="W15" i="23" s="1"/>
  <c r="W103" i="23" s="1"/>
  <c r="Y15" i="23" s="1"/>
  <c r="Y103" i="23" s="1"/>
  <c r="C147" i="17"/>
  <c r="E16" i="17" s="1"/>
  <c r="E147" i="17" s="1"/>
  <c r="G16" i="17" s="1"/>
  <c r="G147" i="17" s="1"/>
  <c r="I16" i="17" s="1"/>
  <c r="I147" i="17" s="1"/>
  <c r="K16" i="17" s="1"/>
  <c r="K147" i="17" s="1"/>
  <c r="M16" i="17" s="1"/>
  <c r="M147" i="17" s="1"/>
  <c r="O16" i="17" s="1"/>
  <c r="O147" i="17" s="1"/>
  <c r="Q16" i="17" s="1"/>
  <c r="Q147" i="17" s="1"/>
  <c r="S16" i="17" s="1"/>
  <c r="S147" i="17" s="1"/>
  <c r="U16" i="17" s="1"/>
  <c r="U147" i="17" s="1"/>
  <c r="W16" i="17" s="1"/>
  <c r="W147" i="17" s="1"/>
  <c r="Y147" i="17" s="1"/>
  <c r="AB16" i="17"/>
  <c r="C29" i="7"/>
  <c r="I29" i="7" s="1"/>
  <c r="M20" i="10"/>
  <c r="M26" i="10" s="1"/>
  <c r="D41" i="6"/>
  <c r="D42" i="6" s="1"/>
  <c r="AG13" i="28"/>
  <c r="AI13" i="28" s="1"/>
  <c r="AA38" i="28"/>
  <c r="AG38" i="28" s="1"/>
  <c r="AI38" i="28" s="1"/>
  <c r="AB55" i="26"/>
  <c r="AH55" i="26" s="1"/>
  <c r="AJ55" i="26" s="1"/>
  <c r="AH16" i="26"/>
  <c r="AJ16" i="26" s="1"/>
  <c r="D44" i="5"/>
  <c r="D45" i="5" s="1"/>
  <c r="AF103" i="23"/>
  <c r="AN103" i="23" s="1"/>
  <c r="AL103" i="23"/>
  <c r="G39" i="12"/>
  <c r="J44" i="5"/>
  <c r="J45" i="5" s="1"/>
  <c r="Z27" i="43"/>
  <c r="T36" i="43"/>
  <c r="T42" i="43" s="1"/>
  <c r="T44" i="43" s="1"/>
  <c r="V12" i="43" s="1"/>
  <c r="V44" i="43" s="1"/>
  <c r="K102" i="30" l="1"/>
  <c r="G41" i="10"/>
  <c r="AJ121" i="20"/>
  <c r="AL121" i="20" s="1"/>
  <c r="AL13" i="20"/>
  <c r="AJ102" i="24"/>
  <c r="AL102" i="24" s="1"/>
  <c r="AL14" i="24"/>
  <c r="AJ92" i="21"/>
  <c r="AL92" i="21" s="1"/>
  <c r="AL13" i="21"/>
  <c r="K38" i="12"/>
  <c r="K39" i="12" s="1"/>
  <c r="O40" i="10"/>
  <c r="O41" i="10" s="1"/>
  <c r="K41" i="10"/>
  <c r="I37" i="8"/>
  <c r="K43" i="31"/>
  <c r="T38" i="11"/>
  <c r="T41" i="11" s="1"/>
  <c r="S37" i="14"/>
  <c r="S40" i="14" s="1"/>
  <c r="I37" i="14"/>
  <c r="I40" i="14" s="1"/>
  <c r="I38" i="11"/>
  <c r="I41" i="11" s="1"/>
  <c r="I36" i="12"/>
  <c r="I39" i="12" s="1"/>
  <c r="C37" i="13"/>
  <c r="C40" i="13" s="1"/>
  <c r="K156" i="30"/>
  <c r="L48" i="32"/>
  <c r="M38" i="10"/>
  <c r="M41" i="10" s="1"/>
  <c r="I34" i="7"/>
  <c r="C47" i="9"/>
  <c r="C50" i="9" s="1"/>
  <c r="M263" i="42"/>
  <c r="M37" i="13"/>
  <c r="D59" i="2"/>
  <c r="I41" i="7"/>
  <c r="I43" i="7" s="1"/>
  <c r="AB16" i="16"/>
  <c r="I26" i="7"/>
  <c r="I49" i="9"/>
  <c r="G50" i="9"/>
  <c r="G43" i="7"/>
  <c r="G47" i="7" s="1"/>
  <c r="K49" i="9"/>
  <c r="K50" i="9" s="1"/>
  <c r="K39" i="13"/>
  <c r="G40" i="13"/>
  <c r="G49" i="7"/>
  <c r="I49" i="7" s="1"/>
  <c r="C43" i="7"/>
  <c r="C37" i="8"/>
  <c r="L41" i="6"/>
  <c r="L42" i="6" s="1"/>
  <c r="C26" i="7"/>
  <c r="I42" i="8"/>
  <c r="I46" i="8" s="1"/>
  <c r="I47" i="9"/>
  <c r="I50" i="9" s="1"/>
  <c r="C42" i="8"/>
  <c r="C46" i="8" s="1"/>
  <c r="C49" i="8" s="1"/>
  <c r="P57" i="2"/>
  <c r="P59" i="2" s="1"/>
  <c r="C34" i="7"/>
  <c r="C38" i="10"/>
  <c r="C41" i="10" s="1"/>
  <c r="L44" i="5"/>
  <c r="S44" i="5" s="1"/>
  <c r="S45" i="5" s="1"/>
  <c r="U45" i="5" s="1"/>
  <c r="X57" i="2"/>
  <c r="AB147" i="17"/>
  <c r="AH147" i="17" s="1"/>
  <c r="AJ147" i="17" s="1"/>
  <c r="AH16" i="17"/>
  <c r="AJ16" i="17" s="1"/>
  <c r="F59" i="3"/>
  <c r="T57" i="3"/>
  <c r="D59" i="3"/>
  <c r="R57" i="3"/>
  <c r="R59" i="3" s="1"/>
  <c r="Z36" i="43"/>
  <c r="Z42" i="43" s="1"/>
  <c r="Z44" i="43" s="1"/>
  <c r="I37" i="7" l="1"/>
  <c r="S41" i="6"/>
  <c r="S42" i="6" s="1"/>
  <c r="U42" i="6" s="1"/>
  <c r="I47" i="7"/>
  <c r="I50" i="7" s="1"/>
  <c r="V57" i="2"/>
  <c r="V59" i="2" s="1"/>
  <c r="G50" i="7"/>
  <c r="AH16" i="16"/>
  <c r="AJ16" i="16" s="1"/>
  <c r="AB148" i="16"/>
  <c r="AH148" i="16" s="1"/>
  <c r="AJ148" i="16" s="1"/>
  <c r="O39" i="13"/>
  <c r="O40" i="13" s="1"/>
  <c r="M39" i="13"/>
  <c r="M40" i="13" s="1"/>
  <c r="K40" i="13"/>
  <c r="C37" i="7"/>
  <c r="L45" i="5"/>
  <c r="U44" i="5"/>
  <c r="C47" i="7"/>
  <c r="C50" i="7" s="1"/>
  <c r="G48" i="8"/>
  <c r="G49" i="8" s="1"/>
  <c r="T59" i="3"/>
  <c r="AD57" i="3"/>
  <c r="X59" i="2"/>
  <c r="AI59" i="2" s="1"/>
  <c r="AI57" i="2"/>
  <c r="AG57" i="2"/>
  <c r="AG59" i="2" s="1"/>
  <c r="U41" i="6" l="1"/>
  <c r="AF57" i="3"/>
  <c r="AD59" i="3"/>
  <c r="AF59" i="3" s="1"/>
  <c r="K48" i="8"/>
  <c r="K49" i="8" s="1"/>
  <c r="I48" i="8"/>
  <c r="I49" i="8" s="1"/>
</calcChain>
</file>

<file path=xl/sharedStrings.xml><?xml version="1.0" encoding="utf-8"?>
<sst xmlns="http://schemas.openxmlformats.org/spreadsheetml/2006/main" count="3984" uniqueCount="1630">
  <si>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</si>
  <si>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</si>
  <si>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</si>
  <si>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</si>
  <si>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</si>
  <si>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</si>
  <si>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</si>
  <si>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</si>
  <si>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</si>
  <si>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</si>
  <si>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</si>
  <si>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</si>
  <si>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</si>
  <si>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</si>
  <si>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</si>
  <si>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</si>
  <si>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</si>
  <si>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</si>
  <si>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</si>
  <si>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</si>
  <si>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</si>
  <si>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</si>
  <si>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</si>
  <si>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</si>
  <si>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</si>
  <si>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</si>
  <si>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</si>
  <si>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</si>
  <si>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</si>
  <si>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</si>
  <si>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</si>
  <si>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</si>
  <si>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</si>
  <si>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</si>
  <si>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</si>
  <si>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</si>
  <si>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</si>
  <si>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</si>
  <si>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</si>
  <si>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</si>
  <si>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</si>
  <si>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</si>
  <si>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</si>
  <si>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</si>
  <si>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</si>
  <si>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</si>
  <si>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</si>
  <si>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</si>
  <si>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</si>
  <si>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</si>
  <si>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</si>
  <si>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</si>
  <si>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</si>
  <si>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</si>
  <si>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</si>
  <si>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</si>
  <si>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</si>
  <si>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</si>
  <si>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</si>
  <si>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</si>
  <si>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</si>
  <si>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</si>
  <si>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</si>
  <si>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</si>
  <si>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</si>
  <si>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</si>
  <si>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</si>
  <si>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</si>
  <si>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</si>
  <si>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</si>
  <si>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</si>
  <si>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</si>
  <si>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</si>
  <si>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</si>
  <si>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</si>
  <si>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</si>
  <si>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</si>
  <si>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</si>
  <si>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</si>
  <si>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</si>
  <si>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</si>
  <si>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</si>
  <si>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</si>
  <si>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</si>
  <si>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</si>
  <si>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</si>
  <si>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</si>
  <si>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</si>
  <si>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</si>
  <si>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</si>
  <si>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</si>
  <si>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</si>
  <si>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</si>
  <si>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</si>
  <si>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</si>
  <si>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</si>
  <si>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</si>
  <si>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</si>
  <si>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</si>
  <si>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</si>
  <si>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</si>
  <si>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</si>
  <si>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</si>
  <si>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</si>
  <si>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</si>
  <si>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</si>
  <si>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</si>
  <si>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</si>
  <si>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</si>
  <si>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</si>
  <si>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</si>
  <si>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</si>
  <si>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</si>
  <si>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</si>
  <si>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</si>
  <si>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</si>
  <si>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</si>
  <si>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</si>
  <si>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</si>
  <si>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</si>
  <si>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</si>
  <si>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</si>
  <si>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</si>
  <si>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</si>
  <si>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</si>
  <si>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</si>
  <si>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</si>
  <si>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</si>
  <si>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</si>
  <si>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</si>
  <si>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</si>
  <si>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</si>
  <si>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</si>
  <si>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</si>
  <si>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</si>
  <si>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</si>
  <si>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</si>
  <si>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</si>
  <si>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</si>
  <si>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</si>
  <si>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</si>
  <si>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</si>
  <si>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</si>
  <si>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</si>
  <si>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</si>
  <si>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</si>
  <si>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</si>
  <si>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</si>
  <si>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</si>
  <si>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</si>
  <si>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</si>
  <si>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</si>
  <si>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</si>
  <si>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</si>
  <si>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</si>
  <si>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</si>
  <si>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</si>
  <si>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</si>
  <si>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</si>
  <si>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</si>
  <si>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</si>
  <si>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</si>
  <si>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</si>
  <si>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</si>
  <si>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</si>
  <si>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</si>
  <si>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</si>
  <si>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</si>
  <si>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</si>
  <si>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</si>
  <si>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</si>
  <si>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</si>
  <si>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</si>
  <si>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</si>
  <si>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</si>
  <si>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</si>
  <si>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</si>
  <si>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</si>
  <si>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</si>
  <si>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</si>
  <si>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</si>
  <si>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</si>
  <si>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</si>
  <si>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</si>
  <si>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</si>
  <si>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</si>
  <si>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</si>
  <si>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</si>
  <si>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</si>
  <si>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</si>
  <si>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</si>
  <si>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</si>
  <si>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</si>
  <si>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</si>
  <si>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</si>
  <si>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</si>
  <si>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</si>
  <si>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</si>
  <si>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</si>
  <si>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</si>
  <si>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</si>
  <si>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</si>
  <si>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</si>
  <si>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</si>
  <si>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</si>
  <si>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</si>
  <si>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</si>
  <si>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</si>
  <si>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</si>
  <si>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</si>
  <si>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</si>
  <si>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</si>
  <si>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</si>
  <si>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</si>
  <si>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</si>
  <si>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</si>
  <si>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</si>
  <si>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</si>
  <si>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</si>
  <si>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</si>
  <si>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</si>
  <si>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</si>
  <si>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</si>
  <si>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</si>
  <si>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</si>
  <si>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</si>
  <si>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</si>
  <si>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</si>
  <si>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</si>
  <si>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</si>
  <si>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</si>
  <si>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</si>
  <si>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</si>
  <si>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</si>
  <si>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</si>
  <si>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</si>
  <si>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</si>
  <si>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</si>
  <si>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</si>
  <si>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</si>
  <si>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</si>
  <si>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</si>
  <si>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</si>
  <si>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</si>
  <si>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</si>
  <si>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</si>
  <si>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</si>
  <si>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</si>
  <si>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</si>
  <si>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</si>
  <si>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</si>
  <si>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</si>
  <si>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</si>
  <si>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</si>
  <si>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</si>
  <si>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</si>
  <si>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</si>
  <si>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</si>
  <si>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</si>
  <si>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</si>
  <si>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</si>
  <si>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</si>
  <si>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</si>
  <si>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</si>
  <si>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</si>
  <si>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</si>
  <si>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</si>
  <si>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</si>
  <si>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</si>
  <si>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</si>
  <si>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</si>
  <si>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</si>
  <si>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</si>
  <si>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</si>
  <si>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</si>
  <si>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</si>
  <si>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</si>
  <si>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</si>
  <si>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</si>
  <si>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</si>
  <si>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</si>
  <si>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</si>
  <si>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</si>
  <si>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</si>
  <si>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</si>
  <si>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</si>
  <si>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</si>
  <si>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</si>
  <si>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</si>
  <si>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</si>
  <si>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</si>
  <si>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</si>
  <si>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</si>
  <si>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</si>
  <si>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</si>
  <si>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</si>
  <si>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</si>
  <si>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</si>
  <si>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</si>
  <si>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</si>
  <si>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</si>
  <si>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</si>
  <si>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</si>
  <si>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</si>
  <si>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</si>
  <si>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</si>
  <si>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</si>
  <si>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</si>
  <si>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</si>
  <si>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</si>
  <si>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</si>
  <si>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</si>
  <si>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</si>
  <si>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</si>
  <si>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</si>
  <si>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</si>
  <si>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</si>
  <si>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</si>
  <si>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</si>
  <si>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</si>
  <si>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</si>
  <si>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</si>
  <si>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</si>
  <si>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</si>
  <si>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</si>
  <si>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</si>
  <si>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</si>
  <si>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</si>
  <si>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</si>
  <si>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</si>
  <si>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</si>
  <si>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</si>
  <si>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</si>
  <si>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</si>
  <si>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</si>
  <si>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</si>
  <si>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</si>
  <si>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</si>
  <si>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</si>
  <si>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</si>
  <si>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</si>
  <si>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</si>
  <si>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</si>
  <si>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</si>
  <si>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</si>
  <si>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</si>
  <si>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</si>
  <si>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</si>
  <si>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</si>
  <si>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</si>
  <si>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</si>
  <si>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</si>
  <si>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</si>
  <si>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</si>
  <si>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</si>
  <si>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</si>
  <si>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</si>
  <si>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</si>
  <si>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</si>
  <si>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</si>
  <si>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</si>
  <si>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</si>
  <si>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</si>
  <si>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</si>
  <si>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</si>
  <si>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</si>
  <si>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</si>
  <si>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</si>
  <si>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</si>
  <si>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</si>
  <si>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</si>
  <si>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</si>
  <si>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</si>
  <si>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</si>
  <si>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</si>
  <si>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</si>
  <si>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</si>
  <si>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</si>
  <si>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</si>
  <si>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</si>
  <si>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</si>
  <si>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</si>
  <si>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</si>
  <si>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</si>
  <si>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</si>
  <si>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</si>
  <si>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</si>
  <si>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</si>
  <si>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</si>
  <si>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</si>
  <si>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</si>
  <si>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</si>
  <si>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</si>
  <si>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</si>
  <si>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</si>
  <si>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</si>
  <si>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</si>
  <si>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</si>
  <si>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</si>
  <si>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</si>
  <si>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</si>
  <si>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</si>
  <si>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</si>
  <si>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</si>
  <si>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</si>
  <si>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</si>
  <si>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</si>
  <si>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</si>
  <si>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</si>
  <si>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</si>
  <si>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</si>
  <si>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</si>
  <si>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</si>
  <si>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</si>
  <si>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</si>
  <si>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</si>
  <si>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</si>
  <si>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</si>
  <si>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</si>
  <si>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</si>
  <si>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</si>
  <si>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</si>
  <si>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</si>
  <si>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</si>
  <si>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</si>
  <si>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</si>
  <si>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</si>
  <si>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</si>
  <si>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</si>
  <si>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</si>
  <si>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</si>
  <si>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</si>
  <si>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</si>
  <si>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</si>
  <si>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</si>
  <si>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</si>
  <si>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</si>
  <si>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</si>
  <si>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</si>
  <si>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</si>
  <si>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</si>
  <si>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</si>
  <si>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</si>
  <si>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</si>
  <si>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</si>
  <si>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</si>
  <si>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</si>
  <si>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</si>
  <si>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</si>
  <si>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</si>
  <si>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</si>
  <si>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</si>
  <si>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</si>
  <si>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</si>
  <si>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</si>
  <si>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</si>
  <si>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</si>
  <si>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</si>
  <si>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</si>
  <si>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</si>
  <si>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</si>
  <si>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</si>
  <si>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</si>
  <si>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</si>
  <si>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</si>
  <si>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</si>
  <si>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</si>
  <si>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</si>
  <si>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</si>
  <si>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</si>
  <si>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</si>
  <si>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</si>
  <si>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</si>
  <si>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</si>
  <si>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</si>
  <si>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</si>
  <si>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</si>
  <si>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</si>
  <si>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</si>
  <si>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</si>
  <si>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</si>
  <si>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</si>
  <si>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</si>
  <si>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</si>
  <si>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</si>
  <si>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</si>
  <si>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</si>
  <si>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</si>
  <si>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</si>
  <si>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</si>
  <si>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</si>
  <si>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</si>
  <si>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</si>
  <si>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</si>
  <si>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</si>
  <si>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</si>
  <si>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</si>
  <si>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</si>
  <si>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</si>
  <si>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</si>
  <si>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</si>
  <si>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</si>
  <si>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</si>
  <si>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</si>
  <si>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</si>
  <si>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</si>
  <si>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</si>
  <si>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</si>
  <si>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</si>
  <si>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</si>
  <si>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</si>
  <si>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</si>
  <si>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</si>
  <si>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</si>
  <si>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</si>
  <si>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</si>
  <si>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</si>
  <si>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</si>
  <si>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</si>
  <si>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</si>
  <si>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</si>
  <si>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</si>
  <si>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</si>
  <si>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</si>
  <si>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</si>
  <si>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</si>
  <si>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</si>
  <si>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</si>
  <si>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</si>
  <si>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</si>
  <si>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</si>
  <si>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</si>
  <si>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</si>
  <si>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</si>
  <si>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</si>
  <si>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</si>
  <si>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</si>
  <si>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</si>
  <si>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</si>
  <si>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</si>
  <si>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</si>
  <si>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</si>
  <si>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</si>
  <si>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</si>
  <si>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</si>
  <si>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</si>
  <si>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</si>
  <si>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</si>
  <si>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</si>
  <si>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</si>
  <si>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</si>
  <si>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</si>
  <si>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</si>
  <si>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</si>
  <si>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</si>
  <si>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</si>
  <si>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</si>
  <si>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</si>
  <si>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</si>
  <si>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</si>
  <si>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</si>
  <si>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</si>
  <si>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</si>
  <si>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</si>
  <si>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</si>
  <si>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</si>
  <si>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</si>
  <si>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</si>
  <si>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</si>
  <si>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</si>
  <si>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</si>
  <si>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</si>
  <si>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</si>
  <si>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</si>
  <si>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</si>
  <si>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</si>
  <si>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</si>
  <si>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</si>
  <si>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</si>
  <si>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</si>
  <si>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</si>
  <si>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</si>
  <si>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</si>
  <si>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</si>
  <si>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</si>
  <si>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</si>
  <si>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</si>
  <si>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</si>
  <si>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</si>
  <si>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</si>
  <si>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</si>
  <si>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</si>
  <si>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</si>
  <si>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</si>
  <si>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</si>
  <si>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</si>
  <si>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</si>
  <si>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</si>
  <si>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</si>
  <si>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</si>
  <si>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</si>
  <si>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</si>
  <si>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</si>
  <si>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</si>
  <si>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</si>
  <si>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</si>
  <si>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</si>
  <si>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</si>
  <si>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</si>
  <si>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</si>
  <si>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</si>
  <si>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</si>
  <si>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</si>
  <si>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</si>
  <si>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</si>
  <si>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</si>
  <si>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</si>
  <si>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</si>
  <si>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</si>
  <si>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</si>
  <si>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</si>
  <si>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</si>
  <si>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</si>
  <si>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</si>
  <si>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</si>
  <si>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</si>
  <si>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</si>
  <si>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</si>
  <si>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</si>
  <si>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</si>
  <si>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</si>
  <si>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</si>
  <si>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</si>
  <si>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</si>
  <si>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</si>
  <si>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</si>
  <si>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</si>
  <si>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</si>
  <si>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</si>
  <si>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</si>
  <si>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</si>
  <si>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</si>
  <si>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</si>
  <si>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</si>
  <si>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</si>
  <si>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</si>
  <si>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</si>
  <si>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</si>
  <si>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</si>
  <si>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</si>
  <si>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</si>
  <si>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</si>
  <si>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</si>
  <si>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</si>
  <si>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</si>
  <si>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</si>
  <si>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</si>
  <si>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</si>
  <si>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</si>
  <si>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</si>
  <si>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</si>
  <si>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</si>
  <si>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</si>
  <si>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</si>
  <si>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</si>
  <si>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</si>
  <si>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</si>
  <si>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</si>
  <si>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</si>
  <si>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</si>
  <si>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</si>
  <si>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</si>
  <si>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</si>
  <si>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</si>
  <si>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</si>
  <si>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</si>
  <si>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</si>
  <si>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</si>
  <si>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</si>
  <si>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</si>
  <si>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</si>
  <si>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</si>
  <si>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</si>
  <si>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</si>
  <si>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</si>
  <si>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</si>
  <si>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</si>
  <si>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</si>
  <si>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</si>
  <si>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</si>
  <si>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</si>
  <si>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</si>
  <si>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</si>
  <si>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</si>
  <si>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</si>
  <si>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</si>
  <si>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</si>
  <si>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</si>
  <si>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</si>
  <si>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</si>
  <si>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</si>
  <si>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</si>
  <si>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</si>
  <si>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</si>
  <si>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</si>
  <si>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</si>
  <si>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</si>
  <si>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</si>
  <si>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</si>
  <si>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</si>
  <si>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</si>
  <si>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</si>
  <si>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</si>
  <si>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</si>
  <si>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</si>
  <si>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</si>
  <si>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</si>
  <si>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</si>
  <si>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</si>
  <si>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</si>
  <si>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</si>
  <si>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</si>
  <si>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</si>
  <si>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</si>
  <si>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</si>
  <si>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</si>
  <si>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</si>
  <si>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</si>
  <si>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</si>
  <si>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</si>
  <si>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</si>
  <si>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</si>
  <si>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</si>
  <si>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</si>
  <si>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</si>
  <si>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</si>
  <si>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</si>
  <si>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</si>
  <si>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</si>
  <si>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</si>
  <si>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</si>
  <si>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</si>
  <si>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</si>
  <si>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</si>
  <si>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</si>
  <si>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</si>
  <si>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</si>
  <si>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</si>
  <si>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</si>
  <si>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</si>
  <si>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</si>
  <si>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</si>
  <si>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</si>
  <si>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</si>
  <si>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</si>
  <si>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</si>
  <si>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</si>
  <si>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</si>
  <si>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</si>
  <si>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</si>
  <si>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</si>
  <si>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</si>
  <si>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</si>
  <si>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</si>
  <si>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</si>
  <si>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</si>
  <si>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</si>
  <si>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</si>
  <si>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</si>
  <si>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</si>
  <si>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</si>
  <si>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</si>
  <si>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</si>
  <si>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</si>
  <si>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</si>
  <si>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</si>
  <si>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</si>
  <si>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</si>
  <si>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</si>
  <si>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</si>
  <si>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</si>
  <si>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</si>
  <si>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</si>
  <si>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</si>
  <si>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</si>
  <si>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</si>
  <si>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</si>
  <si>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</si>
  <si>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</si>
  <si>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</si>
  <si>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</si>
  <si>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</si>
  <si>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</si>
  <si>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</si>
  <si>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</si>
  <si>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</si>
  <si>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</si>
  <si>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</si>
  <si>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</si>
  <si>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</si>
  <si>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</si>
  <si>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</si>
  <si>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</si>
  <si>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</si>
  <si>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</si>
  <si>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</si>
  <si>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</si>
  <si>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</si>
  <si>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MTA Financial Assistance Fund</t>
  </si>
  <si>
    <t>3.</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</si>
  <si>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</si>
  <si>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</si>
  <si>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</si>
  <si>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</si>
  <si>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</si>
  <si>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</si>
  <si>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</si>
  <si>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</si>
  <si>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</si>
  <si>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</si>
  <si>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</si>
  <si>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</si>
  <si>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</si>
  <si>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</si>
  <si>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</si>
  <si>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</si>
  <si>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</si>
  <si>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</si>
  <si>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</si>
  <si>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</si>
  <si>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</si>
  <si>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</si>
  <si>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</si>
  <si>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</si>
  <si>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</si>
  <si>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</si>
  <si>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</si>
  <si>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</si>
  <si>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</si>
  <si>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</si>
  <si>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</si>
  <si>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</si>
  <si>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</si>
  <si>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</si>
  <si>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</si>
  <si>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</si>
  <si>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</si>
  <si>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</si>
  <si>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</si>
  <si>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</si>
  <si>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</si>
  <si>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</si>
  <si>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</si>
  <si>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</si>
  <si>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</si>
  <si>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</si>
  <si>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</si>
  <si>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</si>
  <si>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</si>
  <si>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</si>
  <si>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</si>
  <si>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</si>
  <si>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</si>
  <si>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</si>
  <si>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</si>
  <si>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</si>
  <si>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</si>
  <si>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</si>
  <si>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</si>
  <si>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</si>
  <si>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</si>
  <si>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</si>
  <si>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</si>
  <si>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</si>
  <si>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</si>
  <si>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</si>
  <si>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</si>
  <si>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</si>
  <si>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</si>
  <si>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</si>
  <si>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</si>
  <si>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</si>
  <si>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</si>
  <si>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</si>
  <si>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</si>
  <si>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</si>
  <si>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</si>
  <si>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</si>
  <si>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</si>
  <si>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</si>
  <si>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</si>
  <si>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</si>
  <si>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</si>
  <si>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</si>
  <si>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</si>
  <si>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</si>
  <si>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</si>
  <si>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</si>
  <si>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</si>
  <si>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</si>
  <si>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</si>
  <si>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</si>
  <si>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</si>
  <si>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</si>
  <si>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</si>
  <si>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</si>
  <si>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</si>
  <si>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</si>
  <si>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</si>
  <si>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</si>
  <si>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</si>
  <si>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</si>
  <si>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</si>
  <si>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</si>
  <si>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</si>
  <si>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</si>
  <si>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</si>
  <si>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</si>
  <si>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</si>
  <si>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</si>
  <si>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</si>
  <si>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</si>
  <si>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</si>
  <si>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</si>
  <si>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</si>
  <si>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</si>
  <si>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</si>
  <si>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</si>
  <si>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</si>
  <si>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</si>
  <si>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</si>
  <si>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</si>
  <si>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</si>
  <si>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</si>
  <si>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</si>
  <si>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</si>
  <si>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</si>
  <si>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</si>
  <si>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</si>
  <si>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</si>
  <si>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</si>
  <si>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</si>
  <si>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</si>
  <si>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</si>
  <si>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</si>
  <si>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</si>
  <si>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</si>
  <si>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</si>
  <si>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</si>
  <si>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</si>
  <si>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</si>
  <si>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</si>
  <si>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</si>
  <si>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</si>
  <si>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</si>
  <si>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</si>
  <si>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</si>
  <si>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</si>
  <si>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</si>
  <si>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</si>
  <si>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</si>
  <si>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</si>
  <si>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</si>
  <si>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</si>
  <si>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</si>
  <si>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</si>
  <si>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</si>
  <si>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</si>
  <si>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</si>
  <si>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</si>
  <si>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</si>
  <si>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</si>
  <si>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</si>
  <si>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</si>
  <si>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</si>
  <si>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</si>
  <si>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</si>
  <si>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</si>
  <si>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</si>
  <si>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</si>
  <si>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</si>
  <si>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</si>
  <si>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</si>
  <si>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</si>
  <si>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</si>
  <si>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</si>
  <si>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</si>
  <si>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</si>
  <si>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</si>
  <si>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</si>
  <si>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</si>
  <si>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</si>
  <si>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</si>
  <si>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</si>
  <si>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</si>
  <si>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</si>
  <si>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</si>
  <si>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</si>
  <si>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</si>
  <si>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</si>
  <si>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</si>
  <si>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</si>
  <si>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</si>
  <si>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</si>
  <si>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</si>
  <si>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</si>
  <si>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</si>
  <si>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</si>
  <si>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</si>
  <si>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</si>
  <si>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</si>
  <si>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</si>
  <si>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</si>
  <si>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</si>
  <si>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</si>
  <si>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</si>
  <si>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</si>
  <si>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</si>
  <si>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</si>
  <si>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</si>
  <si>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</si>
  <si>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</si>
  <si>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</si>
  <si>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</si>
  <si>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</si>
  <si>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</si>
  <si>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</si>
  <si>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</si>
  <si>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</si>
  <si>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</si>
  <si>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</si>
  <si>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</si>
  <si>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</si>
  <si>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</si>
  <si>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</si>
  <si>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</si>
  <si>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</si>
  <si>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</si>
  <si>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</si>
  <si>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</si>
  <si>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</si>
  <si>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</si>
  <si>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</si>
  <si>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</si>
  <si>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</si>
  <si>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</si>
  <si>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</si>
  <si>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</si>
  <si>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</si>
  <si>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</si>
  <si>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</si>
  <si>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</si>
  <si>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</si>
  <si>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</si>
  <si>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</si>
  <si>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</si>
  <si>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</si>
  <si>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</si>
  <si>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</si>
  <si>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</si>
  <si>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</si>
  <si>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</si>
  <si>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</si>
  <si>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</si>
  <si>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</si>
  <si>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</si>
  <si>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</si>
  <si>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</si>
  <si>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</si>
  <si>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</si>
  <si>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</si>
  <si>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</si>
  <si>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</si>
  <si>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</si>
  <si>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</si>
  <si>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</si>
  <si>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</si>
  <si>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</si>
  <si>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</si>
  <si>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</si>
  <si>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</si>
  <si>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</si>
  <si>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</si>
  <si>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</si>
  <si>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</si>
  <si>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</si>
  <si>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</si>
  <si>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</si>
  <si>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</si>
  <si>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</si>
  <si>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</si>
  <si>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</si>
  <si>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</si>
  <si>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</si>
  <si>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</si>
  <si>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</si>
  <si>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</si>
  <si>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</si>
  <si>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</si>
  <si>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</si>
  <si>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</si>
  <si>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</si>
  <si>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</si>
  <si>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</si>
  <si>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</si>
  <si>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</si>
  <si>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</si>
  <si>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</si>
  <si>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</si>
  <si>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</si>
  <si>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</si>
  <si>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</si>
  <si>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</si>
  <si>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</si>
  <si>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</si>
  <si>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</si>
  <si>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</si>
  <si>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</si>
  <si>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</si>
  <si>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</si>
  <si>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</si>
  <si>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</si>
  <si>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</si>
  <si>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</si>
  <si>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</si>
  <si>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</si>
  <si>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</si>
  <si>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</si>
  <si>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</si>
  <si>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</si>
  <si>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</si>
  <si>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</si>
  <si>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</si>
  <si>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</si>
  <si>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</si>
  <si>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</si>
  <si>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</si>
  <si>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</si>
  <si>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</si>
  <si>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</si>
  <si>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</si>
  <si>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</si>
  <si>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</si>
  <si>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</si>
  <si>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</si>
  <si>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</si>
  <si>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</si>
  <si>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</si>
  <si>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</si>
  <si>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</si>
  <si>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</si>
  <si>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</si>
  <si>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</si>
  <si>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</si>
  <si>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</si>
  <si>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</si>
  <si>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</si>
  <si>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</si>
  <si>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</si>
  <si>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</si>
  <si>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</si>
  <si>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</si>
  <si>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</si>
  <si>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</si>
  <si>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</si>
  <si>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</si>
  <si>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</si>
  <si>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</si>
  <si>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</si>
  <si>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</si>
  <si>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</si>
  <si>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</si>
  <si>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</si>
  <si>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</si>
  <si>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</si>
  <si>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</si>
  <si>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</si>
  <si>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</si>
  <si>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</si>
  <si>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</si>
  <si>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</si>
  <si>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</si>
  <si>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</si>
  <si>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</si>
  <si>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</si>
  <si>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</si>
  <si>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</si>
  <si>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</si>
  <si>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</si>
  <si>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</si>
  <si>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</si>
  <si>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</si>
  <si>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</si>
  <si>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</si>
  <si>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</si>
  <si>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</si>
  <si>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</si>
  <si>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</si>
  <si>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</si>
  <si>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</si>
  <si>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</si>
  <si>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</si>
  <si>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</si>
  <si>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</si>
  <si>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</si>
  <si>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</si>
  <si>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</si>
  <si>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</si>
  <si>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</si>
  <si>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</si>
  <si>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</si>
  <si>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</si>
  <si>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</si>
  <si>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</si>
  <si>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</si>
  <si>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</si>
  <si>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</si>
  <si>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</si>
  <si>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</si>
  <si>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</si>
  <si>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</si>
  <si>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</si>
  <si>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</si>
  <si>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</si>
  <si>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</si>
  <si>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</si>
  <si>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</si>
  <si>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</si>
  <si>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</si>
  <si>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</si>
  <si>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</si>
  <si>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</si>
  <si>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</si>
  <si>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</si>
  <si>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</si>
  <si>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</si>
  <si>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</si>
  <si>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</si>
  <si>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</si>
  <si>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</si>
  <si>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</si>
  <si>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</si>
  <si>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</si>
  <si>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</si>
  <si>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</si>
  <si>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</si>
  <si>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</si>
  <si>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</si>
  <si>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</si>
  <si>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</si>
  <si>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</si>
  <si>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</si>
  <si>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</si>
  <si>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</si>
  <si>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</si>
  <si>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</si>
  <si>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</si>
  <si>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</si>
  <si>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</si>
  <si>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</si>
  <si>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</si>
  <si>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</si>
  <si>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</si>
  <si>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</si>
  <si>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</si>
  <si>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</si>
  <si>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</si>
  <si>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</si>
  <si>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</si>
  <si>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</si>
  <si>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</si>
  <si>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</si>
  <si>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</si>
  <si>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</si>
  <si>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</si>
  <si>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</si>
  <si>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</si>
  <si>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</si>
  <si>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</si>
  <si>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</si>
  <si>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</si>
  <si>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</si>
  <si>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</si>
  <si>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</si>
  <si>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</si>
  <si>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</si>
  <si>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</si>
  <si>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</si>
  <si>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</si>
  <si>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</si>
  <si>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</si>
  <si>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</si>
  <si>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</si>
  <si>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</si>
  <si>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</si>
  <si>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</si>
  <si>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</si>
  <si>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</si>
  <si>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</si>
  <si>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</si>
  <si>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</si>
  <si>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</si>
  <si>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</si>
  <si>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</si>
  <si>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</si>
  <si>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</si>
  <si>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</si>
  <si>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</si>
  <si>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</si>
  <si>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</si>
  <si>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</si>
  <si>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</si>
  <si>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</si>
  <si>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</si>
  <si>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</si>
  <si>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</si>
  <si>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</si>
  <si>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</si>
  <si>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</si>
  <si>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</si>
  <si>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</si>
  <si>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</si>
  <si>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</si>
  <si>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</si>
  <si>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</si>
  <si>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</si>
  <si>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2019</t>
  </si>
  <si>
    <t>NY ENVIRONMENTAL PROTECTION &amp; SPILL REMEDIATION</t>
  </si>
  <si>
    <t>UTILITY ENVIRONMENTAL REGULATORY ACCOUNT</t>
  </si>
  <si>
    <t>COURTS SPECIAL GRANTS</t>
  </si>
  <si>
    <t>NYS SECURE CHOICE ADMIN</t>
  </si>
  <si>
    <t>FANTASY SPORTS ADMINISTRATION</t>
  </si>
  <si>
    <t>(**)   Pursuant to Section 93(b) of the State Finance Law</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</si>
  <si>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</si>
  <si>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</si>
  <si>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</si>
  <si>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</si>
  <si>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 xml:space="preserve">receipts from the metropolitan commuter transportation mobility tax will be paid into the metropolitan transportation  </t>
  </si>
  <si>
    <t xml:space="preserve">  70200-Comptroller's Refund Account  </t>
  </si>
  <si>
    <t>Mental Health Services Fund</t>
  </si>
  <si>
    <t xml:space="preserve">    PIT / ECET in excess of Revenue Bond Debt Service</t>
  </si>
  <si>
    <t>MTA Operating Assistance Fund</t>
  </si>
  <si>
    <t>Centralized Tech Services Account</t>
  </si>
  <si>
    <t xml:space="preserve">      Information Technology/Infrastructure for Behavioral Sciences</t>
  </si>
  <si>
    <t>NYC Assessment Account</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</si>
  <si>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</si>
  <si>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</si>
  <si>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</si>
  <si>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</si>
  <si>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</si>
  <si>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</si>
  <si>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</si>
  <si>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</si>
  <si>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</si>
  <si>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</si>
  <si>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</si>
  <si>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</si>
  <si>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</si>
  <si>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</si>
  <si>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</si>
  <si>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</si>
  <si>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</si>
  <si>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</si>
  <si>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</si>
  <si>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</si>
  <si>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</si>
  <si>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</si>
  <si>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</si>
  <si>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</si>
  <si>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</si>
  <si>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</si>
  <si>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</si>
  <si>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</si>
  <si>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</si>
  <si>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</si>
  <si>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</si>
  <si>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</si>
  <si>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</si>
  <si>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</si>
  <si>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</si>
  <si>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</si>
  <si>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</si>
  <si>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</si>
  <si>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</si>
  <si>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</si>
  <si>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</si>
  <si>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</si>
  <si>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</si>
  <si>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</si>
  <si>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</si>
  <si>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</si>
  <si>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</si>
  <si>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</si>
  <si>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See Footnotes </t>
  </si>
  <si>
    <t xml:space="preserve">  70050-70149-Sole Custody Investment (**)  </t>
  </si>
  <si>
    <t>(**) Includes Public Asset Fund resources:</t>
  </si>
  <si>
    <t xml:space="preserve">     Personal Income Tax:</t>
  </si>
  <si>
    <t>FISCAL YEAR 2019-2020</t>
  </si>
  <si>
    <t>2020</t>
  </si>
  <si>
    <t>APRIL 1, 2019</t>
  </si>
  <si>
    <t>DOL-CHILD PERFORMER PROTECTION ACCOUNT</t>
  </si>
  <si>
    <t>TRAINING, MANAGEMENT AND EVALUATION ACCOUNT</t>
  </si>
  <si>
    <t>CAMP SMITH BILLETING ACCOUNT</t>
  </si>
  <si>
    <t>NYS MEDICAL INDEMNITY FUND ACCOUNT</t>
  </si>
  <si>
    <t>Temporary Loans are authorized pursuant to Subdivision 5 of Section 4 of the State Finance Law and Chapter 59, Part TTT, Section 1, of the Laws of 2019-20.</t>
  </si>
  <si>
    <t xml:space="preserve">  21850-21899-Arts Capital Grants</t>
  </si>
  <si>
    <t>2019-2020</t>
  </si>
  <si>
    <t>FISCAL YEAR 2019-20</t>
  </si>
  <si>
    <t>2019-20</t>
  </si>
  <si>
    <t>NEW YORK STATE OF HEALTH</t>
  </si>
  <si>
    <t>NEW YORK STATE OF HEALTH ADMINISTRATION</t>
  </si>
  <si>
    <t xml:space="preserve">(*) Includes amounts appropriated in SFY 2019-20, as well as prior year appropriations that were reappropriated. </t>
  </si>
  <si>
    <t>5.</t>
  </si>
  <si>
    <t>(*)    Source: 2019-20 Enacted Financial Plan dated May 13, 2019.</t>
  </si>
  <si>
    <t xml:space="preserve">Part FF of Chapter 58 of the Laws of 2019 amended paragraphs (b-1) and (c-3) of subdivision two of section 503 </t>
  </si>
  <si>
    <t>(3,4)</t>
  </si>
  <si>
    <t>(amounts in millions)</t>
  </si>
  <si>
    <t xml:space="preserve">(amounts in millions)  </t>
  </si>
  <si>
    <t xml:space="preserve">(amounts in millions)        </t>
  </si>
  <si>
    <t xml:space="preserve">(amounts in millions)     </t>
  </si>
  <si>
    <t xml:space="preserve">(amounts in millions)    </t>
  </si>
  <si>
    <t>(amounts in thousands)</t>
  </si>
  <si>
    <t>Business Service Center Account</t>
  </si>
  <si>
    <t>Court Facilities Incentive Aid Fund</t>
  </si>
  <si>
    <t>Building Administration Account</t>
  </si>
  <si>
    <t>NYC County Courts Operating Account</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</si>
  <si>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</si>
  <si>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</si>
  <si>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</si>
  <si>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</si>
  <si>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 xml:space="preserve">of the vehicle and traffic law, article 29-a of the tax law, article 17-c of the vehicle and traffic law and section </t>
  </si>
  <si>
    <t xml:space="preserve">1166-a of the tax law, whereby the receipts from the various taxes and fees will be paid into the metropolitan </t>
  </si>
  <si>
    <t>of lease-purchase obligations that are used to finance a portion of the operating expenses for the Department</t>
  </si>
  <si>
    <t>Dedicated Highway &amp; Bridge Trust Fund</t>
  </si>
  <si>
    <t>Dedicated Mass Transportation - Railroad Account</t>
  </si>
  <si>
    <t>Dedicated Mass Transportation - Transit Authority Account</t>
  </si>
  <si>
    <t>Dedicated Mass Transportation - (Non-MTA)</t>
  </si>
  <si>
    <t>Federal Education Fund</t>
  </si>
  <si>
    <t>Federal Dept. of Health &amp; Human Services Fund</t>
  </si>
  <si>
    <t>Unemployment Insurance Administration Fund</t>
  </si>
  <si>
    <t>ROSWELL PARK COMPREHENSIVE CANCER CENTER</t>
  </si>
  <si>
    <t xml:space="preserve">transportation authority special assistance fund pursuant to statute but without appropriation. The activity is now </t>
  </si>
  <si>
    <t>CORR. FACILITIES CAPITAL CLOSURE</t>
  </si>
  <si>
    <t>1st Quarter</t>
  </si>
  <si>
    <t>APRIL - JUNE</t>
  </si>
  <si>
    <t xml:space="preserve">agree…state operating is </t>
  </si>
  <si>
    <t>Chemical Dependence Service Fund</t>
  </si>
  <si>
    <t xml:space="preserve">  Plan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</si>
  <si>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</si>
  <si>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t>
    </r>
  </si>
  <si>
    <t>(****)</t>
  </si>
  <si>
    <t xml:space="preserve">                                     STATE OPERATING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</si>
  <si>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</si>
  <si>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</si>
  <si>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</si>
  <si>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</si>
  <si>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reported in Schedule 4 as part of the MTA State Assistance fund group.</t>
  </si>
  <si>
    <t xml:space="preserve">  70093, 70095, 70300-70301-MTA State Assistance (*)  </t>
  </si>
  <si>
    <r>
      <t>Special Revenue Funds</t>
    </r>
    <r>
      <rPr>
        <sz val="9"/>
        <rFont val="Arial"/>
        <family val="2"/>
      </rPr>
      <t xml:space="preserve">  “Transfers To Other Funds” includes transfers to Mental Health Services </t>
    </r>
  </si>
  <si>
    <t xml:space="preserve">payments for patients residing in State-operated Health and Mental Hygiene facilities, the General  </t>
  </si>
  <si>
    <t xml:space="preserve">additional real estate transfer tax to residential property over $2 million, in cities with a population of over 1 million.  </t>
  </si>
  <si>
    <t>6.</t>
  </si>
  <si>
    <t>activity is now reported in Schedule 4 as part of the MTA State Assistance fund group.</t>
  </si>
  <si>
    <t>Part OOO of Chapter 59 of the Laws of 2019 added to and amended Tax Law Article 31.  Section 1402-b added an</t>
  </si>
  <si>
    <t xml:space="preserve">transportation fund pursuant to statute but without appropriation.  The result is that neither the surcharge nor the </t>
  </si>
  <si>
    <t>Part NNN of Chapter 59 of the Laws of 2018 added Tax Law, Article 29-C  on April 1, 2018, with collection of the</t>
  </si>
  <si>
    <t xml:space="preserve">for-hire congestion surcharge scheduled to begin on January 1, 2019.  Amounts collected will be paid into the NYC </t>
  </si>
  <si>
    <t xml:space="preserve">related disbursements to MTA are recorded in State Funds.  The for-hire congestion surcharge activity is reported in </t>
  </si>
  <si>
    <t>Schedule 4 as part of the MTA State Assistance fund group.</t>
  </si>
  <si>
    <t>Housing Debt Service Fund</t>
  </si>
  <si>
    <t>Unemployment Insurance, Interest &amp; Penalty</t>
  </si>
  <si>
    <t xml:space="preserve">DEDICATED INFRASTRUCTURE INVESTMENT FUND(*)   </t>
  </si>
  <si>
    <t>(*)    Fund created pursuant to Chapter 60, Laws of 2015-16, Part H and SFL § 93-b</t>
  </si>
  <si>
    <t xml:space="preserve">Section 1421(b) of the tax law was amended directing these taxes be remitted to the MTA pursuant to statute but </t>
  </si>
  <si>
    <t xml:space="preserve">FISCAL YEAR 2019-2020   </t>
  </si>
  <si>
    <t xml:space="preserve">   Debt Service, Including Payments on</t>
  </si>
  <si>
    <t>2nd Quarter</t>
  </si>
  <si>
    <t>JULY - SEPTEMBER</t>
  </si>
  <si>
    <t>A portion of Personal Income Tax receipts is transferred to the State Special Revenue School Tax Relief (STAR)</t>
  </si>
  <si>
    <t>Fund to be used to reimburse school districts for the STAR property tax exemptions for homeowners and payments</t>
  </si>
  <si>
    <t>7.</t>
  </si>
  <si>
    <t>November 30, 2019</t>
  </si>
  <si>
    <t>DEBT ISSUED (*)</t>
  </si>
  <si>
    <t>(*) Includes the net effect of the October 2019 refunding transaction of $914,300,000, which was used to refund $888,520,000 of previously issued general obligation bonds.</t>
  </si>
  <si>
    <t>Training and Education Program on OSHA</t>
  </si>
  <si>
    <t>Federal Employment &amp; Training Grants</t>
  </si>
  <si>
    <t>Environmental Protection Fund</t>
  </si>
  <si>
    <t xml:space="preserve">      Health Care / Hospital Initiatives (***)</t>
  </si>
  <si>
    <t>December 31, 2019</t>
  </si>
  <si>
    <t>(***)   November and December disbursement amounts include repayment of a loan pursuant to Public Health Law §2815.</t>
  </si>
  <si>
    <t>State Funds. This activity is reported in Schedule 4 as part of the MTA State Assistance fund group.</t>
  </si>
  <si>
    <t xml:space="preserve">without appropriation.  The result is that neither the tax nor the related disbursements to the MTA are recorded in </t>
  </si>
  <si>
    <t>Business &amp; Licensing Services Account</t>
  </si>
  <si>
    <t>HESC Insurance Premium Account</t>
  </si>
  <si>
    <t xml:space="preserve">Workers Comp Account </t>
  </si>
  <si>
    <t>Public Service Account</t>
  </si>
  <si>
    <t>System and Technology Account</t>
  </si>
  <si>
    <t>Patron Services Account</t>
  </si>
  <si>
    <t>State Lottery Fund</t>
  </si>
  <si>
    <t>Encon Special Revenue</t>
  </si>
  <si>
    <t>MTA Operating Assistance</t>
  </si>
  <si>
    <t>Federal Operating Grants Fund</t>
  </si>
  <si>
    <t xml:space="preserve">  50650-50699-Unemployment Insurance</t>
  </si>
  <si>
    <t xml:space="preserve">FISCAL YEAR 2019-2020 </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</si>
  <si>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</si>
  <si>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</si>
  <si>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</si>
  <si>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</si>
  <si>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</si>
  <si>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</si>
  <si>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</si>
  <si>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</si>
  <si>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</si>
  <si>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</si>
  <si>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</si>
  <si>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</si>
  <si>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</si>
  <si>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</si>
  <si>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</si>
  <si>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</si>
  <si>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</si>
  <si>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</si>
  <si>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</si>
  <si>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</si>
  <si>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</si>
  <si>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</si>
  <si>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</si>
  <si>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</si>
  <si>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</si>
  <si>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</si>
  <si>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</si>
  <si>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</si>
  <si>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</si>
  <si>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</si>
  <si>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</si>
  <si>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</si>
  <si>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</si>
  <si>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</si>
  <si>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</si>
  <si>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</si>
  <si>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</si>
  <si>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</si>
  <si>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</si>
  <si>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</si>
  <si>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</si>
  <si>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</si>
  <si>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</si>
  <si>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</si>
  <si>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</si>
  <si>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</si>
  <si>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</si>
  <si>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</si>
  <si>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</si>
  <si>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</si>
  <si>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January 31, 2020</t>
  </si>
  <si>
    <t>Non-Institutional &amp; Other</t>
  </si>
  <si>
    <t xml:space="preserve">Non-Institutional &amp; Other </t>
  </si>
  <si>
    <t>3rd Quarter</t>
  </si>
  <si>
    <t>OCTOBER - DECEMBER</t>
  </si>
  <si>
    <t xml:space="preserve">to homeowners for the STAR Property Rebate Program.  School Tax Relief payments were ($2,149.1m)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</si>
  <si>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</si>
  <si>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</si>
  <si>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</si>
  <si>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</si>
  <si>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</si>
  <si>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</si>
  <si>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</si>
  <si>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</si>
  <si>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Indigent Legal Services</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</si>
  <si>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</si>
  <si>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</si>
  <si>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</si>
  <si>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</si>
  <si>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</si>
  <si>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</si>
  <si>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</si>
  <si>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</si>
  <si>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</si>
  <si>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</si>
  <si>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</si>
  <si>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Recruitment Incentive Fund</t>
  </si>
  <si>
    <t>Federal USDA/Food and Nutrition Services Fund</t>
  </si>
  <si>
    <t>State Police Motor Vehicle Law Enforcement Fund</t>
  </si>
  <si>
    <t xml:space="preserve">    Department of Health regularly reclassifies spending between programs,  </t>
  </si>
  <si>
    <t>FEB. 2020</t>
  </si>
  <si>
    <t>11 MOS. ENDED</t>
  </si>
  <si>
    <t>FEB. 2019</t>
  </si>
  <si>
    <t>FEB. 28, 2019</t>
  </si>
  <si>
    <t>February 2020</t>
  </si>
  <si>
    <t>FOR THE MONTH OF FEBRUARY 2020</t>
  </si>
  <si>
    <t>FEBRUARY 1, 2020</t>
  </si>
  <si>
    <t>11 MONTHS ENDED</t>
  </si>
  <si>
    <t>11 MONTHS ENDED FEBRUARY 29</t>
  </si>
  <si>
    <t>FEBRUARY 29, 2020</t>
  </si>
  <si>
    <t>11 Months Ended February 29</t>
  </si>
  <si>
    <t>FOR ELEVEN MONTHS ENDED FEBRUARY 29, 2020</t>
  </si>
  <si>
    <t>Fund Balances (Deficits) at February 29, 2020</t>
  </si>
  <si>
    <t>FEB. 29, 2020</t>
  </si>
  <si>
    <t>February 29, 2020</t>
  </si>
  <si>
    <t>FEBRUARY 2020</t>
  </si>
  <si>
    <t>FEBRUARY 2019</t>
  </si>
  <si>
    <t>11 Months Ended</t>
  </si>
  <si>
    <t xml:space="preserve">FOR THE ELEVEN MONTHS ENDED FEBRUARY 29, 2020     </t>
  </si>
  <si>
    <t>(**)   Source: 2020-21 Executive Budget with 30-day amendments dated February 24, 2020.</t>
  </si>
  <si>
    <t xml:space="preserve">   Vapor Excise Tax</t>
  </si>
  <si>
    <t xml:space="preserve">As of February 29, 2020, $9,503,035.46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</si>
  <si>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February</t>
  </si>
  <si>
    <t>NYC Personal Care Workforce Recruitment and Retention Rates (HCRA)</t>
  </si>
  <si>
    <t>Personal Care Workforce Recruitment and Retention Rates (HCRA)</t>
  </si>
  <si>
    <t>Home Health Rate Increase (HCRA)</t>
  </si>
  <si>
    <t>Patient Centered Medical Homes</t>
  </si>
  <si>
    <t>Additional DSH Payments SUNY</t>
  </si>
  <si>
    <t xml:space="preserve">the current fiscal quarter.  As of February 29, 2020 - pursuant to a certification of the Budget Director - </t>
  </si>
  <si>
    <t>as of February 29, 2020.</t>
  </si>
  <si>
    <t>the reserve amount is ($91.2m), which was funded by a transfer from the General Fund.</t>
  </si>
  <si>
    <t xml:space="preserve">operated health, mental hygiene and State University facilities to Debt Service funds ($9.7m), and  </t>
  </si>
  <si>
    <t xml:space="preserve">the State University Income Fund ($282.8m). </t>
  </si>
  <si>
    <t xml:space="preserve">Fund and Department of Health Income Fund ($1,387.8m) representing the federal share of Medicaid </t>
  </si>
  <si>
    <t>Capital Projects Fund ($80.3m), State Capital Projects Fund ($4.0m) and All Other Capital Projects ($101.3m).</t>
  </si>
  <si>
    <t>Criminal Justice Improvement Account</t>
  </si>
  <si>
    <t>Legal Services Assist Account</t>
  </si>
  <si>
    <t xml:space="preserve">of Health ($143.0m). </t>
  </si>
  <si>
    <r>
      <t>Capital Projects Funds</t>
    </r>
    <r>
      <rPr>
        <sz val="9"/>
        <rFont val="Arial"/>
        <family val="2"/>
      </rPr>
      <t xml:space="preserve"> “Transfers To Other Funds” includes transfers to the General Fund ($62.8m),</t>
    </r>
  </si>
  <si>
    <t xml:space="preserve"> the General Debt Service Fund - Lease Purchase ($471.8m), and the Revenue Bond Tax Fund ($272.4m).</t>
  </si>
  <si>
    <t>Health Insurance Revolving Fund</t>
  </si>
  <si>
    <t>NY Central Business District Trust Fund</t>
  </si>
  <si>
    <t>Debt Services Fund ($43.8m), Medicaid Management Information System Escrow Fund ($57.3m), SUNY</t>
  </si>
  <si>
    <t>Motor Vehicle Theft &amp; Insurance Fraud Account</t>
  </si>
  <si>
    <t>11 Months Ended February 29, 2020 (**)</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</si>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</sst>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21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9"/>
      <name val="Arial"/>
      <family val="2"/>
    </font>
    <font>
      <b/>
      <sz val="12"/>
      <name val="Arial"/>
      <family val="2"/>
    </font>
    <font>
      <sz val="9"/>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0"/>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5" fillId="0" borderId="0"/>
    <xf numFmtId="0" fontId="43" fillId="0" borderId="97" applyNumberFormat="0" applyFont="0" applyBorder="0">
      <alignment horizontal="right"/>
    </xf>
    <xf numFmtId="0" fontId="199" fillId="0" borderId="0" applyFill="0"/>
    <xf numFmtId="0" fontId="42" fillId="0" borderId="0" applyNumberFormat="0" applyFont="0" applyBorder="0" applyAlignment="0"/>
    <xf numFmtId="0" fontId="200" fillId="0" borderId="0" applyFill="0">
      <alignment horizontal="left" indent="1"/>
    </xf>
    <xf numFmtId="44" fontId="195" fillId="0" borderId="0" applyFont="0" applyFill="0" applyBorder="0" applyAlignment="0" applyProtection="0"/>
    <xf numFmtId="43" fontId="195"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62">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89"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1" fontId="113"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165" fontId="163"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164" fontId="168" fillId="0" borderId="0" xfId="1940" applyNumberFormat="1" applyFont="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4" fontId="169" fillId="0" borderId="66" xfId="1940" applyNumberFormat="1" applyFont="1" applyBorder="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7" fillId="0" borderId="0" xfId="1798" applyFont="1"/>
    <xf numFmtId="188" fontId="49" fillId="0" borderId="0" xfId="1798" applyNumberFormat="1" applyFont="1" applyBorder="1" applyAlignment="1"/>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7"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1" fillId="0" borderId="0" xfId="1940" applyNumberFormat="1" applyFont="1" applyAlignment="1"/>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69"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64" fontId="63" fillId="0" borderId="66" xfId="0" applyNumberFormat="1" applyFont="1" applyBorder="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64" fontId="61" fillId="0" borderId="66" xfId="1940" applyNumberFormat="1" applyFont="1" applyBorder="1" applyAlignment="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164" fontId="169" fillId="0" borderId="0" xfId="0" applyNumberFormat="1" applyFont="1" applyBorder="1" applyAlignment="1" applyProtection="1"/>
    <xf numFmtId="164" fontId="169" fillId="0" borderId="66" xfId="0" applyNumberFormat="1" applyFon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4" fontId="169" fillId="0" borderId="0" xfId="1940"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70" fontId="37" fillId="0" borderId="66" xfId="0" quotePrefix="1" applyNumberFormat="1" applyFont="1" applyFill="1" applyBorder="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77" fontId="61" fillId="0" borderId="0" xfId="1776" quotePrefix="1"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59" fillId="0" borderId="66" xfId="2" applyNumberFormat="1" applyFont="1" applyFill="1" applyBorder="1" applyAlignment="1">
      <alignment horizontal="center"/>
    </xf>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200" fontId="37" fillId="0" borderId="66" xfId="1940" applyNumberFormat="1" applyFont="1" applyBorder="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66"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7" fillId="0" borderId="0" xfId="2" applyNumberFormat="1" applyFont="1" applyAlignment="1" applyProtection="1">
      <alignment horizontal="left"/>
    </xf>
    <xf numFmtId="165" fontId="88" fillId="0" borderId="0" xfId="2" applyNumberFormat="1" applyFont="1" applyAlignment="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9" fillId="0" borderId="0" xfId="2" applyNumberFormat="1" applyFont="1" applyAlignment="1" applyProtection="1"/>
    <xf numFmtId="0" fontId="38" fillId="0" borderId="0" xfId="2" applyNumberFormat="1" applyFont="1" applyAlignment="1" applyProtection="1">
      <alignment horizontal="right"/>
    </xf>
    <xf numFmtId="165" fontId="87" fillId="0" borderId="0" xfId="2" applyNumberFormat="1" applyFont="1" applyFill="1" applyAlignment="1" applyProtection="1"/>
    <xf numFmtId="0" fontId="80" fillId="0" borderId="0" xfId="2" applyNumberFormat="1" applyFont="1" applyFill="1" applyAlignment="1" applyProtection="1"/>
    <xf numFmtId="0" fontId="66" fillId="0" borderId="0" xfId="2" applyNumberFormat="1" applyFont="1" applyAlignment="1" applyProtection="1">
      <alignment horizontal="left"/>
    </xf>
    <xf numFmtId="165" fontId="87" fillId="0" borderId="0" xfId="2" applyNumberFormat="1" applyFont="1" applyFill="1" applyAlignment="1" applyProtection="1">
      <alignment horizontal="centerContinuous"/>
    </xf>
    <xf numFmtId="0" fontId="91" fillId="0" borderId="0" xfId="2" applyNumberFormat="1" applyFont="1" applyAlignment="1" applyProtection="1">
      <alignment horizontal="left"/>
    </xf>
    <xf numFmtId="165" fontId="92" fillId="0" borderId="0" xfId="2" applyNumberFormat="1" applyFont="1" applyAlignment="1" applyProtection="1"/>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0"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7"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5" fillId="0" borderId="0" xfId="2" applyNumberFormat="1" applyFont="1" applyAlignment="1" applyProtection="1"/>
    <xf numFmtId="166" fontId="37" fillId="0" borderId="0" xfId="2" applyNumberFormat="1" applyFont="1" applyFill="1" applyBorder="1" applyProtection="1"/>
    <xf numFmtId="0" fontId="165" fillId="0" borderId="0" xfId="2" applyFont="1" applyFill="1" applyProtection="1"/>
    <xf numFmtId="0" fontId="165"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2" fillId="0" borderId="0" xfId="2" applyFont="1" applyAlignment="1" applyProtection="1"/>
    <xf numFmtId="174" fontId="44" fillId="0" borderId="81" xfId="2" applyNumberFormat="1" applyFont="1" applyFill="1" applyBorder="1" applyProtection="1"/>
    <xf numFmtId="0" fontId="82"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2" fillId="0" borderId="0" xfId="2" quotePrefix="1" applyNumberFormat="1" applyFont="1" applyAlignment="1" applyProtection="1">
      <alignment horizontal="left"/>
    </xf>
    <xf numFmtId="166" fontId="82"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4" fillId="0" borderId="0" xfId="841" applyFont="1" applyAlignment="1" applyProtection="1">
      <alignment horizontal="right"/>
    </xf>
    <xf numFmtId="0" fontId="82" fillId="0" borderId="0" xfId="1028" applyFont="1" applyAlignment="1" applyProtection="1">
      <alignment horizontal="right"/>
    </xf>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0" fontId="148"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10"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0" xfId="2" quotePrefix="1" applyNumberFormat="1" applyFont="1" applyFill="1" applyBorder="1" applyAlignment="1">
      <alignment horizontal="center"/>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20" xfId="2" applyNumberFormat="1" applyFont="1" applyFill="1" applyBorder="1" applyAlignment="1"/>
    <xf numFmtId="174" fontId="66" fillId="0" borderId="18"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61" fillId="0" borderId="20"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0" xfId="2" applyNumberFormat="1" applyFont="1" applyFill="1" applyAlignment="1"/>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177" fontId="61" fillId="0" borderId="0" xfId="1776" applyNumberFormat="1" applyFont="1" applyFill="1" applyBorder="1" applyAlignment="1">
      <alignment horizontal="right"/>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81" fontId="44" fillId="0" borderId="0" xfId="1776" quotePrefix="1" applyNumberFormat="1" applyFont="1" applyFill="1" applyAlignment="1">
      <alignment horizontal="left" vertical="distributed" wrapText="1"/>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74" fontId="66" fillId="0" borderId="35" xfId="2" applyNumberFormat="1"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81" fontId="44" fillId="0" borderId="0" xfId="1776" quotePrefix="1" applyNumberFormat="1" applyFont="1" applyAlignment="1">
      <alignment horizontal="left" vertical="distributed" wrapText="1"/>
    </xf>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0" fontId="191" fillId="0" borderId="0" xfId="8" applyFont="1" applyFill="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49" fillId="0" borderId="0" xfId="8" applyFont="1" applyFill="1" applyAlignment="1">
      <alignment vertical="top"/>
    </xf>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70" fontId="44" fillId="0" borderId="10" xfId="2" applyNumberFormat="1" applyFont="1" applyFill="1" applyBorder="1" applyAlignment="1" applyProtection="1">
      <alignment horizontal="right"/>
    </xf>
    <xf numFmtId="164" fontId="65" fillId="0" borderId="0" xfId="2" applyNumberFormat="1" applyFont="1" applyAlignment="1"/>
    <xf numFmtId="170" fontId="192"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0" fontId="193" fillId="0" borderId="0" xfId="0" applyNumberFormat="1" applyFont="1"/>
    <xf numFmtId="0" fontId="49" fillId="0" borderId="0" xfId="0" applyNumberFormat="1" applyFont="1" applyAlignment="1">
      <alignment horizontal="left" vertical="top"/>
    </xf>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43" fontId="42" fillId="0" borderId="10" xfId="0" applyNumberFormat="1" applyFont="1" applyBorder="1"/>
    <xf numFmtId="0" fontId="49" fillId="0" borderId="0" xfId="0" applyNumberFormat="1" applyFont="1"/>
    <xf numFmtId="43" fontId="37" fillId="0" borderId="0" xfId="9049" applyFont="1" applyFill="1" applyAlignment="1" applyProtection="1">
      <alignment horizontal="right"/>
    </xf>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164" fontId="42" fillId="0" borderId="10" xfId="0" applyFont="1" applyBorder="1" applyAlignment="1">
      <alignment horizontal="left" indent="1"/>
    </xf>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4" fillId="0" borderId="0" xfId="8" applyFont="1" applyAlignment="1">
      <alignment horizontal="left"/>
    </xf>
    <xf numFmtId="191" fontId="194" fillId="0" borderId="0" xfId="8" applyNumberFormat="1" applyFont="1" applyAlignment="1">
      <alignment horizontal="right"/>
    </xf>
    <xf numFmtId="0" fontId="194" fillId="0" borderId="0" xfId="8" applyFont="1"/>
    <xf numFmtId="170" fontId="37" fillId="0" borderId="0" xfId="0" applyNumberFormat="1" applyFont="1" applyAlignment="1">
      <alignment horizontal="right"/>
    </xf>
    <xf numFmtId="0" fontId="35" fillId="0" borderId="0" xfId="25863" applyFont="1" applyBorder="1" applyAlignment="1">
      <alignment horizontal="left"/>
    </xf>
    <xf numFmtId="0" fontId="195" fillId="0" borderId="0" xfId="25863"/>
    <xf numFmtId="0" fontId="42" fillId="0" borderId="0" xfId="25863" applyFont="1"/>
    <xf numFmtId="0" fontId="196" fillId="0" borderId="0" xfId="25863" applyFont="1" applyBorder="1" applyAlignment="1">
      <alignment horizontal="left"/>
    </xf>
    <xf numFmtId="0" fontId="195" fillId="0" borderId="0" xfId="25863" applyFill="1"/>
    <xf numFmtId="0" fontId="197" fillId="0" borderId="0" xfId="25863" applyFont="1" applyFill="1" applyAlignment="1">
      <alignment horizontal="left"/>
    </xf>
    <xf numFmtId="0" fontId="197" fillId="0" borderId="0" xfId="25863" applyFont="1" applyFill="1" applyBorder="1" applyAlignment="1">
      <alignment horizontal="left"/>
    </xf>
    <xf numFmtId="7" fontId="195" fillId="0" borderId="0" xfId="25863" applyNumberFormat="1" applyFill="1"/>
    <xf numFmtId="0" fontId="196" fillId="0" borderId="0" xfId="25863" applyFont="1" applyAlignment="1">
      <alignment horizontal="left"/>
    </xf>
    <xf numFmtId="0" fontId="197" fillId="0" borderId="0" xfId="25863" applyFont="1" applyAlignment="1">
      <alignment horizontal="left"/>
    </xf>
    <xf numFmtId="0" fontId="197" fillId="0" borderId="0" xfId="25863" applyFont="1" applyBorder="1" applyAlignment="1">
      <alignment horizontal="left"/>
    </xf>
    <xf numFmtId="7" fontId="195" fillId="0" borderId="0" xfId="25863" applyNumberFormat="1"/>
    <xf numFmtId="0" fontId="198" fillId="0" borderId="0" xfId="25863" quotePrefix="1" applyNumberFormat="1" applyFont="1" applyAlignment="1">
      <alignment horizontal="left"/>
    </xf>
    <xf numFmtId="0" fontId="66" fillId="0" borderId="0" xfId="25863" quotePrefix="1" applyNumberFormat="1" applyFont="1" applyAlignment="1">
      <alignment horizontal="left"/>
    </xf>
    <xf numFmtId="0" fontId="38" fillId="0" borderId="0" xfId="25863" quotePrefix="1" applyNumberFormat="1" applyFont="1" applyAlignment="1">
      <alignment horizontal="left"/>
    </xf>
    <xf numFmtId="0" fontId="0" fillId="0" borderId="0" xfId="25864" applyFont="1" applyBorder="1">
      <alignment horizontal="right"/>
    </xf>
    <xf numFmtId="0" fontId="42" fillId="0" borderId="0" xfId="25864" applyFont="1" applyBorder="1">
      <alignment horizontal="right"/>
    </xf>
    <xf numFmtId="0" fontId="0" fillId="0" borderId="0" xfId="25866" applyFont="1"/>
    <xf numFmtId="0" fontId="42" fillId="0" borderId="0" xfId="25866" applyFont="1"/>
    <xf numFmtId="0" fontId="42" fillId="0" borderId="0" xfId="25866" applyFont="1" applyBorder="1"/>
    <xf numFmtId="44" fontId="42" fillId="0" borderId="0" xfId="25864" applyNumberFormat="1" applyFont="1" applyBorder="1">
      <alignment horizontal="right"/>
    </xf>
    <xf numFmtId="0" fontId="110" fillId="0" borderId="0" xfId="25863" applyFont="1" applyBorder="1" applyAlignment="1">
      <alignment horizontal="left"/>
    </xf>
    <xf numFmtId="44" fontId="42" fillId="0" borderId="0" xfId="25863" applyNumberFormat="1" applyFont="1"/>
    <xf numFmtId="0" fontId="148" fillId="0" borderId="0" xfId="25872" applyFont="1" applyBorder="1"/>
    <xf numFmtId="171" fontId="110" fillId="0" borderId="0" xfId="25863" applyNumberFormat="1" applyFont="1" applyBorder="1" applyAlignment="1">
      <alignment horizontal="left"/>
    </xf>
    <xf numFmtId="171" fontId="42" fillId="0" borderId="0" xfId="25863" applyNumberFormat="1" applyFont="1"/>
    <xf numFmtId="7" fontId="42" fillId="0" borderId="0" xfId="25863" applyNumberFormat="1" applyFont="1"/>
    <xf numFmtId="0" fontId="167" fillId="0" borderId="0" xfId="25863" applyFont="1" applyBorder="1" applyAlignment="1">
      <alignment horizontal="left"/>
    </xf>
    <xf numFmtId="43" fontId="167" fillId="0" borderId="0" xfId="25869" applyFont="1" applyBorder="1" applyAlignment="1">
      <alignment horizontal="left"/>
    </xf>
    <xf numFmtId="0" fontId="148" fillId="0" borderId="0" xfId="25863" applyFont="1" applyBorder="1" applyAlignment="1">
      <alignment horizontal="left"/>
    </xf>
    <xf numFmtId="0" fontId="37" fillId="0" borderId="0" xfId="25863" applyFont="1"/>
    <xf numFmtId="7" fontId="44" fillId="0" borderId="0" xfId="25863" applyNumberFormat="1" applyFont="1" applyBorder="1" applyAlignment="1">
      <alignment horizontal="center"/>
    </xf>
    <xf numFmtId="7" fontId="37" fillId="0" borderId="0" xfId="25863" applyNumberFormat="1" applyFont="1"/>
    <xf numFmtId="0" fontId="201" fillId="0" borderId="0" xfId="25863" applyFont="1" applyBorder="1" applyAlignment="1">
      <alignment horizontal="center"/>
    </xf>
    <xf numFmtId="0" fontId="201" fillId="0" borderId="0" xfId="25863" applyFont="1" applyFill="1" applyBorder="1" applyAlignment="1">
      <alignment horizontal="center" wrapText="1"/>
    </xf>
    <xf numFmtId="0" fontId="44" fillId="0" borderId="0" xfId="25865" applyFont="1"/>
    <xf numFmtId="0" fontId="37" fillId="0" borderId="0" xfId="25864" applyFont="1" applyBorder="1">
      <alignment horizontal="right"/>
    </xf>
    <xf numFmtId="37" fontId="148" fillId="0" borderId="0" xfId="25864" applyNumberFormat="1" applyFont="1" applyBorder="1">
      <alignment horizontal="right"/>
    </xf>
    <xf numFmtId="37" fontId="37" fillId="0" borderId="0" xfId="25864" applyNumberFormat="1" applyFont="1" applyBorder="1">
      <alignment horizontal="right"/>
    </xf>
    <xf numFmtId="0" fontId="48" fillId="0" borderId="0" xfId="25866" applyFont="1" applyBorder="1" applyAlignment="1">
      <alignment horizontal="left"/>
    </xf>
    <xf numFmtId="0" fontId="37" fillId="0" borderId="0" xfId="25866" applyFont="1"/>
    <xf numFmtId="44" fontId="37" fillId="0" borderId="0" xfId="25868" applyFont="1" applyBorder="1"/>
    <xf numFmtId="44" fontId="44" fillId="0" borderId="0" xfId="25868" applyFont="1" applyBorder="1"/>
    <xf numFmtId="43" fontId="37" fillId="0" borderId="0" xfId="25869" applyNumberFormat="1" applyFont="1" applyBorder="1"/>
    <xf numFmtId="43" fontId="37" fillId="0" borderId="0" xfId="25870" applyNumberFormat="1" applyFont="1" applyBorder="1"/>
    <xf numFmtId="43" fontId="44" fillId="0" borderId="0" xfId="25870" applyNumberFormat="1" applyFont="1" applyBorder="1"/>
    <xf numFmtId="0" fontId="37" fillId="0" borderId="0" xfId="25866" applyFont="1" applyBorder="1" applyAlignment="1">
      <alignment horizontal="left"/>
    </xf>
    <xf numFmtId="0" fontId="165" fillId="0" borderId="0" xfId="25866" applyFont="1"/>
    <xf numFmtId="43" fontId="44" fillId="0" borderId="0" xfId="25870" applyNumberFormat="1" applyFont="1" applyFill="1" applyBorder="1"/>
    <xf numFmtId="0" fontId="44" fillId="0" borderId="0" xfId="25871" applyFont="1"/>
    <xf numFmtId="43" fontId="44" fillId="0" borderId="103" xfId="25868" applyNumberFormat="1" applyFont="1" applyBorder="1" applyAlignment="1">
      <alignment horizontal="right"/>
    </xf>
    <xf numFmtId="44" fontId="44" fillId="0" borderId="0" xfId="25868" applyNumberFormat="1" applyFont="1" applyBorder="1" applyAlignment="1">
      <alignment horizontal="right"/>
    </xf>
    <xf numFmtId="44" fontId="148" fillId="0" borderId="0" xfId="25863" applyNumberFormat="1" applyFont="1" applyBorder="1" applyAlignment="1">
      <alignment horizontal="left"/>
    </xf>
    <xf numFmtId="44" fontId="37" fillId="0" borderId="0" xfId="25863" applyNumberFormat="1" applyFont="1"/>
    <xf numFmtId="44" fontId="48" fillId="0" borderId="0" xfId="25872" applyNumberFormat="1" applyFont="1" applyBorder="1" applyAlignment="1">
      <alignment horizontal="left"/>
    </xf>
    <xf numFmtId="44" fontId="37" fillId="0" borderId="0" xfId="25872" applyNumberFormat="1" applyFont="1" applyBorder="1"/>
    <xf numFmtId="44" fontId="44" fillId="0" borderId="87" xfId="25868" applyNumberFormat="1" applyFont="1" applyBorder="1"/>
    <xf numFmtId="44" fontId="44" fillId="0" borderId="87" xfId="25874" applyNumberFormat="1" applyFont="1" applyBorder="1"/>
    <xf numFmtId="44" fontId="44" fillId="0" borderId="0" xfId="25874" applyNumberFormat="1" applyFont="1" applyBorder="1"/>
    <xf numFmtId="0" fontId="66" fillId="0" borderId="0" xfId="25863" applyFont="1" applyFill="1"/>
    <xf numFmtId="0" fontId="66" fillId="0" borderId="0" xfId="25863" applyFont="1" applyFill="1" applyAlignment="1">
      <alignment horizontal="right"/>
    </xf>
    <xf numFmtId="0" fontId="48" fillId="0" borderId="0" xfId="25863" applyFont="1" applyBorder="1" applyAlignment="1">
      <alignment horizontal="left"/>
    </xf>
    <xf numFmtId="0" fontId="203" fillId="0" borderId="0" xfId="25863" applyFont="1" applyBorder="1" applyAlignment="1">
      <alignment horizontal="left"/>
    </xf>
    <xf numFmtId="0" fontId="204" fillId="0" borderId="0" xfId="25863" applyFont="1" applyBorder="1" applyAlignment="1">
      <alignment horizontal="center"/>
    </xf>
    <xf numFmtId="0" fontId="148" fillId="0" borderId="0" xfId="25864" applyFont="1" applyBorder="1">
      <alignment horizontal="right"/>
    </xf>
    <xf numFmtId="7" fontId="37" fillId="0" borderId="0" xfId="25864" applyNumberFormat="1" applyFont="1" applyBorder="1">
      <alignment horizontal="right"/>
    </xf>
    <xf numFmtId="44" fontId="37" fillId="0" borderId="0" xfId="25874" applyNumberFormat="1" applyFont="1" applyBorder="1"/>
    <xf numFmtId="43" fontId="44" fillId="0" borderId="103" xfId="25874" applyNumberFormat="1" applyFont="1" applyBorder="1" applyAlignment="1">
      <alignment horizontal="right"/>
    </xf>
    <xf numFmtId="43" fontId="44" fillId="0" borderId="0" xfId="25874" applyNumberFormat="1" applyFont="1" applyBorder="1" applyAlignment="1">
      <alignment horizontal="right"/>
    </xf>
    <xf numFmtId="0" fontId="203" fillId="0" borderId="0" xfId="25863" applyFont="1" applyBorder="1"/>
    <xf numFmtId="43" fontId="148" fillId="0" borderId="0" xfId="25863" applyNumberFormat="1" applyFont="1" applyBorder="1" applyAlignment="1">
      <alignment horizontal="left"/>
    </xf>
    <xf numFmtId="43" fontId="37" fillId="0" borderId="0" xfId="25863" applyNumberFormat="1" applyFont="1"/>
    <xf numFmtId="37" fontId="48" fillId="0" borderId="0" xfId="25872" applyNumberFormat="1" applyFont="1" applyBorder="1" applyAlignment="1">
      <alignment horizontal="left"/>
    </xf>
    <xf numFmtId="37" fontId="37" fillId="0" borderId="0" xfId="25872" applyNumberFormat="1" applyFont="1" applyBorder="1"/>
    <xf numFmtId="0" fontId="37" fillId="0" borderId="0" xfId="25866" applyFont="1" applyFill="1" applyBorder="1" applyAlignment="1">
      <alignment horizontal="left"/>
    </xf>
    <xf numFmtId="200" fontId="37" fillId="0" borderId="0" xfId="2" applyNumberFormat="1" applyFont="1" applyFill="1" applyAlignment="1" applyProtection="1"/>
    <xf numFmtId="0" fontId="37" fillId="0" borderId="0" xfId="2" applyFont="1" applyFill="1" applyAlignment="1">
      <alignment horizontal="left"/>
    </xf>
    <xf numFmtId="37" fontId="37" fillId="0" borderId="0" xfId="2" applyNumberFormat="1" applyFont="1" applyFill="1" applyAlignment="1">
      <alignment horizontal="center"/>
    </xf>
    <xf numFmtId="44" fontId="110" fillId="0" borderId="87" xfId="25862" applyFont="1" applyBorder="1"/>
    <xf numFmtId="43" fontId="195" fillId="0" borderId="0" xfId="25863" applyNumberFormat="1"/>
    <xf numFmtId="0" fontId="167" fillId="0" borderId="0" xfId="25863" applyFont="1" applyBorder="1" applyAlignment="1">
      <alignment horizontal="left" vertical="top" wrapText="1"/>
    </xf>
    <xf numFmtId="0" fontId="167" fillId="0" borderId="0" xfId="25872" applyFont="1" applyBorder="1" applyAlignment="1">
      <alignment horizontal="left" wrapText="1"/>
    </xf>
    <xf numFmtId="166" fontId="194" fillId="0" borderId="0" xfId="8" applyNumberFormat="1" applyFont="1" applyFill="1" applyAlignment="1">
      <alignment horizontal="right" vertical="top"/>
    </xf>
    <xf numFmtId="0" fontId="207" fillId="0" borderId="0" xfId="25863" applyFont="1" applyBorder="1" applyAlignment="1">
      <alignment horizontal="left" vertical="top"/>
    </xf>
    <xf numFmtId="0" fontId="167" fillId="0" borderId="0" xfId="25863" applyFont="1" applyBorder="1" applyAlignment="1">
      <alignment horizontal="left" vertical="top"/>
    </xf>
    <xf numFmtId="44" fontId="110" fillId="0" borderId="0" xfId="25863" applyNumberFormat="1" applyFont="1" applyBorder="1" applyAlignment="1">
      <alignment horizontal="left"/>
    </xf>
    <xf numFmtId="43" fontId="110" fillId="0" borderId="0" xfId="25863" applyNumberFormat="1" applyFont="1" applyBorder="1" applyAlignment="1">
      <alignment horizontal="left"/>
    </xf>
    <xf numFmtId="44" fontId="195" fillId="0" borderId="0" xfId="25863" applyNumberFormat="1"/>
    <xf numFmtId="44" fontId="35" fillId="0" borderId="0" xfId="25863" applyNumberFormat="1" applyFont="1" applyBorder="1" applyAlignment="1">
      <alignment horizontal="left"/>
    </xf>
    <xf numFmtId="43" fontId="0" fillId="0" borderId="0" xfId="25864" applyNumberFormat="1" applyFont="1" applyBorder="1">
      <alignment horizontal="right"/>
    </xf>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43" fontId="165" fillId="0" borderId="0" xfId="25872" applyNumberFormat="1" applyFont="1" applyBorder="1" applyAlignment="1">
      <alignment horizontal="left"/>
    </xf>
    <xf numFmtId="44" fontId="165" fillId="0" borderId="0" xfId="25872" applyNumberFormat="1" applyFont="1" applyBorder="1" applyAlignment="1">
      <alignment horizontal="left"/>
    </xf>
    <xf numFmtId="43" fontId="165" fillId="0" borderId="0" xfId="25873" applyNumberFormat="1" applyFont="1" applyFill="1" applyBorder="1" applyAlignment="1">
      <alignment horizontal="left"/>
    </xf>
    <xf numFmtId="44" fontId="165" fillId="0" borderId="0" xfId="25873" applyNumberFormat="1" applyFont="1" applyBorder="1" applyAlignment="1">
      <alignment horizontal="left"/>
    </xf>
    <xf numFmtId="43" fontId="165" fillId="0" borderId="0" xfId="25872" applyNumberFormat="1" applyFont="1" applyBorder="1"/>
    <xf numFmtId="44" fontId="165" fillId="0" borderId="0" xfId="25872" applyNumberFormat="1" applyFont="1" applyBorder="1"/>
    <xf numFmtId="43" fontId="165" fillId="0" borderId="0" xfId="25873" applyNumberFormat="1" applyFont="1" applyFill="1" applyBorder="1"/>
    <xf numFmtId="44" fontId="208" fillId="0" borderId="0" xfId="25863" applyNumberFormat="1" applyFont="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208" fillId="0" borderId="0" xfId="25863" applyFont="1"/>
    <xf numFmtId="44" fontId="0" fillId="0" borderId="0" xfId="25866" applyNumberFormat="1" applyFont="1"/>
    <xf numFmtId="44" fontId="0" fillId="0" borderId="0" xfId="0" applyNumberFormat="1" applyAlignment="1"/>
    <xf numFmtId="0" fontId="42" fillId="0" borderId="0" xfId="25863" applyFont="1" applyFill="1"/>
    <xf numFmtId="0" fontId="209" fillId="0" borderId="0" xfId="25864" applyFont="1" applyBorder="1">
      <alignment horizontal="right"/>
    </xf>
    <xf numFmtId="44" fontId="209" fillId="0" borderId="0" xfId="25866" applyNumberFormat="1" applyFont="1"/>
    <xf numFmtId="43" fontId="209" fillId="0" borderId="0" xfId="25866" applyNumberFormat="1" applyFont="1"/>
    <xf numFmtId="43" fontId="209" fillId="0" borderId="0" xfId="25864" applyNumberFormat="1" applyFont="1" applyBorder="1">
      <alignment horizontal="right"/>
    </xf>
    <xf numFmtId="43" fontId="42" fillId="0" borderId="0" xfId="25863" applyNumberFormat="1" applyFont="1"/>
    <xf numFmtId="170" fontId="37" fillId="0" borderId="0" xfId="0" applyNumberFormat="1" applyFont="1" applyFill="1" applyBorder="1" applyAlignment="1" applyProtection="1">
      <alignment horizontal="right"/>
    </xf>
    <xf numFmtId="170" fontId="39" fillId="0" borderId="10" xfId="2" applyNumberFormat="1" applyFont="1" applyFill="1" applyBorder="1" applyAlignment="1"/>
    <xf numFmtId="0" fontId="210" fillId="0" borderId="0" xfId="8" applyFont="1" applyAlignment="1">
      <alignment horizontal="left"/>
    </xf>
    <xf numFmtId="166" fontId="210" fillId="0" borderId="0" xfId="8" applyNumberFormat="1" applyFont="1" applyAlignment="1">
      <alignment horizontal="right" vertical="top"/>
    </xf>
    <xf numFmtId="43" fontId="37" fillId="0" borderId="0" xfId="25872" applyNumberFormat="1" applyFont="1" applyBorder="1" applyAlignment="1">
      <alignment horizontal="left"/>
    </xf>
    <xf numFmtId="44" fontId="37" fillId="0" borderId="0" xfId="25872" applyNumberFormat="1" applyFont="1" applyBorder="1" applyAlignment="1">
      <alignment horizontal="left"/>
    </xf>
    <xf numFmtId="43" fontId="37" fillId="0" borderId="0" xfId="25873" applyNumberFormat="1" applyFont="1" applyFill="1" applyBorder="1" applyAlignment="1">
      <alignment horizontal="left"/>
    </xf>
    <xf numFmtId="44" fontId="37" fillId="0" borderId="0" xfId="25873" applyNumberFormat="1" applyFont="1" applyBorder="1" applyAlignment="1">
      <alignment horizontal="left"/>
    </xf>
    <xf numFmtId="43" fontId="37" fillId="0" borderId="0" xfId="25872" applyNumberFormat="1" applyFont="1" applyBorder="1"/>
    <xf numFmtId="43" fontId="37" fillId="0" borderId="0" xfId="25873" applyNumberFormat="1" applyFont="1" applyFill="1" applyBorder="1"/>
    <xf numFmtId="43" fontId="37" fillId="0" borderId="0" xfId="25876" applyNumberFormat="1" applyFont="1" applyFill="1" applyAlignment="1">
      <alignment horizontal="right"/>
    </xf>
    <xf numFmtId="43" fontId="37" fillId="0" borderId="0" xfId="25876" applyNumberFormat="1" applyFont="1" applyFill="1" applyBorder="1" applyAlignment="1"/>
    <xf numFmtId="43" fontId="37" fillId="0" borderId="0" xfId="4579" applyNumberFormat="1" applyFont="1" applyFill="1" applyAlignment="1">
      <alignment wrapText="1"/>
    </xf>
    <xf numFmtId="164" fontId="43" fillId="0" borderId="0" xfId="0" applyFont="1" applyFill="1" applyBorder="1" applyAlignment="1">
      <alignment horizontal="left"/>
    </xf>
    <xf numFmtId="4" fontId="43" fillId="0" borderId="0" xfId="0" applyNumberFormat="1" applyFont="1" applyFill="1" applyBorder="1"/>
    <xf numFmtId="49" fontId="42" fillId="0" borderId="0" xfId="0" applyNumberFormat="1" applyFont="1" applyBorder="1" applyAlignment="1">
      <alignment vertical="top" wrapText="1"/>
    </xf>
    <xf numFmtId="164" fontId="43" fillId="0" borderId="103" xfId="0" applyFont="1" applyBorder="1" applyAlignment="1">
      <alignment horizontal="left"/>
    </xf>
    <xf numFmtId="164" fontId="43" fillId="0" borderId="0" xfId="0" applyFont="1" applyBorder="1" applyAlignment="1">
      <alignment horizontal="left"/>
    </xf>
    <xf numFmtId="43" fontId="43" fillId="0" borderId="0" xfId="0" applyNumberFormat="1" applyFont="1" applyBorder="1"/>
    <xf numFmtId="44" fontId="43" fillId="0" borderId="103" xfId="0" applyNumberFormat="1" applyFont="1" applyBorder="1"/>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Border="1" applyAlignment="1">
      <alignment horizontal="center"/>
    </xf>
    <xf numFmtId="7" fontId="44" fillId="0" borderId="10" xfId="25863" applyNumberFormat="1" applyFont="1" applyBorder="1" applyAlignment="1">
      <alignment horizontal="center"/>
    </xf>
    <xf numFmtId="0" fontId="83" fillId="0" borderId="0" xfId="25876" applyFont="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FFFFCC"/>
      <color rgb="FF5C39EF"/>
      <color rgb="FF3711D9"/>
      <color rgb="FF1362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146</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144</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88671875" defaultRowHeight="12.75"/>
  <cols>
    <col min="1" max="1" width="2.109375" style="592" customWidth="1"/>
    <col min="2" max="2" width="22.88671875" style="592" customWidth="1"/>
    <col min="3" max="3" width="6" style="592" customWidth="1"/>
    <col min="4" max="4" width="24.109375" style="592" customWidth="1"/>
    <col min="5" max="6" width="12.44140625" style="592" customWidth="1"/>
    <col min="7" max="7" width="4" style="592" customWidth="1"/>
    <col min="8" max="8" width="12.44140625" style="592" customWidth="1"/>
    <col min="9" max="9" width="12" style="592" customWidth="1"/>
    <col min="10" max="10" width="3.88671875" style="592" customWidth="1"/>
    <col min="11" max="11" width="28.44140625" style="592" customWidth="1"/>
    <col min="12" max="16384" width="8.88671875" style="592"/>
  </cols>
  <sheetData>
    <row r="1" spans="1:10" s="589" customFormat="1">
      <c r="A1" s="587"/>
      <c r="B1" s="587"/>
      <c r="C1" s="587"/>
      <c r="D1" s="587"/>
      <c r="E1" s="587"/>
      <c r="F1" s="587"/>
      <c r="G1" s="587"/>
      <c r="H1" s="587"/>
      <c r="I1" s="587"/>
      <c r="J1" s="588"/>
    </row>
    <row r="2" spans="1:10" s="589" customFormat="1">
      <c r="A2" s="587"/>
      <c r="B2" s="587"/>
      <c r="C2" s="587"/>
      <c r="D2" s="587"/>
      <c r="E2" s="587"/>
      <c r="F2" s="587"/>
      <c r="G2" s="587"/>
      <c r="H2" s="587"/>
      <c r="I2" s="587"/>
      <c r="J2" s="588"/>
    </row>
    <row r="3" spans="1:10" s="589" customFormat="1">
      <c r="A3" s="587"/>
      <c r="B3" s="587"/>
      <c r="C3" s="587"/>
      <c r="D3" s="587"/>
      <c r="E3" s="587"/>
      <c r="F3" s="587"/>
      <c r="G3" s="587"/>
      <c r="H3" s="587"/>
      <c r="I3" s="587"/>
      <c r="J3" s="588"/>
    </row>
    <row r="4" spans="1:10" s="589" customFormat="1">
      <c r="A4" s="587" t="s">
        <v>940</v>
      </c>
      <c r="B4" s="587"/>
      <c r="C4" s="587"/>
      <c r="D4" s="587"/>
      <c r="E4" s="587"/>
      <c r="F4" s="587"/>
      <c r="G4" s="587"/>
      <c r="H4" s="587"/>
      <c r="I4" s="782" t="s">
        <v>936</v>
      </c>
      <c r="J4" s="588"/>
    </row>
    <row r="5" spans="1:10" ht="18">
      <c r="A5" s="587" t="s">
        <v>938</v>
      </c>
      <c r="B5" s="590"/>
      <c r="C5" s="590"/>
      <c r="D5" s="590"/>
      <c r="E5" s="590"/>
      <c r="F5" s="590"/>
      <c r="G5" s="590"/>
      <c r="H5" s="590"/>
      <c r="I5" s="782" t="s">
        <v>937</v>
      </c>
      <c r="J5" s="591"/>
    </row>
    <row r="6" spans="1:10" ht="18">
      <c r="A6" s="587" t="s">
        <v>812</v>
      </c>
      <c r="B6" s="590"/>
      <c r="C6" s="590"/>
      <c r="D6" s="590"/>
      <c r="E6" s="590"/>
      <c r="F6" s="590"/>
      <c r="G6" s="590"/>
      <c r="H6" s="590"/>
      <c r="I6" s="590"/>
      <c r="J6" s="591"/>
    </row>
    <row r="7" spans="1:10" ht="18">
      <c r="A7" s="587" t="s">
        <v>813</v>
      </c>
      <c r="B7" s="590"/>
      <c r="C7" s="590"/>
      <c r="D7" s="590"/>
      <c r="E7" s="590"/>
      <c r="F7" s="590"/>
      <c r="G7" s="590"/>
      <c r="H7" s="590"/>
      <c r="I7" s="590"/>
      <c r="J7" s="591"/>
    </row>
    <row r="8" spans="1:10" ht="18.75" thickBot="1">
      <c r="A8" s="590"/>
      <c r="B8" s="590"/>
      <c r="C8" s="590"/>
      <c r="D8" s="590"/>
      <c r="E8" s="590"/>
      <c r="F8" s="590"/>
      <c r="G8" s="590"/>
      <c r="H8" s="590"/>
      <c r="I8" s="590"/>
      <c r="J8" s="591"/>
    </row>
    <row r="9" spans="1:10" ht="18.75" thickTop="1">
      <c r="A9" s="593" t="s">
        <v>814</v>
      </c>
      <c r="B9" s="594"/>
      <c r="C9" s="594"/>
      <c r="D9" s="594"/>
      <c r="E9" s="594"/>
      <c r="F9" s="594"/>
      <c r="G9" s="594"/>
      <c r="H9" s="594"/>
      <c r="I9" s="594"/>
      <c r="J9" s="595"/>
    </row>
    <row r="10" spans="1:10" ht="18.75" thickBot="1">
      <c r="A10" s="1573" t="s">
        <v>1598</v>
      </c>
      <c r="B10" s="590"/>
      <c r="C10" s="590"/>
      <c r="D10" s="590"/>
      <c r="E10" s="590"/>
      <c r="F10" s="590"/>
      <c r="G10" s="590"/>
      <c r="H10" s="590"/>
      <c r="I10" s="590"/>
      <c r="J10" s="595"/>
    </row>
    <row r="11" spans="1:10" ht="18.75" thickTop="1">
      <c r="A11" s="596"/>
      <c r="B11" s="597"/>
      <c r="C11" s="597"/>
      <c r="D11" s="597"/>
      <c r="E11" s="597"/>
      <c r="F11" s="597"/>
      <c r="G11" s="597"/>
      <c r="H11" s="597"/>
      <c r="I11" s="597"/>
      <c r="J11" s="598"/>
    </row>
    <row r="12" spans="1:10">
      <c r="A12" s="587" t="s">
        <v>815</v>
      </c>
      <c r="B12" s="590"/>
      <c r="C12" s="590"/>
      <c r="D12" s="590"/>
      <c r="E12" s="587"/>
      <c r="F12" s="587"/>
      <c r="G12" s="587"/>
      <c r="H12" s="590"/>
      <c r="I12" s="590"/>
      <c r="J12" s="599"/>
    </row>
    <row r="13" spans="1:10">
      <c r="A13" s="589"/>
      <c r="J13" s="599"/>
    </row>
    <row r="14" spans="1:10">
      <c r="A14" s="589" t="s">
        <v>816</v>
      </c>
      <c r="B14" s="602"/>
      <c r="J14" s="600"/>
    </row>
    <row r="15" spans="1:10">
      <c r="A15" s="589"/>
      <c r="B15" s="661"/>
      <c r="J15" s="600"/>
    </row>
    <row r="16" spans="1:10">
      <c r="A16" s="589"/>
      <c r="B16" s="1402" t="s">
        <v>847</v>
      </c>
      <c r="D16" s="601" t="s">
        <v>817</v>
      </c>
      <c r="F16" s="602"/>
      <c r="J16" s="662">
        <v>2</v>
      </c>
    </row>
    <row r="17" spans="1:255">
      <c r="A17" s="589"/>
      <c r="B17" s="1402" t="s">
        <v>848</v>
      </c>
      <c r="D17" s="592" t="s">
        <v>1171</v>
      </c>
      <c r="E17" s="604"/>
      <c r="F17" s="605"/>
      <c r="G17" s="604"/>
      <c r="H17" s="604"/>
      <c r="I17" s="604"/>
      <c r="J17" s="662">
        <v>3</v>
      </c>
      <c r="M17" s="606"/>
    </row>
    <row r="18" spans="1:255">
      <c r="A18" s="607"/>
      <c r="B18" s="1397" t="s">
        <v>1305</v>
      </c>
      <c r="D18" s="609" t="s">
        <v>977</v>
      </c>
      <c r="E18" s="601"/>
      <c r="F18" s="601"/>
      <c r="G18" s="601"/>
      <c r="H18" s="601"/>
      <c r="I18" s="601"/>
      <c r="J18" s="662">
        <v>4</v>
      </c>
    </row>
    <row r="19" spans="1:255">
      <c r="A19" s="589"/>
      <c r="B19" s="1397" t="s">
        <v>849</v>
      </c>
      <c r="D19" s="608" t="s">
        <v>818</v>
      </c>
      <c r="E19" s="608"/>
      <c r="F19" s="608"/>
      <c r="G19" s="608"/>
      <c r="H19" s="608"/>
      <c r="I19" s="608"/>
      <c r="J19" s="662">
        <v>6</v>
      </c>
      <c r="M19" s="606"/>
    </row>
    <row r="20" spans="1:255">
      <c r="A20" s="589"/>
      <c r="B20" s="1397" t="s">
        <v>850</v>
      </c>
      <c r="D20" s="608" t="s">
        <v>819</v>
      </c>
      <c r="E20" s="608"/>
      <c r="F20" s="608"/>
      <c r="G20" s="608"/>
      <c r="H20" s="608"/>
      <c r="I20" s="608"/>
      <c r="J20" s="662">
        <v>7</v>
      </c>
      <c r="M20" s="606"/>
    </row>
    <row r="21" spans="1:255">
      <c r="A21" s="589"/>
      <c r="B21" s="1397" t="s">
        <v>1135</v>
      </c>
      <c r="D21" s="609" t="s">
        <v>1172</v>
      </c>
      <c r="E21" s="608"/>
      <c r="F21" s="608"/>
      <c r="G21" s="608"/>
      <c r="H21" s="608"/>
      <c r="I21" s="608"/>
      <c r="J21" s="662">
        <v>8</v>
      </c>
      <c r="M21" s="606"/>
    </row>
    <row r="22" spans="1:255">
      <c r="A22" s="589"/>
      <c r="B22" s="1397" t="s">
        <v>1136</v>
      </c>
      <c r="D22" s="609" t="s">
        <v>1173</v>
      </c>
      <c r="E22" s="608"/>
      <c r="F22" s="608"/>
      <c r="G22" s="608"/>
      <c r="H22" s="608"/>
      <c r="I22" s="608"/>
      <c r="J22" s="662">
        <v>9</v>
      </c>
      <c r="M22" s="606"/>
    </row>
    <row r="23" spans="1:255">
      <c r="A23" s="589"/>
      <c r="B23" s="1397" t="s">
        <v>1137</v>
      </c>
      <c r="D23" s="609" t="s">
        <v>1180</v>
      </c>
      <c r="E23" s="608"/>
      <c r="F23" s="608"/>
      <c r="G23" s="608"/>
      <c r="H23" s="608"/>
      <c r="I23" s="608"/>
      <c r="J23" s="662">
        <v>10</v>
      </c>
      <c r="M23" s="606"/>
    </row>
    <row r="24" spans="1:255">
      <c r="A24" s="589"/>
      <c r="B24" s="1397" t="s">
        <v>1138</v>
      </c>
      <c r="D24" s="609" t="s">
        <v>1174</v>
      </c>
      <c r="E24" s="608"/>
      <c r="F24" s="608"/>
      <c r="G24" s="608"/>
      <c r="H24" s="608"/>
      <c r="I24" s="608"/>
      <c r="J24" s="662">
        <v>11</v>
      </c>
      <c r="M24" s="606"/>
    </row>
    <row r="25" spans="1:255">
      <c r="A25" s="589"/>
      <c r="B25" s="1397" t="s">
        <v>1139</v>
      </c>
      <c r="D25" s="609" t="s">
        <v>1175</v>
      </c>
      <c r="E25" s="608"/>
      <c r="F25" s="608"/>
      <c r="G25" s="608"/>
      <c r="H25" s="608"/>
      <c r="I25" s="608"/>
      <c r="J25" s="662">
        <v>12</v>
      </c>
      <c r="M25" s="606"/>
    </row>
    <row r="26" spans="1:255">
      <c r="A26" s="589"/>
      <c r="B26" s="1397" t="s">
        <v>1140</v>
      </c>
      <c r="D26" s="609" t="s">
        <v>1176</v>
      </c>
      <c r="E26" s="608"/>
      <c r="F26" s="608"/>
      <c r="G26" s="608"/>
      <c r="H26" s="608"/>
      <c r="I26" s="608"/>
      <c r="J26" s="662">
        <v>13</v>
      </c>
      <c r="M26" s="606"/>
    </row>
    <row r="27" spans="1:255">
      <c r="A27" s="589"/>
      <c r="B27" s="1397" t="s">
        <v>1141</v>
      </c>
      <c r="D27" s="609" t="s">
        <v>1177</v>
      </c>
      <c r="E27" s="608"/>
      <c r="F27" s="608"/>
      <c r="G27" s="608"/>
      <c r="H27" s="608"/>
      <c r="I27" s="608"/>
      <c r="J27" s="662">
        <v>14</v>
      </c>
      <c r="M27" s="606"/>
    </row>
    <row r="28" spans="1:255">
      <c r="A28" s="589"/>
      <c r="B28" s="1397" t="s">
        <v>1142</v>
      </c>
      <c r="D28" s="609" t="s">
        <v>1178</v>
      </c>
      <c r="E28" s="608"/>
      <c r="F28" s="608"/>
      <c r="G28" s="608"/>
      <c r="H28" s="608"/>
      <c r="I28" s="608"/>
      <c r="J28" s="662">
        <v>15</v>
      </c>
      <c r="M28" s="606"/>
    </row>
    <row r="29" spans="1:255">
      <c r="A29" s="589"/>
      <c r="B29" s="1397" t="s">
        <v>851</v>
      </c>
      <c r="D29" s="610" t="s">
        <v>820</v>
      </c>
      <c r="E29" s="608"/>
      <c r="F29" s="608"/>
      <c r="G29" s="608"/>
      <c r="H29" s="608"/>
      <c r="I29" s="608"/>
      <c r="J29" s="662">
        <v>16</v>
      </c>
      <c r="M29" s="606"/>
    </row>
    <row r="30" spans="1:255">
      <c r="A30" s="589"/>
      <c r="B30" s="1402" t="s">
        <v>869</v>
      </c>
      <c r="D30" s="609" t="s">
        <v>1179</v>
      </c>
      <c r="E30" s="609"/>
      <c r="F30" s="609"/>
      <c r="G30" s="609"/>
      <c r="H30" s="609"/>
      <c r="I30" s="609"/>
      <c r="J30" s="662">
        <v>17</v>
      </c>
      <c r="K30" s="589"/>
      <c r="L30" s="589"/>
      <c r="M30" s="589"/>
      <c r="N30" s="589"/>
      <c r="O30" s="589"/>
      <c r="P30" s="589"/>
      <c r="Q30" s="589"/>
      <c r="R30" s="589"/>
      <c r="S30" s="589"/>
      <c r="T30" s="589"/>
      <c r="U30" s="589"/>
      <c r="V30" s="589"/>
      <c r="W30" s="589"/>
      <c r="X30" s="589"/>
      <c r="Y30" s="589"/>
      <c r="Z30" s="589"/>
      <c r="AA30" s="589"/>
      <c r="AB30" s="589"/>
      <c r="AC30" s="589"/>
      <c r="AD30" s="589"/>
      <c r="AE30" s="589"/>
      <c r="AF30" s="589"/>
      <c r="AG30" s="589"/>
      <c r="AH30" s="589"/>
      <c r="AI30" s="589"/>
      <c r="AJ30" s="589"/>
      <c r="AK30" s="589"/>
      <c r="AL30" s="589"/>
      <c r="AM30" s="589"/>
      <c r="AN30" s="589"/>
      <c r="AO30" s="589"/>
      <c r="AP30" s="589"/>
      <c r="AQ30" s="589"/>
      <c r="AR30" s="589"/>
      <c r="AS30" s="589"/>
      <c r="AT30" s="589"/>
      <c r="AU30" s="589"/>
      <c r="AV30" s="589"/>
      <c r="AW30" s="589"/>
      <c r="AX30" s="589"/>
      <c r="AY30" s="589"/>
      <c r="AZ30" s="589"/>
      <c r="BA30" s="589"/>
      <c r="BB30" s="589"/>
      <c r="BC30" s="589"/>
      <c r="BD30" s="589"/>
      <c r="BE30" s="589"/>
      <c r="BF30" s="589"/>
      <c r="BG30" s="589"/>
      <c r="BH30" s="589"/>
      <c r="BI30" s="589"/>
      <c r="BJ30" s="589"/>
      <c r="BK30" s="589"/>
      <c r="BL30" s="589"/>
      <c r="BM30" s="589"/>
      <c r="BN30" s="589"/>
      <c r="BO30" s="589"/>
      <c r="BP30" s="589"/>
      <c r="BQ30" s="589"/>
      <c r="BR30" s="589"/>
      <c r="BS30" s="589"/>
      <c r="BT30" s="589"/>
      <c r="BU30" s="589"/>
      <c r="BV30" s="589"/>
      <c r="BW30" s="589"/>
      <c r="BX30" s="589"/>
      <c r="BY30" s="589"/>
      <c r="BZ30" s="589"/>
      <c r="CA30" s="589"/>
      <c r="CB30" s="589"/>
      <c r="CC30" s="589"/>
      <c r="CD30" s="589"/>
      <c r="CE30" s="589"/>
      <c r="CF30" s="589"/>
      <c r="CG30" s="589"/>
      <c r="CH30" s="589"/>
      <c r="CI30" s="589"/>
      <c r="CJ30" s="589"/>
      <c r="CK30" s="589"/>
      <c r="CL30" s="589"/>
      <c r="CM30" s="589"/>
      <c r="CN30" s="589"/>
      <c r="CO30" s="589"/>
      <c r="CP30" s="589"/>
      <c r="CQ30" s="589"/>
      <c r="CR30" s="589"/>
      <c r="CS30" s="589"/>
      <c r="CT30" s="589"/>
      <c r="CU30" s="589"/>
      <c r="CV30" s="589"/>
      <c r="CW30" s="589"/>
      <c r="CX30" s="589"/>
      <c r="CY30" s="589"/>
      <c r="CZ30" s="589"/>
      <c r="DA30" s="589"/>
      <c r="DB30" s="589"/>
      <c r="DC30" s="589"/>
      <c r="DD30" s="589"/>
      <c r="DE30" s="589"/>
      <c r="DF30" s="589"/>
      <c r="DG30" s="589"/>
      <c r="DH30" s="589"/>
      <c r="DI30" s="589"/>
      <c r="DJ30" s="589"/>
      <c r="DK30" s="589"/>
      <c r="DL30" s="589"/>
      <c r="DM30" s="589"/>
      <c r="DN30" s="589"/>
      <c r="DO30" s="589"/>
      <c r="DP30" s="589"/>
      <c r="DQ30" s="589"/>
      <c r="DR30" s="589"/>
      <c r="DS30" s="589"/>
      <c r="DT30" s="589"/>
      <c r="DU30" s="589"/>
      <c r="DV30" s="589"/>
      <c r="DW30" s="589"/>
      <c r="DX30" s="589"/>
      <c r="DY30" s="589"/>
      <c r="DZ30" s="589"/>
      <c r="EA30" s="589"/>
      <c r="EB30" s="589"/>
      <c r="EC30" s="589"/>
      <c r="ED30" s="589"/>
      <c r="EE30" s="589"/>
      <c r="EF30" s="589"/>
      <c r="EG30" s="589"/>
      <c r="EH30" s="589"/>
      <c r="EI30" s="589"/>
      <c r="EJ30" s="589"/>
      <c r="EK30" s="589"/>
      <c r="EL30" s="589"/>
      <c r="EM30" s="589"/>
      <c r="EN30" s="589"/>
      <c r="EO30" s="589"/>
      <c r="EP30" s="589"/>
      <c r="EQ30" s="589"/>
      <c r="ER30" s="589"/>
      <c r="ES30" s="589"/>
      <c r="ET30" s="589"/>
      <c r="EU30" s="589"/>
      <c r="EV30" s="589"/>
      <c r="EW30" s="589"/>
      <c r="EX30" s="589"/>
      <c r="EY30" s="589"/>
      <c r="EZ30" s="589"/>
      <c r="FA30" s="589"/>
      <c r="FB30" s="589"/>
      <c r="FC30" s="589"/>
      <c r="FD30" s="589"/>
      <c r="FE30" s="589"/>
      <c r="FF30" s="589"/>
      <c r="FG30" s="589"/>
      <c r="FH30" s="589"/>
      <c r="FI30" s="589"/>
      <c r="FJ30" s="589"/>
      <c r="FK30" s="589"/>
      <c r="FL30" s="589"/>
      <c r="FM30" s="589"/>
      <c r="FN30" s="589"/>
      <c r="FO30" s="589"/>
      <c r="FP30" s="589"/>
      <c r="FQ30" s="589"/>
      <c r="FR30" s="589"/>
      <c r="FS30" s="589"/>
      <c r="FT30" s="589"/>
      <c r="FU30" s="589"/>
      <c r="FV30" s="589"/>
      <c r="FW30" s="589"/>
      <c r="FX30" s="589"/>
      <c r="FY30" s="589"/>
      <c r="FZ30" s="589"/>
      <c r="GA30" s="589"/>
      <c r="GB30" s="589"/>
      <c r="GC30" s="589"/>
      <c r="GD30" s="589"/>
      <c r="GE30" s="589"/>
      <c r="GF30" s="589"/>
      <c r="GG30" s="589"/>
      <c r="GH30" s="589"/>
      <c r="GI30" s="589"/>
      <c r="GJ30" s="589"/>
      <c r="GK30" s="589"/>
      <c r="GL30" s="589"/>
      <c r="GM30" s="589"/>
      <c r="GN30" s="589"/>
      <c r="GO30" s="589"/>
      <c r="GP30" s="589"/>
      <c r="GQ30" s="589"/>
      <c r="GR30" s="589"/>
      <c r="GS30" s="589"/>
      <c r="GT30" s="589"/>
      <c r="GU30" s="589"/>
      <c r="GV30" s="589"/>
      <c r="GW30" s="589"/>
      <c r="GX30" s="589"/>
      <c r="GY30" s="589"/>
      <c r="GZ30" s="589"/>
      <c r="HA30" s="589"/>
      <c r="HB30" s="589"/>
      <c r="HC30" s="589"/>
      <c r="HD30" s="589"/>
      <c r="HE30" s="589"/>
      <c r="HF30" s="589"/>
      <c r="HG30" s="589"/>
      <c r="HH30" s="589"/>
      <c r="HI30" s="589"/>
      <c r="HJ30" s="589"/>
      <c r="HK30" s="589"/>
      <c r="HL30" s="589"/>
      <c r="HM30" s="589"/>
      <c r="HN30" s="589"/>
      <c r="HO30" s="589"/>
      <c r="HP30" s="589"/>
      <c r="HQ30" s="589"/>
      <c r="HR30" s="589"/>
      <c r="HS30" s="589"/>
      <c r="HT30" s="589"/>
      <c r="HU30" s="589"/>
      <c r="HV30" s="589"/>
      <c r="HW30" s="589"/>
      <c r="HX30" s="589"/>
      <c r="HY30" s="589"/>
      <c r="HZ30" s="589"/>
      <c r="IA30" s="589"/>
      <c r="IB30" s="589"/>
      <c r="IC30" s="589"/>
      <c r="ID30" s="589"/>
      <c r="IE30" s="589"/>
      <c r="IF30" s="589"/>
      <c r="IG30" s="589"/>
      <c r="IH30" s="589"/>
      <c r="II30" s="589"/>
      <c r="IJ30" s="589"/>
      <c r="IK30" s="589"/>
      <c r="IL30" s="589"/>
      <c r="IM30" s="589"/>
      <c r="IN30" s="589"/>
      <c r="IO30" s="589"/>
      <c r="IP30" s="589"/>
      <c r="IQ30" s="589"/>
      <c r="IR30" s="589"/>
      <c r="IS30" s="589"/>
      <c r="IT30" s="589"/>
      <c r="IU30" s="589"/>
    </row>
    <row r="31" spans="1:255">
      <c r="A31" s="589"/>
      <c r="B31" s="1397" t="s">
        <v>1143</v>
      </c>
      <c r="D31" s="609" t="s">
        <v>1171</v>
      </c>
      <c r="E31" s="604"/>
      <c r="F31" s="604"/>
      <c r="G31" s="604"/>
      <c r="H31" s="604"/>
      <c r="I31" s="604"/>
      <c r="J31" s="662">
        <v>19</v>
      </c>
      <c r="K31" s="589"/>
      <c r="L31" s="589"/>
      <c r="M31" s="589"/>
      <c r="N31" s="589"/>
      <c r="O31" s="589"/>
      <c r="P31" s="589"/>
      <c r="Q31" s="589"/>
      <c r="R31" s="589"/>
      <c r="S31" s="589"/>
      <c r="T31" s="589"/>
      <c r="U31" s="589"/>
      <c r="V31" s="589"/>
      <c r="W31" s="589"/>
      <c r="X31" s="589"/>
      <c r="Y31" s="589"/>
      <c r="Z31" s="589"/>
      <c r="AA31" s="589"/>
      <c r="AB31" s="589"/>
      <c r="AC31" s="589"/>
      <c r="AD31" s="589"/>
      <c r="AE31" s="589"/>
      <c r="AF31" s="589"/>
      <c r="AG31" s="589"/>
      <c r="AH31" s="589"/>
      <c r="AI31" s="589"/>
      <c r="AJ31" s="589"/>
      <c r="AK31" s="589"/>
      <c r="AL31" s="589"/>
      <c r="AM31" s="589"/>
      <c r="AN31" s="589"/>
      <c r="AO31" s="589"/>
      <c r="AP31" s="589"/>
      <c r="AQ31" s="589"/>
      <c r="AR31" s="589"/>
      <c r="AS31" s="589"/>
      <c r="AT31" s="589"/>
      <c r="AU31" s="589"/>
      <c r="AV31" s="589"/>
      <c r="AW31" s="589"/>
      <c r="AX31" s="589"/>
      <c r="AY31" s="589"/>
      <c r="AZ31" s="589"/>
      <c r="BA31" s="589"/>
      <c r="BB31" s="589"/>
      <c r="BC31" s="589"/>
      <c r="BD31" s="589"/>
      <c r="BE31" s="589"/>
      <c r="BF31" s="589"/>
      <c r="BG31" s="589"/>
      <c r="BH31" s="589"/>
      <c r="BI31" s="589"/>
      <c r="BJ31" s="589"/>
      <c r="BK31" s="589"/>
      <c r="BL31" s="589"/>
      <c r="BM31" s="589"/>
      <c r="BN31" s="589"/>
      <c r="BO31" s="589"/>
      <c r="BP31" s="589"/>
      <c r="BQ31" s="589"/>
      <c r="BR31" s="589"/>
      <c r="BS31" s="589"/>
      <c r="BT31" s="589"/>
      <c r="BU31" s="589"/>
      <c r="BV31" s="589"/>
      <c r="BW31" s="589"/>
      <c r="BX31" s="589"/>
      <c r="BY31" s="589"/>
      <c r="BZ31" s="589"/>
      <c r="CA31" s="589"/>
      <c r="CB31" s="589"/>
      <c r="CC31" s="589"/>
      <c r="CD31" s="589"/>
      <c r="CE31" s="589"/>
      <c r="CF31" s="589"/>
      <c r="CG31" s="589"/>
      <c r="CH31" s="589"/>
      <c r="CI31" s="589"/>
      <c r="CJ31" s="589"/>
      <c r="CK31" s="589"/>
      <c r="CL31" s="589"/>
      <c r="CM31" s="589"/>
      <c r="CN31" s="589"/>
      <c r="CO31" s="589"/>
      <c r="CP31" s="589"/>
      <c r="CQ31" s="589"/>
      <c r="CR31" s="589"/>
      <c r="CS31" s="589"/>
      <c r="CT31" s="589"/>
      <c r="CU31" s="589"/>
      <c r="CV31" s="589"/>
      <c r="CW31" s="589"/>
      <c r="CX31" s="589"/>
      <c r="CY31" s="589"/>
      <c r="CZ31" s="589"/>
      <c r="DA31" s="589"/>
      <c r="DB31" s="589"/>
      <c r="DC31" s="589"/>
      <c r="DD31" s="589"/>
      <c r="DE31" s="589"/>
      <c r="DF31" s="589"/>
      <c r="DG31" s="589"/>
      <c r="DH31" s="589"/>
      <c r="DI31" s="589"/>
      <c r="DJ31" s="589"/>
      <c r="DK31" s="589"/>
      <c r="DL31" s="589"/>
      <c r="DM31" s="589"/>
      <c r="DN31" s="589"/>
      <c r="DO31" s="589"/>
      <c r="DP31" s="589"/>
      <c r="DQ31" s="589"/>
      <c r="DR31" s="589"/>
      <c r="DS31" s="589"/>
      <c r="DT31" s="589"/>
      <c r="DU31" s="589"/>
      <c r="DV31" s="589"/>
      <c r="DW31" s="589"/>
      <c r="DX31" s="589"/>
      <c r="DY31" s="589"/>
      <c r="DZ31" s="589"/>
      <c r="EA31" s="589"/>
      <c r="EB31" s="589"/>
      <c r="EC31" s="589"/>
      <c r="ED31" s="589"/>
      <c r="EE31" s="589"/>
      <c r="EF31" s="589"/>
      <c r="EG31" s="589"/>
      <c r="EH31" s="589"/>
      <c r="EI31" s="589"/>
      <c r="EJ31" s="589"/>
      <c r="EK31" s="589"/>
      <c r="EL31" s="589"/>
      <c r="EM31" s="589"/>
      <c r="EN31" s="589"/>
      <c r="EO31" s="589"/>
      <c r="EP31" s="589"/>
      <c r="EQ31" s="589"/>
      <c r="ER31" s="589"/>
      <c r="ES31" s="589"/>
      <c r="ET31" s="589"/>
      <c r="EU31" s="589"/>
      <c r="EV31" s="589"/>
      <c r="EW31" s="589"/>
      <c r="EX31" s="589"/>
      <c r="EY31" s="589"/>
      <c r="EZ31" s="589"/>
      <c r="FA31" s="589"/>
      <c r="FB31" s="589"/>
      <c r="FC31" s="589"/>
      <c r="FD31" s="589"/>
      <c r="FE31" s="589"/>
      <c r="FF31" s="589"/>
      <c r="FG31" s="589"/>
      <c r="FH31" s="589"/>
      <c r="FI31" s="589"/>
      <c r="FJ31" s="589"/>
      <c r="FK31" s="589"/>
      <c r="FL31" s="589"/>
      <c r="FM31" s="589"/>
      <c r="FN31" s="589"/>
      <c r="FO31" s="589"/>
      <c r="FP31" s="589"/>
      <c r="FQ31" s="589"/>
      <c r="FR31" s="589"/>
      <c r="FS31" s="589"/>
      <c r="FT31" s="589"/>
      <c r="FU31" s="589"/>
      <c r="FV31" s="589"/>
      <c r="FW31" s="589"/>
      <c r="FX31" s="589"/>
      <c r="FY31" s="589"/>
      <c r="FZ31" s="589"/>
      <c r="GA31" s="589"/>
      <c r="GB31" s="589"/>
      <c r="GC31" s="589"/>
      <c r="GD31" s="589"/>
      <c r="GE31" s="589"/>
      <c r="GF31" s="589"/>
      <c r="GG31" s="589"/>
      <c r="GH31" s="589"/>
      <c r="GI31" s="589"/>
      <c r="GJ31" s="589"/>
      <c r="GK31" s="589"/>
      <c r="GL31" s="589"/>
      <c r="GM31" s="589"/>
      <c r="GN31" s="589"/>
      <c r="GO31" s="589"/>
      <c r="GP31" s="589"/>
      <c r="GQ31" s="589"/>
      <c r="GR31" s="589"/>
      <c r="GS31" s="589"/>
      <c r="GT31" s="589"/>
      <c r="GU31" s="589"/>
      <c r="GV31" s="589"/>
      <c r="GW31" s="589"/>
      <c r="GX31" s="589"/>
      <c r="GY31" s="589"/>
      <c r="GZ31" s="589"/>
      <c r="HA31" s="589"/>
      <c r="HB31" s="589"/>
      <c r="HC31" s="589"/>
      <c r="HD31" s="589"/>
      <c r="HE31" s="589"/>
      <c r="HF31" s="589"/>
      <c r="HG31" s="589"/>
      <c r="HH31" s="589"/>
      <c r="HI31" s="589"/>
      <c r="HJ31" s="589"/>
      <c r="HK31" s="589"/>
      <c r="HL31" s="589"/>
      <c r="HM31" s="589"/>
      <c r="HN31" s="589"/>
      <c r="HO31" s="589"/>
      <c r="HP31" s="589"/>
      <c r="HQ31" s="589"/>
      <c r="HR31" s="589"/>
      <c r="HS31" s="589"/>
      <c r="HT31" s="589"/>
      <c r="HU31" s="589"/>
      <c r="HV31" s="589"/>
      <c r="HW31" s="589"/>
      <c r="HX31" s="589"/>
      <c r="HY31" s="589"/>
      <c r="HZ31" s="589"/>
      <c r="IA31" s="589"/>
      <c r="IB31" s="589"/>
      <c r="IC31" s="589"/>
      <c r="ID31" s="589"/>
      <c r="IE31" s="589"/>
      <c r="IF31" s="589"/>
      <c r="IG31" s="589"/>
      <c r="IH31" s="589"/>
      <c r="II31" s="589"/>
      <c r="IJ31" s="589"/>
      <c r="IK31" s="589"/>
      <c r="IL31" s="589"/>
      <c r="IM31" s="589"/>
      <c r="IN31" s="589"/>
      <c r="IO31" s="589"/>
      <c r="IP31" s="589"/>
      <c r="IQ31" s="589"/>
      <c r="IR31" s="589"/>
      <c r="IS31" s="589"/>
      <c r="IT31" s="589"/>
      <c r="IU31" s="589"/>
    </row>
    <row r="32" spans="1:255">
      <c r="A32" s="589"/>
      <c r="B32" s="1397"/>
      <c r="D32" s="611"/>
      <c r="E32" s="611"/>
      <c r="F32" s="611"/>
      <c r="G32" s="611"/>
      <c r="H32" s="611"/>
      <c r="I32" s="611"/>
      <c r="J32" s="662"/>
      <c r="K32" s="589"/>
      <c r="L32" s="589"/>
      <c r="M32" s="589"/>
      <c r="N32" s="589"/>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89"/>
      <c r="AP32" s="589"/>
      <c r="AQ32" s="589"/>
      <c r="AR32" s="589"/>
      <c r="AS32" s="589"/>
      <c r="AT32" s="589"/>
      <c r="AU32" s="589"/>
      <c r="AV32" s="589"/>
      <c r="AW32" s="589"/>
      <c r="AX32" s="589"/>
      <c r="AY32" s="589"/>
      <c r="AZ32" s="589"/>
      <c r="BA32" s="589"/>
      <c r="BB32" s="589"/>
      <c r="BC32" s="589"/>
      <c r="BD32" s="589"/>
      <c r="BE32" s="589"/>
      <c r="BF32" s="589"/>
      <c r="BG32" s="589"/>
      <c r="BH32" s="589"/>
      <c r="BI32" s="589"/>
      <c r="BJ32" s="589"/>
      <c r="BK32" s="589"/>
      <c r="BL32" s="589"/>
      <c r="BM32" s="589"/>
      <c r="BN32" s="589"/>
      <c r="BO32" s="589"/>
      <c r="BP32" s="589"/>
      <c r="BQ32" s="589"/>
      <c r="BR32" s="589"/>
      <c r="BS32" s="589"/>
      <c r="BT32" s="589"/>
      <c r="BU32" s="589"/>
      <c r="BV32" s="589"/>
      <c r="BW32" s="589"/>
      <c r="BX32" s="589"/>
      <c r="BY32" s="589"/>
      <c r="BZ32" s="589"/>
      <c r="CA32" s="589"/>
      <c r="CB32" s="589"/>
      <c r="CC32" s="589"/>
      <c r="CD32" s="589"/>
      <c r="CE32" s="589"/>
      <c r="CF32" s="589"/>
      <c r="CG32" s="589"/>
      <c r="CH32" s="589"/>
      <c r="CI32" s="589"/>
      <c r="CJ32" s="589"/>
      <c r="CK32" s="589"/>
      <c r="CL32" s="589"/>
      <c r="CM32" s="589"/>
      <c r="CN32" s="589"/>
      <c r="CO32" s="589"/>
      <c r="CP32" s="589"/>
      <c r="CQ32" s="589"/>
      <c r="CR32" s="589"/>
      <c r="CS32" s="589"/>
      <c r="CT32" s="589"/>
      <c r="CU32" s="589"/>
      <c r="CV32" s="589"/>
      <c r="CW32" s="589"/>
      <c r="CX32" s="589"/>
      <c r="CY32" s="589"/>
      <c r="CZ32" s="589"/>
      <c r="DA32" s="589"/>
      <c r="DB32" s="589"/>
      <c r="DC32" s="589"/>
      <c r="DD32" s="589"/>
      <c r="DE32" s="589"/>
      <c r="DF32" s="589"/>
      <c r="DG32" s="589"/>
      <c r="DH32" s="589"/>
      <c r="DI32" s="589"/>
      <c r="DJ32" s="589"/>
      <c r="DK32" s="589"/>
      <c r="DL32" s="589"/>
      <c r="DM32" s="589"/>
      <c r="DN32" s="589"/>
      <c r="DO32" s="589"/>
      <c r="DP32" s="589"/>
      <c r="DQ32" s="589"/>
      <c r="DR32" s="589"/>
      <c r="DS32" s="589"/>
      <c r="DT32" s="589"/>
      <c r="DU32" s="589"/>
      <c r="DV32" s="589"/>
      <c r="DW32" s="589"/>
      <c r="DX32" s="589"/>
      <c r="DY32" s="589"/>
      <c r="DZ32" s="589"/>
      <c r="EA32" s="589"/>
      <c r="EB32" s="589"/>
      <c r="EC32" s="589"/>
      <c r="ED32" s="589"/>
      <c r="EE32" s="589"/>
      <c r="EF32" s="589"/>
      <c r="EG32" s="589"/>
      <c r="EH32" s="589"/>
      <c r="EI32" s="589"/>
      <c r="EJ32" s="589"/>
      <c r="EK32" s="589"/>
      <c r="EL32" s="589"/>
      <c r="EM32" s="589"/>
      <c r="EN32" s="589"/>
      <c r="EO32" s="589"/>
      <c r="EP32" s="589"/>
      <c r="EQ32" s="589"/>
      <c r="ER32" s="589"/>
      <c r="ES32" s="589"/>
      <c r="ET32" s="589"/>
      <c r="EU32" s="589"/>
      <c r="EV32" s="589"/>
      <c r="EW32" s="589"/>
      <c r="EX32" s="589"/>
      <c r="EY32" s="589"/>
      <c r="EZ32" s="589"/>
      <c r="FA32" s="589"/>
      <c r="FB32" s="589"/>
      <c r="FC32" s="589"/>
      <c r="FD32" s="589"/>
      <c r="FE32" s="589"/>
      <c r="FF32" s="589"/>
      <c r="FG32" s="589"/>
      <c r="FH32" s="589"/>
      <c r="FI32" s="589"/>
      <c r="FJ32" s="589"/>
      <c r="FK32" s="589"/>
      <c r="FL32" s="589"/>
      <c r="FM32" s="589"/>
      <c r="FN32" s="589"/>
      <c r="FO32" s="589"/>
      <c r="FP32" s="589"/>
      <c r="FQ32" s="589"/>
      <c r="FR32" s="589"/>
      <c r="FS32" s="589"/>
      <c r="FT32" s="589"/>
      <c r="FU32" s="589"/>
      <c r="FV32" s="589"/>
      <c r="FW32" s="589"/>
      <c r="FX32" s="589"/>
      <c r="FY32" s="589"/>
      <c r="FZ32" s="589"/>
      <c r="GA32" s="589"/>
      <c r="GB32" s="589"/>
      <c r="GC32" s="589"/>
      <c r="GD32" s="589"/>
      <c r="GE32" s="589"/>
      <c r="GF32" s="589"/>
      <c r="GG32" s="589"/>
      <c r="GH32" s="589"/>
      <c r="GI32" s="589"/>
      <c r="GJ32" s="589"/>
      <c r="GK32" s="589"/>
      <c r="GL32" s="589"/>
      <c r="GM32" s="589"/>
      <c r="GN32" s="589"/>
      <c r="GO32" s="589"/>
      <c r="GP32" s="589"/>
      <c r="GQ32" s="589"/>
      <c r="GR32" s="589"/>
      <c r="GS32" s="589"/>
      <c r="GT32" s="589"/>
      <c r="GU32" s="589"/>
      <c r="GV32" s="589"/>
      <c r="GW32" s="589"/>
      <c r="GX32" s="589"/>
      <c r="GY32" s="589"/>
      <c r="GZ32" s="589"/>
      <c r="HA32" s="589"/>
      <c r="HB32" s="589"/>
      <c r="HC32" s="589"/>
      <c r="HD32" s="589"/>
      <c r="HE32" s="589"/>
      <c r="HF32" s="589"/>
      <c r="HG32" s="589"/>
      <c r="HH32" s="589"/>
      <c r="HI32" s="589"/>
      <c r="HJ32" s="589"/>
      <c r="HK32" s="589"/>
      <c r="HL32" s="589"/>
      <c r="HM32" s="589"/>
      <c r="HN32" s="589"/>
      <c r="HO32" s="589"/>
      <c r="HP32" s="589"/>
      <c r="HQ32" s="589"/>
      <c r="HR32" s="589"/>
      <c r="HS32" s="589"/>
      <c r="HT32" s="589"/>
      <c r="HU32" s="589"/>
      <c r="HV32" s="589"/>
      <c r="HW32" s="589"/>
      <c r="HX32" s="589"/>
      <c r="HY32" s="589"/>
      <c r="HZ32" s="589"/>
      <c r="IA32" s="589"/>
      <c r="IB32" s="589"/>
      <c r="IC32" s="589"/>
      <c r="ID32" s="589"/>
      <c r="IE32" s="589"/>
      <c r="IF32" s="589"/>
      <c r="IG32" s="589"/>
      <c r="IH32" s="589"/>
      <c r="II32" s="589"/>
      <c r="IJ32" s="589"/>
      <c r="IK32" s="589"/>
      <c r="IL32" s="589"/>
      <c r="IM32" s="589"/>
      <c r="IN32" s="589"/>
      <c r="IO32" s="589"/>
      <c r="IP32" s="589"/>
      <c r="IQ32" s="589"/>
      <c r="IR32" s="589"/>
      <c r="IS32" s="589"/>
      <c r="IT32" s="589"/>
      <c r="IU32" s="589"/>
    </row>
    <row r="33" spans="1:255">
      <c r="A33" s="589"/>
      <c r="B33" s="1398"/>
      <c r="D33" s="611"/>
      <c r="E33" s="611"/>
      <c r="F33" s="611"/>
      <c r="G33" s="611"/>
      <c r="H33" s="611"/>
      <c r="I33" s="611"/>
      <c r="J33" s="662"/>
      <c r="M33" s="606"/>
    </row>
    <row r="34" spans="1:255">
      <c r="A34" s="589" t="s">
        <v>821</v>
      </c>
      <c r="B34" s="1399"/>
      <c r="C34" s="589"/>
      <c r="D34" s="589"/>
      <c r="E34" s="589"/>
      <c r="F34" s="589"/>
      <c r="G34" s="589"/>
      <c r="H34" s="589"/>
      <c r="I34" s="589"/>
      <c r="J34" s="663"/>
      <c r="M34" s="606"/>
    </row>
    <row r="35" spans="1:255">
      <c r="A35" s="589"/>
      <c r="B35" s="1399"/>
      <c r="C35" s="589"/>
      <c r="D35" s="612"/>
      <c r="E35" s="612"/>
      <c r="F35" s="612"/>
      <c r="G35" s="612"/>
      <c r="H35" s="612"/>
      <c r="I35" s="612"/>
      <c r="J35" s="664"/>
      <c r="M35" s="606"/>
    </row>
    <row r="36" spans="1:255">
      <c r="A36" s="589"/>
      <c r="B36" s="1402" t="s">
        <v>852</v>
      </c>
      <c r="D36" s="601" t="s">
        <v>873</v>
      </c>
      <c r="E36" s="601"/>
      <c r="F36" s="601"/>
      <c r="G36" s="601"/>
      <c r="H36" s="601"/>
      <c r="I36" s="601"/>
      <c r="J36" s="662">
        <v>21</v>
      </c>
      <c r="M36" s="606"/>
    </row>
    <row r="37" spans="1:255">
      <c r="A37" s="589"/>
      <c r="B37" s="1402" t="s">
        <v>822</v>
      </c>
      <c r="D37" s="611" t="s">
        <v>868</v>
      </c>
      <c r="E37" s="611"/>
      <c r="F37" s="611"/>
      <c r="G37" s="611"/>
      <c r="H37" s="611"/>
      <c r="I37" s="611"/>
      <c r="J37" s="662">
        <v>23</v>
      </c>
      <c r="M37" s="606"/>
    </row>
    <row r="38" spans="1:255">
      <c r="A38" s="589"/>
      <c r="B38" s="1402" t="s">
        <v>853</v>
      </c>
      <c r="D38" s="608" t="s">
        <v>1306</v>
      </c>
      <c r="E38" s="608"/>
      <c r="F38" s="608"/>
      <c r="G38" s="608"/>
      <c r="H38" s="608"/>
      <c r="I38" s="608"/>
      <c r="J38" s="662">
        <v>25</v>
      </c>
      <c r="M38" s="606"/>
    </row>
    <row r="39" spans="1:255">
      <c r="A39" s="589"/>
      <c r="B39" s="1402" t="s">
        <v>854</v>
      </c>
      <c r="D39" s="608" t="s">
        <v>1307</v>
      </c>
      <c r="E39" s="608"/>
      <c r="F39" s="608"/>
      <c r="G39" s="608"/>
      <c r="H39" s="608"/>
      <c r="I39" s="608"/>
      <c r="J39" s="662">
        <v>27</v>
      </c>
      <c r="M39" s="606"/>
    </row>
    <row r="40" spans="1:255">
      <c r="A40" s="589"/>
      <c r="B40" s="1397" t="s">
        <v>823</v>
      </c>
      <c r="D40" s="608" t="s">
        <v>1028</v>
      </c>
      <c r="E40" s="608"/>
      <c r="F40" s="608"/>
      <c r="G40" s="608"/>
      <c r="H40" s="608"/>
      <c r="I40" s="608"/>
      <c r="J40" s="662">
        <v>29</v>
      </c>
      <c r="M40" s="606"/>
    </row>
    <row r="41" spans="1:255">
      <c r="A41" s="589"/>
      <c r="B41" s="1402" t="s">
        <v>824</v>
      </c>
      <c r="D41" s="608" t="s">
        <v>986</v>
      </c>
      <c r="E41" s="608"/>
      <c r="F41" s="608"/>
      <c r="G41" s="608"/>
      <c r="H41" s="608"/>
      <c r="I41" s="608"/>
      <c r="J41" s="662">
        <v>30</v>
      </c>
      <c r="M41" s="606"/>
    </row>
    <row r="42" spans="1:255">
      <c r="A42" s="589"/>
      <c r="B42" s="1402" t="s">
        <v>855</v>
      </c>
      <c r="D42" s="608" t="s">
        <v>1308</v>
      </c>
      <c r="E42" s="608"/>
      <c r="F42" s="608"/>
      <c r="G42" s="608"/>
      <c r="H42" s="608"/>
      <c r="I42" s="608"/>
      <c r="J42" s="662">
        <v>32</v>
      </c>
      <c r="M42" s="606"/>
    </row>
    <row r="43" spans="1:255">
      <c r="A43" s="589"/>
      <c r="B43" s="1402" t="s">
        <v>856</v>
      </c>
      <c r="D43" s="608" t="s">
        <v>1309</v>
      </c>
      <c r="E43" s="608"/>
      <c r="F43" s="608"/>
      <c r="G43" s="608"/>
      <c r="H43" s="608"/>
      <c r="I43" s="608"/>
      <c r="J43" s="662">
        <v>34</v>
      </c>
      <c r="M43" s="606"/>
    </row>
    <row r="44" spans="1:255">
      <c r="A44" s="589"/>
      <c r="B44" s="1397" t="s">
        <v>825</v>
      </c>
      <c r="D44" s="608" t="s">
        <v>874</v>
      </c>
      <c r="E44" s="608"/>
      <c r="F44" s="608"/>
      <c r="G44" s="608"/>
      <c r="H44" s="608"/>
      <c r="I44" s="608"/>
      <c r="J44" s="662">
        <v>35</v>
      </c>
      <c r="M44" s="606"/>
    </row>
    <row r="45" spans="1:255">
      <c r="A45" s="589"/>
      <c r="B45" s="1402" t="s">
        <v>826</v>
      </c>
      <c r="D45" s="608" t="s">
        <v>870</v>
      </c>
      <c r="E45" s="608"/>
      <c r="F45" s="608"/>
      <c r="G45" s="608"/>
      <c r="H45" s="608"/>
      <c r="I45" s="608"/>
      <c r="J45" s="662">
        <v>36</v>
      </c>
      <c r="M45" s="606"/>
    </row>
    <row r="46" spans="1:255">
      <c r="A46" s="589"/>
      <c r="B46" s="1397" t="s">
        <v>827</v>
      </c>
      <c r="D46" s="608" t="s">
        <v>871</v>
      </c>
      <c r="E46" s="608"/>
      <c r="F46" s="608"/>
      <c r="G46" s="608"/>
      <c r="H46" s="608"/>
      <c r="I46" s="608"/>
      <c r="J46" s="662">
        <v>37</v>
      </c>
      <c r="M46" s="606"/>
    </row>
    <row r="47" spans="1:255">
      <c r="A47" s="589"/>
      <c r="B47" s="1397" t="s">
        <v>828</v>
      </c>
      <c r="D47" s="609" t="s">
        <v>872</v>
      </c>
      <c r="E47" s="609"/>
      <c r="F47" s="609"/>
      <c r="G47" s="609"/>
      <c r="H47" s="609"/>
      <c r="I47" s="609"/>
      <c r="J47" s="662">
        <v>38</v>
      </c>
      <c r="K47" s="589"/>
      <c r="L47" s="589"/>
      <c r="M47" s="589"/>
      <c r="N47" s="589"/>
      <c r="O47" s="589"/>
      <c r="P47" s="589"/>
      <c r="Q47" s="589"/>
      <c r="R47" s="589"/>
      <c r="S47" s="589"/>
      <c r="T47" s="589"/>
      <c r="U47" s="589"/>
      <c r="V47" s="589"/>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c r="AS47" s="589"/>
      <c r="AT47" s="589"/>
      <c r="AU47" s="589"/>
      <c r="AV47" s="589"/>
      <c r="AW47" s="589"/>
      <c r="AX47" s="589"/>
      <c r="AY47" s="589"/>
      <c r="AZ47" s="589"/>
      <c r="BA47" s="589"/>
      <c r="BB47" s="589"/>
      <c r="BC47" s="589"/>
      <c r="BD47" s="589"/>
      <c r="BE47" s="589"/>
      <c r="BF47" s="589"/>
      <c r="BG47" s="589"/>
      <c r="BH47" s="589"/>
      <c r="BI47" s="589"/>
      <c r="BJ47" s="589"/>
      <c r="BK47" s="589"/>
      <c r="BL47" s="589"/>
      <c r="BM47" s="589"/>
      <c r="BN47" s="589"/>
      <c r="BO47" s="589"/>
      <c r="BP47" s="589"/>
      <c r="BQ47" s="589"/>
      <c r="BR47" s="589"/>
      <c r="BS47" s="589"/>
      <c r="BT47" s="589"/>
      <c r="BU47" s="589"/>
      <c r="BV47" s="589"/>
      <c r="BW47" s="589"/>
      <c r="BX47" s="589"/>
      <c r="BY47" s="589"/>
      <c r="BZ47" s="589"/>
      <c r="CA47" s="589"/>
      <c r="CB47" s="589"/>
      <c r="CC47" s="589"/>
      <c r="CD47" s="589"/>
      <c r="CE47" s="589"/>
      <c r="CF47" s="589"/>
      <c r="CG47" s="589"/>
      <c r="CH47" s="589"/>
      <c r="CI47" s="589"/>
      <c r="CJ47" s="589"/>
      <c r="CK47" s="589"/>
      <c r="CL47" s="589"/>
      <c r="CM47" s="589"/>
      <c r="CN47" s="589"/>
      <c r="CO47" s="589"/>
      <c r="CP47" s="589"/>
      <c r="CQ47" s="589"/>
      <c r="CR47" s="589"/>
      <c r="CS47" s="589"/>
      <c r="CT47" s="589"/>
      <c r="CU47" s="589"/>
      <c r="CV47" s="589"/>
      <c r="CW47" s="589"/>
      <c r="CX47" s="589"/>
      <c r="CY47" s="589"/>
      <c r="CZ47" s="589"/>
      <c r="DA47" s="589"/>
      <c r="DB47" s="589"/>
      <c r="DC47" s="589"/>
      <c r="DD47" s="589"/>
      <c r="DE47" s="589"/>
      <c r="DF47" s="589"/>
      <c r="DG47" s="589"/>
      <c r="DH47" s="589"/>
      <c r="DI47" s="589"/>
      <c r="DJ47" s="589"/>
      <c r="DK47" s="589"/>
      <c r="DL47" s="589"/>
      <c r="DM47" s="589"/>
      <c r="DN47" s="589"/>
      <c r="DO47" s="589"/>
      <c r="DP47" s="589"/>
      <c r="DQ47" s="589"/>
      <c r="DR47" s="589"/>
      <c r="DS47" s="589"/>
      <c r="DT47" s="589"/>
      <c r="DU47" s="589"/>
      <c r="DV47" s="589"/>
      <c r="DW47" s="589"/>
      <c r="DX47" s="589"/>
      <c r="DY47" s="589"/>
      <c r="DZ47" s="589"/>
      <c r="EA47" s="589"/>
      <c r="EB47" s="589"/>
      <c r="EC47" s="589"/>
      <c r="ED47" s="589"/>
      <c r="EE47" s="589"/>
      <c r="EF47" s="589"/>
      <c r="EG47" s="589"/>
      <c r="EH47" s="589"/>
      <c r="EI47" s="589"/>
      <c r="EJ47" s="589"/>
      <c r="EK47" s="589"/>
      <c r="EL47" s="589"/>
      <c r="EM47" s="589"/>
      <c r="EN47" s="589"/>
      <c r="EO47" s="589"/>
      <c r="EP47" s="589"/>
      <c r="EQ47" s="589"/>
      <c r="ER47" s="589"/>
      <c r="ES47" s="589"/>
      <c r="ET47" s="589"/>
      <c r="EU47" s="589"/>
      <c r="EV47" s="589"/>
      <c r="EW47" s="589"/>
      <c r="EX47" s="589"/>
      <c r="EY47" s="589"/>
      <c r="EZ47" s="589"/>
      <c r="FA47" s="589"/>
      <c r="FB47" s="589"/>
      <c r="FC47" s="589"/>
      <c r="FD47" s="589"/>
      <c r="FE47" s="589"/>
      <c r="FF47" s="589"/>
      <c r="FG47" s="589"/>
      <c r="FH47" s="589"/>
      <c r="FI47" s="589"/>
      <c r="FJ47" s="589"/>
      <c r="FK47" s="589"/>
      <c r="FL47" s="589"/>
      <c r="FM47" s="589"/>
      <c r="FN47" s="589"/>
      <c r="FO47" s="589"/>
      <c r="FP47" s="589"/>
      <c r="FQ47" s="589"/>
      <c r="FR47" s="589"/>
      <c r="FS47" s="589"/>
      <c r="FT47" s="589"/>
      <c r="FU47" s="589"/>
      <c r="FV47" s="589"/>
      <c r="FW47" s="589"/>
      <c r="FX47" s="589"/>
      <c r="FY47" s="589"/>
      <c r="FZ47" s="589"/>
      <c r="GA47" s="589"/>
      <c r="GB47" s="589"/>
      <c r="GC47" s="589"/>
      <c r="GD47" s="589"/>
      <c r="GE47" s="589"/>
      <c r="GF47" s="589"/>
      <c r="GG47" s="589"/>
      <c r="GH47" s="589"/>
      <c r="GI47" s="589"/>
      <c r="GJ47" s="589"/>
      <c r="GK47" s="589"/>
      <c r="GL47" s="589"/>
      <c r="GM47" s="589"/>
      <c r="GN47" s="589"/>
      <c r="GO47" s="589"/>
      <c r="GP47" s="589"/>
      <c r="GQ47" s="589"/>
      <c r="GR47" s="589"/>
      <c r="GS47" s="589"/>
      <c r="GT47" s="589"/>
      <c r="GU47" s="589"/>
      <c r="GV47" s="589"/>
      <c r="GW47" s="589"/>
      <c r="GX47" s="589"/>
      <c r="GY47" s="589"/>
      <c r="GZ47" s="589"/>
      <c r="HA47" s="589"/>
      <c r="HB47" s="589"/>
      <c r="HC47" s="589"/>
      <c r="HD47" s="589"/>
      <c r="HE47" s="589"/>
      <c r="HF47" s="589"/>
      <c r="HG47" s="589"/>
      <c r="HH47" s="589"/>
      <c r="HI47" s="589"/>
      <c r="HJ47" s="589"/>
      <c r="HK47" s="589"/>
      <c r="HL47" s="589"/>
      <c r="HM47" s="589"/>
      <c r="HN47" s="589"/>
      <c r="HO47" s="589"/>
      <c r="HP47" s="589"/>
      <c r="HQ47" s="589"/>
      <c r="HR47" s="589"/>
      <c r="HS47" s="589"/>
      <c r="HT47" s="589"/>
      <c r="HU47" s="589"/>
      <c r="HV47" s="589"/>
      <c r="HW47" s="589"/>
      <c r="HX47" s="589"/>
      <c r="HY47" s="589"/>
      <c r="HZ47" s="589"/>
      <c r="IA47" s="589"/>
      <c r="IB47" s="589"/>
      <c r="IC47" s="589"/>
      <c r="ID47" s="589"/>
      <c r="IE47" s="589"/>
      <c r="IF47" s="589"/>
      <c r="IG47" s="589"/>
      <c r="IH47" s="589"/>
      <c r="II47" s="589"/>
      <c r="IJ47" s="589"/>
      <c r="IK47" s="589"/>
      <c r="IL47" s="589"/>
      <c r="IM47" s="589"/>
      <c r="IN47" s="589"/>
      <c r="IO47" s="589"/>
      <c r="IP47" s="589"/>
      <c r="IQ47" s="589"/>
      <c r="IR47" s="589"/>
      <c r="IS47" s="589"/>
      <c r="IT47" s="589"/>
      <c r="IU47" s="589"/>
    </row>
    <row r="48" spans="1:255">
      <c r="A48" s="589"/>
      <c r="B48" s="1398"/>
      <c r="D48" s="611"/>
      <c r="E48" s="611"/>
      <c r="F48" s="611"/>
      <c r="G48" s="611"/>
      <c r="H48" s="611"/>
      <c r="I48" s="611"/>
      <c r="J48" s="662"/>
      <c r="M48" s="606"/>
    </row>
    <row r="49" spans="1:13">
      <c r="A49" s="589" t="s">
        <v>829</v>
      </c>
      <c r="B49" s="1398"/>
      <c r="D49" s="611"/>
      <c r="E49" s="611"/>
      <c r="F49" s="611"/>
      <c r="G49" s="611"/>
      <c r="H49" s="611"/>
      <c r="I49" s="611"/>
      <c r="J49" s="662"/>
      <c r="M49" s="606"/>
    </row>
    <row r="50" spans="1:13">
      <c r="A50" s="589"/>
      <c r="B50" s="1399"/>
      <c r="C50" s="589"/>
      <c r="D50" s="612"/>
      <c r="E50" s="612"/>
      <c r="F50" s="612"/>
      <c r="G50" s="612"/>
      <c r="H50" s="612"/>
      <c r="I50" s="612"/>
      <c r="J50" s="663"/>
      <c r="M50" s="606"/>
    </row>
    <row r="51" spans="1:13">
      <c r="A51" s="589"/>
      <c r="B51" s="1397" t="s">
        <v>830</v>
      </c>
      <c r="D51" s="611" t="s">
        <v>875</v>
      </c>
      <c r="E51" s="611"/>
      <c r="F51" s="611"/>
      <c r="G51" s="611"/>
      <c r="H51" s="611"/>
      <c r="I51" s="611"/>
      <c r="J51" s="662">
        <v>39</v>
      </c>
      <c r="M51" s="606"/>
    </row>
    <row r="52" spans="1:13">
      <c r="A52" s="589"/>
      <c r="B52" s="1397" t="s">
        <v>831</v>
      </c>
      <c r="D52" s="608" t="s">
        <v>876</v>
      </c>
      <c r="E52" s="608"/>
      <c r="F52" s="608"/>
      <c r="G52" s="608"/>
      <c r="H52" s="608"/>
      <c r="I52" s="608"/>
      <c r="J52" s="662">
        <v>42</v>
      </c>
      <c r="M52" s="606"/>
    </row>
    <row r="53" spans="1:13">
      <c r="A53" s="589"/>
      <c r="B53" s="1397" t="s">
        <v>832</v>
      </c>
      <c r="D53" s="608" t="s">
        <v>877</v>
      </c>
      <c r="E53" s="608"/>
      <c r="F53" s="608"/>
      <c r="G53" s="608"/>
      <c r="H53" s="608"/>
      <c r="I53" s="608"/>
      <c r="J53" s="662">
        <v>43</v>
      </c>
      <c r="M53" s="606"/>
    </row>
    <row r="54" spans="1:13">
      <c r="A54" s="589"/>
      <c r="B54" s="1397" t="s">
        <v>833</v>
      </c>
      <c r="D54" s="608" t="s">
        <v>880</v>
      </c>
      <c r="E54" s="608"/>
      <c r="F54" s="608"/>
      <c r="G54" s="608"/>
      <c r="H54" s="608"/>
      <c r="I54" s="608"/>
      <c r="J54" s="662">
        <v>44</v>
      </c>
      <c r="M54" s="606"/>
    </row>
    <row r="55" spans="1:13">
      <c r="A55" s="589"/>
      <c r="B55" s="1397" t="s">
        <v>834</v>
      </c>
      <c r="D55" s="608" t="s">
        <v>878</v>
      </c>
      <c r="E55" s="608"/>
      <c r="F55" s="608"/>
      <c r="G55" s="608"/>
      <c r="H55" s="608"/>
      <c r="I55" s="608"/>
      <c r="J55" s="662">
        <v>45</v>
      </c>
      <c r="K55" s="613"/>
      <c r="M55" s="606"/>
    </row>
    <row r="56" spans="1:13">
      <c r="A56" s="589"/>
      <c r="B56" s="1402" t="s">
        <v>835</v>
      </c>
      <c r="D56" s="608" t="s">
        <v>879</v>
      </c>
      <c r="E56" s="608"/>
      <c r="F56" s="608"/>
      <c r="G56" s="608"/>
      <c r="H56" s="608"/>
      <c r="I56" s="608"/>
      <c r="J56" s="662">
        <v>46</v>
      </c>
      <c r="K56" s="599"/>
    </row>
    <row r="57" spans="1:13">
      <c r="A57" s="589"/>
      <c r="B57" s="1397" t="s">
        <v>836</v>
      </c>
      <c r="D57" s="609" t="s">
        <v>837</v>
      </c>
      <c r="E57" s="609"/>
      <c r="F57" s="609"/>
      <c r="G57" s="609"/>
      <c r="H57" s="609"/>
      <c r="I57" s="609"/>
      <c r="J57" s="662">
        <v>47</v>
      </c>
      <c r="K57" s="599"/>
    </row>
    <row r="58" spans="1:13">
      <c r="A58" s="589"/>
      <c r="B58" s="1400" t="s">
        <v>857</v>
      </c>
      <c r="D58" s="601" t="s">
        <v>838</v>
      </c>
      <c r="E58" s="601"/>
      <c r="F58" s="601"/>
      <c r="G58" s="601"/>
      <c r="H58" s="601"/>
      <c r="I58" s="601"/>
      <c r="J58" s="662">
        <v>48</v>
      </c>
      <c r="K58" s="599"/>
      <c r="M58" s="606"/>
    </row>
    <row r="59" spans="1:13">
      <c r="A59" s="589"/>
      <c r="B59" s="1401" t="s">
        <v>858</v>
      </c>
      <c r="D59" s="604" t="s">
        <v>839</v>
      </c>
      <c r="E59" s="604"/>
      <c r="F59" s="604"/>
      <c r="G59" s="604"/>
      <c r="H59" s="604"/>
      <c r="I59" s="604"/>
      <c r="J59" s="662">
        <v>49</v>
      </c>
      <c r="K59" s="599"/>
      <c r="M59" s="606"/>
    </row>
    <row r="60" spans="1:13">
      <c r="A60" s="589"/>
      <c r="B60" s="1401" t="s">
        <v>859</v>
      </c>
      <c r="D60" s="614" t="s">
        <v>840</v>
      </c>
      <c r="E60" s="604"/>
      <c r="F60" s="614"/>
      <c r="G60" s="604"/>
      <c r="H60" s="604"/>
      <c r="I60" s="604"/>
      <c r="J60" s="662">
        <v>50</v>
      </c>
      <c r="K60" s="599"/>
      <c r="M60" s="606"/>
    </row>
    <row r="61" spans="1:13">
      <c r="A61" s="589"/>
      <c r="B61" s="1401" t="s">
        <v>860</v>
      </c>
      <c r="D61" s="604" t="s">
        <v>841</v>
      </c>
      <c r="E61" s="604"/>
      <c r="F61" s="604"/>
      <c r="G61" s="604"/>
      <c r="H61" s="604"/>
      <c r="I61" s="604"/>
      <c r="J61" s="662">
        <v>51</v>
      </c>
      <c r="K61" s="611"/>
      <c r="M61" s="606"/>
    </row>
    <row r="62" spans="1:13">
      <c r="A62" s="589"/>
      <c r="B62" s="1672" t="s">
        <v>861</v>
      </c>
      <c r="D62" s="604" t="s">
        <v>1310</v>
      </c>
      <c r="E62" s="604"/>
      <c r="F62" s="604"/>
      <c r="G62" s="604"/>
      <c r="H62" s="605"/>
      <c r="I62" s="604"/>
      <c r="J62" s="662">
        <v>52</v>
      </c>
      <c r="K62" s="611"/>
      <c r="M62" s="606"/>
    </row>
    <row r="63" spans="1:13">
      <c r="A63" s="589"/>
      <c r="B63" s="1672" t="s">
        <v>862</v>
      </c>
      <c r="D63" s="604" t="s">
        <v>842</v>
      </c>
      <c r="E63" s="604"/>
      <c r="F63" s="604"/>
      <c r="G63" s="604"/>
      <c r="H63" s="605"/>
      <c r="I63" s="604"/>
      <c r="J63" s="662">
        <v>53</v>
      </c>
      <c r="K63" s="611"/>
      <c r="M63" s="606"/>
    </row>
    <row r="64" spans="1:13">
      <c r="A64" s="589"/>
      <c r="B64" s="1402" t="s">
        <v>863</v>
      </c>
      <c r="D64" s="604" t="s">
        <v>1248</v>
      </c>
      <c r="E64" s="604"/>
      <c r="F64" s="604"/>
      <c r="G64" s="604"/>
      <c r="H64" s="605"/>
      <c r="I64" s="604"/>
      <c r="J64" s="662">
        <v>57</v>
      </c>
      <c r="K64" s="611"/>
      <c r="M64" s="606"/>
    </row>
    <row r="65" spans="1:13" ht="13.35" customHeight="1">
      <c r="A65" s="589"/>
      <c r="B65" s="1402" t="s">
        <v>1543</v>
      </c>
      <c r="D65" s="604" t="s">
        <v>1578</v>
      </c>
      <c r="E65" s="604"/>
      <c r="F65" s="604"/>
      <c r="G65" s="604"/>
      <c r="H65" s="605"/>
      <c r="I65" s="604"/>
      <c r="J65" s="662">
        <v>58</v>
      </c>
      <c r="K65" s="611"/>
      <c r="M65" s="606"/>
    </row>
    <row r="66" spans="1:13" ht="13.35" customHeight="1">
      <c r="A66" s="589"/>
      <c r="B66" s="1402" t="s">
        <v>1544</v>
      </c>
      <c r="D66" s="604" t="s">
        <v>1579</v>
      </c>
      <c r="E66" s="604"/>
      <c r="F66" s="604"/>
      <c r="G66" s="604"/>
      <c r="H66" s="605"/>
      <c r="I66" s="604"/>
      <c r="J66" s="662">
        <v>59</v>
      </c>
      <c r="K66" s="611"/>
      <c r="M66" s="606"/>
    </row>
    <row r="67" spans="1:13" ht="13.35" customHeight="1">
      <c r="A67" s="589"/>
      <c r="B67" s="615"/>
      <c r="D67" s="616"/>
      <c r="E67" s="616"/>
      <c r="F67" s="616"/>
      <c r="G67" s="616"/>
      <c r="H67" s="616"/>
      <c r="I67" s="616"/>
      <c r="J67" s="603"/>
      <c r="K67" s="611"/>
      <c r="M67" s="606"/>
    </row>
    <row r="68" spans="1:13" ht="13.35" customHeight="1">
      <c r="A68" s="589"/>
      <c r="B68" s="615"/>
      <c r="D68" s="616"/>
      <c r="E68" s="616"/>
      <c r="F68" s="616"/>
      <c r="G68" s="616"/>
      <c r="H68" s="616"/>
      <c r="I68" s="616"/>
      <c r="J68" s="603"/>
      <c r="K68" s="611"/>
      <c r="M68" s="606"/>
    </row>
    <row r="69" spans="1:13" ht="13.35" customHeight="1">
      <c r="A69" s="589"/>
      <c r="B69" s="615"/>
      <c r="D69" s="616"/>
      <c r="E69" s="616"/>
      <c r="F69" s="616"/>
      <c r="G69" s="616"/>
      <c r="H69" s="616"/>
      <c r="I69" s="616"/>
      <c r="J69" s="603"/>
      <c r="K69" s="611"/>
      <c r="M69" s="606"/>
    </row>
    <row r="70" spans="1:13" ht="13.35" customHeight="1">
      <c r="A70" s="589"/>
      <c r="B70" s="615"/>
      <c r="D70" s="616"/>
      <c r="E70" s="616"/>
      <c r="F70" s="616"/>
      <c r="G70" s="616"/>
      <c r="H70" s="616"/>
      <c r="I70" s="616"/>
      <c r="J70" s="603"/>
      <c r="K70" s="611"/>
      <c r="M70" s="606"/>
    </row>
    <row r="71" spans="1:13" ht="13.35" customHeight="1">
      <c r="A71" s="589"/>
      <c r="B71" s="615"/>
      <c r="D71" s="616"/>
      <c r="E71" s="616"/>
      <c r="F71" s="616"/>
      <c r="G71" s="616"/>
      <c r="H71" s="616"/>
      <c r="I71" s="616"/>
      <c r="J71" s="603"/>
      <c r="K71" s="611"/>
      <c r="M71" s="606"/>
    </row>
    <row r="72" spans="1:13" ht="13.35" customHeight="1">
      <c r="A72" s="589"/>
      <c r="B72" s="615"/>
      <c r="D72" s="616"/>
      <c r="E72" s="616"/>
      <c r="F72" s="616"/>
      <c r="G72" s="616"/>
      <c r="H72" s="616"/>
      <c r="I72" s="616"/>
      <c r="J72" s="603"/>
      <c r="K72" s="611"/>
      <c r="M72" s="606"/>
    </row>
    <row r="73" spans="1:13" ht="13.35" customHeight="1">
      <c r="A73" s="589"/>
      <c r="B73" s="615"/>
      <c r="D73" s="616"/>
      <c r="E73" s="616"/>
      <c r="F73" s="616"/>
      <c r="G73" s="616"/>
      <c r="H73" s="616"/>
      <c r="I73" s="616"/>
      <c r="J73" s="603"/>
      <c r="K73" s="611"/>
      <c r="M73" s="606"/>
    </row>
    <row r="74" spans="1:13" ht="13.35" customHeight="1">
      <c r="A74" s="589"/>
      <c r="B74" s="615"/>
      <c r="D74" s="616"/>
      <c r="E74" s="616"/>
      <c r="F74" s="616"/>
      <c r="G74" s="616"/>
      <c r="H74" s="616"/>
      <c r="I74" s="616"/>
      <c r="J74" s="603"/>
      <c r="K74" s="611"/>
      <c r="M74" s="606"/>
    </row>
    <row r="75" spans="1:13" ht="13.35" customHeight="1">
      <c r="A75" s="589"/>
      <c r="B75" s="615"/>
      <c r="D75" s="616"/>
      <c r="E75" s="616"/>
      <c r="F75" s="616"/>
      <c r="G75" s="616"/>
      <c r="H75" s="616"/>
      <c r="I75" s="616"/>
      <c r="J75" s="603"/>
      <c r="K75" s="611"/>
      <c r="M75" s="606"/>
    </row>
    <row r="76" spans="1:13" ht="13.35" customHeight="1">
      <c r="A76" s="589"/>
      <c r="B76" s="615"/>
      <c r="D76" s="616"/>
      <c r="E76" s="616"/>
      <c r="F76" s="616"/>
      <c r="G76" s="616"/>
      <c r="H76" s="616"/>
      <c r="I76" s="616"/>
      <c r="J76" s="603"/>
      <c r="K76" s="611"/>
      <c r="M76" s="606"/>
    </row>
    <row r="77" spans="1:13" ht="13.35" customHeight="1">
      <c r="A77" s="589"/>
      <c r="B77" s="615"/>
      <c r="D77" s="616"/>
      <c r="E77" s="616"/>
      <c r="F77" s="616"/>
      <c r="G77" s="616"/>
      <c r="H77" s="616"/>
      <c r="I77" s="616"/>
      <c r="J77" s="603"/>
      <c r="K77" s="611"/>
      <c r="M77" s="606"/>
    </row>
    <row r="78" spans="1:13" ht="13.35" customHeight="1">
      <c r="A78" s="589"/>
      <c r="B78" s="615"/>
      <c r="D78" s="616"/>
      <c r="E78" s="616"/>
      <c r="F78" s="616"/>
      <c r="G78" s="616"/>
      <c r="H78" s="616"/>
      <c r="I78" s="616"/>
      <c r="J78" s="603"/>
      <c r="K78" s="611"/>
      <c r="M78" s="606"/>
    </row>
    <row r="79" spans="1:13" ht="13.35" customHeight="1">
      <c r="A79" s="589"/>
      <c r="B79" s="615"/>
      <c r="D79" s="616"/>
      <c r="E79" s="616"/>
      <c r="F79" s="616"/>
      <c r="G79" s="616"/>
      <c r="H79" s="616"/>
      <c r="I79" s="616"/>
      <c r="J79" s="603"/>
      <c r="K79" s="611"/>
      <c r="M79" s="606"/>
    </row>
    <row r="80" spans="1:13" ht="13.35" customHeight="1">
      <c r="A80" s="589"/>
      <c r="B80" s="615"/>
      <c r="D80" s="616"/>
      <c r="E80" s="616"/>
      <c r="F80" s="616"/>
      <c r="G80" s="616"/>
      <c r="H80" s="616"/>
      <c r="I80" s="616"/>
      <c r="J80" s="603"/>
      <c r="K80" s="611"/>
      <c r="M80" s="606"/>
    </row>
    <row r="81" spans="1:13" ht="13.35" customHeight="1">
      <c r="A81" s="589"/>
      <c r="B81" s="615"/>
      <c r="D81" s="616"/>
      <c r="E81" s="616"/>
      <c r="F81" s="616"/>
      <c r="G81" s="616"/>
      <c r="H81" s="616"/>
      <c r="I81" s="616"/>
      <c r="J81" s="603"/>
      <c r="K81" s="611"/>
      <c r="M81" s="606"/>
    </row>
    <row r="82" spans="1:13" ht="13.35" customHeight="1">
      <c r="A82" s="589"/>
      <c r="B82" s="615"/>
      <c r="D82" s="616"/>
      <c r="E82" s="616"/>
      <c r="F82" s="616"/>
      <c r="G82" s="616"/>
      <c r="H82" s="616"/>
      <c r="I82" s="616"/>
      <c r="J82" s="603"/>
      <c r="K82" s="611"/>
      <c r="M82" s="606"/>
    </row>
    <row r="83" spans="1:13" ht="13.35" customHeight="1">
      <c r="A83" s="589"/>
      <c r="B83" s="615"/>
      <c r="D83" s="616"/>
      <c r="E83" s="616"/>
      <c r="F83" s="616"/>
      <c r="G83" s="616"/>
      <c r="H83" s="616"/>
      <c r="I83" s="616"/>
      <c r="J83" s="603"/>
      <c r="K83" s="611"/>
      <c r="M83" s="606"/>
    </row>
    <row r="84" spans="1:13" ht="13.35" customHeight="1">
      <c r="A84" s="589"/>
      <c r="B84" s="615"/>
      <c r="D84" s="616"/>
      <c r="E84" s="616"/>
      <c r="F84" s="616"/>
      <c r="G84" s="616"/>
      <c r="H84" s="616"/>
      <c r="I84" s="616"/>
      <c r="J84" s="603"/>
      <c r="K84" s="611"/>
      <c r="M84" s="606"/>
    </row>
    <row r="85" spans="1:13" ht="13.35" customHeight="1">
      <c r="A85" s="589"/>
      <c r="B85" s="615"/>
      <c r="D85" s="616"/>
      <c r="E85" s="616"/>
      <c r="F85" s="616"/>
      <c r="G85" s="616"/>
      <c r="H85" s="616"/>
      <c r="I85" s="616"/>
      <c r="J85" s="603"/>
      <c r="K85" s="611"/>
      <c r="M85" s="606"/>
    </row>
    <row r="86" spans="1:13" ht="13.35" customHeight="1">
      <c r="A86" s="589"/>
      <c r="B86" s="615"/>
      <c r="D86" s="616"/>
      <c r="E86" s="616"/>
      <c r="F86" s="616"/>
      <c r="G86" s="616"/>
      <c r="H86" s="616"/>
      <c r="I86" s="616"/>
      <c r="J86" s="603"/>
      <c r="K86" s="611"/>
      <c r="M86" s="606"/>
    </row>
    <row r="87" spans="1:13" ht="13.35" customHeight="1">
      <c r="A87" s="589"/>
      <c r="B87" s="615"/>
      <c r="D87" s="616"/>
      <c r="E87" s="616"/>
      <c r="F87" s="616"/>
      <c r="G87" s="616"/>
      <c r="H87" s="616"/>
      <c r="I87" s="616"/>
      <c r="J87" s="603"/>
      <c r="K87" s="611"/>
      <c r="M87" s="606"/>
    </row>
    <row r="88" spans="1:13" ht="13.35" customHeight="1">
      <c r="A88" s="589"/>
      <c r="B88" s="615"/>
      <c r="D88" s="616"/>
      <c r="E88" s="616"/>
      <c r="F88" s="616"/>
      <c r="G88" s="616"/>
      <c r="H88" s="616"/>
      <c r="I88" s="616"/>
      <c r="J88" s="603"/>
      <c r="K88" s="611"/>
      <c r="M88" s="606"/>
    </row>
    <row r="89" spans="1:13" ht="13.35" customHeight="1">
      <c r="A89" s="589"/>
      <c r="B89" s="615"/>
      <c r="D89" s="616"/>
      <c r="E89" s="616"/>
      <c r="F89" s="616"/>
      <c r="G89" s="616"/>
      <c r="H89" s="616"/>
      <c r="I89" s="616"/>
      <c r="J89" s="603"/>
      <c r="K89" s="611"/>
      <c r="M89" s="606"/>
    </row>
    <row r="90" spans="1:13" ht="13.35" customHeight="1">
      <c r="A90" s="589"/>
      <c r="B90" s="615"/>
      <c r="D90" s="616"/>
      <c r="E90" s="616"/>
      <c r="F90" s="616"/>
      <c r="G90" s="616"/>
      <c r="H90" s="616"/>
      <c r="I90" s="616"/>
      <c r="J90" s="603"/>
      <c r="K90" s="611"/>
      <c r="M90" s="606"/>
    </row>
    <row r="91" spans="1:13" ht="13.35" customHeight="1">
      <c r="A91" s="589"/>
      <c r="B91" s="615"/>
      <c r="D91" s="616"/>
      <c r="E91" s="616"/>
      <c r="F91" s="616"/>
      <c r="G91" s="616"/>
      <c r="H91" s="616"/>
      <c r="I91" s="616"/>
      <c r="J91" s="603"/>
      <c r="K91" s="611"/>
      <c r="M91" s="606"/>
    </row>
    <row r="92" spans="1:13" ht="13.35" customHeight="1">
      <c r="A92" s="589"/>
      <c r="B92" s="615"/>
      <c r="D92" s="616"/>
      <c r="E92" s="616"/>
      <c r="F92" s="616"/>
      <c r="G92" s="616"/>
      <c r="H92" s="616"/>
      <c r="I92" s="616"/>
      <c r="J92" s="603"/>
      <c r="M92" s="606"/>
    </row>
    <row r="93" spans="1:13" ht="13.35" customHeight="1">
      <c r="A93" s="589"/>
      <c r="B93" s="615"/>
      <c r="D93" s="616"/>
      <c r="E93" s="616"/>
      <c r="F93" s="616"/>
      <c r="G93" s="616"/>
      <c r="H93" s="616"/>
      <c r="I93" s="616"/>
      <c r="J93" s="603"/>
      <c r="M93" s="606"/>
    </row>
    <row r="94" spans="1:13" ht="13.35" customHeight="1">
      <c r="A94" s="589"/>
      <c r="B94" s="615"/>
      <c r="D94" s="616"/>
      <c r="E94" s="616"/>
      <c r="F94" s="616"/>
      <c r="G94" s="616"/>
      <c r="H94" s="616"/>
      <c r="I94" s="616"/>
      <c r="J94" s="603"/>
      <c r="M94" s="606"/>
    </row>
    <row r="95" spans="1:13" ht="13.35" customHeight="1">
      <c r="A95" s="589"/>
      <c r="B95" s="615"/>
      <c r="D95" s="616"/>
      <c r="E95" s="616"/>
      <c r="F95" s="616"/>
      <c r="G95" s="616"/>
      <c r="H95" s="616"/>
      <c r="I95" s="616"/>
      <c r="J95" s="603"/>
      <c r="M95" s="606"/>
    </row>
    <row r="96" spans="1:13" ht="13.35" customHeight="1">
      <c r="A96" s="589"/>
      <c r="B96" s="615"/>
      <c r="D96" s="616"/>
      <c r="E96" s="616"/>
      <c r="F96" s="616"/>
      <c r="G96" s="616"/>
      <c r="H96" s="616"/>
      <c r="I96" s="616"/>
      <c r="J96" s="603"/>
      <c r="M96" s="606"/>
    </row>
    <row r="97" spans="1:13" ht="13.35" customHeight="1">
      <c r="A97" s="589"/>
      <c r="B97" s="615"/>
      <c r="D97" s="616"/>
      <c r="E97" s="616"/>
      <c r="F97" s="616"/>
      <c r="G97" s="616"/>
      <c r="H97" s="616"/>
      <c r="I97" s="616"/>
      <c r="J97" s="603"/>
      <c r="M97" s="606"/>
    </row>
    <row r="98" spans="1:13" ht="13.35" customHeight="1">
      <c r="A98" s="589"/>
      <c r="B98" s="615"/>
      <c r="D98" s="616"/>
      <c r="E98" s="616"/>
      <c r="F98" s="616"/>
      <c r="G98" s="616"/>
      <c r="H98" s="616"/>
      <c r="I98" s="616"/>
      <c r="J98" s="603"/>
      <c r="M98" s="606"/>
    </row>
    <row r="99" spans="1:13" ht="13.35" customHeight="1">
      <c r="A99" s="589"/>
      <c r="B99" s="615"/>
      <c r="D99" s="616"/>
      <c r="E99" s="616"/>
      <c r="F99" s="616"/>
      <c r="G99" s="616"/>
      <c r="H99" s="616"/>
      <c r="I99" s="616"/>
      <c r="J99" s="603"/>
      <c r="M99" s="606"/>
    </row>
    <row r="100" spans="1:13" ht="13.35" customHeight="1">
      <c r="A100" s="589"/>
      <c r="B100" s="615"/>
      <c r="D100" s="616"/>
      <c r="E100" s="616"/>
      <c r="F100" s="616"/>
      <c r="G100" s="616"/>
      <c r="H100" s="616"/>
      <c r="I100" s="616"/>
      <c r="J100" s="603"/>
      <c r="M100" s="606"/>
    </row>
    <row r="101" spans="1:13">
      <c r="A101" s="611"/>
      <c r="B101" s="617"/>
      <c r="C101" s="611"/>
      <c r="D101" s="611"/>
      <c r="E101" s="611"/>
      <c r="F101" s="611"/>
      <c r="G101" s="611"/>
      <c r="H101" s="611"/>
      <c r="I101" s="611"/>
      <c r="J101" s="619"/>
    </row>
    <row r="102" spans="1:13">
      <c r="B102" s="615"/>
      <c r="J102" s="618"/>
    </row>
    <row r="103" spans="1:13">
      <c r="B103" s="615"/>
      <c r="J103" s="618"/>
    </row>
    <row r="104" spans="1:13">
      <c r="B104" s="615"/>
    </row>
    <row r="105" spans="1:13">
      <c r="B105" s="615"/>
    </row>
    <row r="106" spans="1:13">
      <c r="B106" s="615"/>
    </row>
    <row r="107" spans="1:13">
      <c r="B107" s="615"/>
    </row>
    <row r="108" spans="1:13">
      <c r="B108" s="615"/>
    </row>
    <row r="109" spans="1:13">
      <c r="B109" s="615"/>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workbookViewId="0"/>
  </sheetViews>
  <sheetFormatPr defaultColWidth="8.88671875" defaultRowHeight="15"/>
  <cols>
    <col min="1" max="1" width="50.109375" style="942" customWidth="1"/>
    <col min="2" max="2" width="3.88671875" style="631" customWidth="1"/>
    <col min="3" max="3" width="16.88671875" style="631" customWidth="1"/>
    <col min="4" max="4" width="1.5546875" style="631" customWidth="1"/>
    <col min="5" max="5" width="16.44140625" style="432" customWidth="1"/>
    <col min="6" max="6" width="3.109375" style="946" customWidth="1"/>
    <col min="7" max="7" width="14.109375" style="946" customWidth="1"/>
    <col min="8" max="8" width="2.109375" style="946" customWidth="1"/>
    <col min="9" max="9" width="14.109375" style="946" customWidth="1"/>
    <col min="10" max="10" width="1.109375" style="946" customWidth="1"/>
    <col min="11" max="11" width="14.109375" style="946" customWidth="1"/>
    <col min="12" max="12" width="1.109375" style="946" customWidth="1"/>
    <col min="13" max="13" width="16.109375" style="946" customWidth="1"/>
    <col min="14" max="14" width="1.5546875" style="631" customWidth="1"/>
    <col min="15" max="15" width="12.5546875" style="631" customWidth="1"/>
    <col min="16" max="16" width="11.44140625" style="631" customWidth="1"/>
    <col min="17" max="17" width="1.88671875" style="631" customWidth="1"/>
    <col min="18" max="18" width="11.88671875" style="631" customWidth="1"/>
    <col min="19" max="19" width="2.109375" style="631" customWidth="1"/>
    <col min="20" max="20" width="11.44140625" style="631" customWidth="1"/>
    <col min="21" max="21" width="0.5546875" style="631" customWidth="1"/>
    <col min="22" max="22" width="2.109375" style="631" customWidth="1"/>
    <col min="23" max="23" width="10.5546875" style="631" customWidth="1"/>
    <col min="24" max="24" width="11.109375" style="631" customWidth="1"/>
    <col min="25" max="25" width="2.109375" style="631" customWidth="1"/>
    <col min="26" max="26" width="11.109375" style="631" customWidth="1"/>
    <col min="27" max="27" width="2.109375" style="631" customWidth="1"/>
    <col min="28" max="28" width="12.44140625" style="631" customWidth="1"/>
    <col min="29" max="33" width="8.88671875" style="631"/>
    <col min="34" max="34" width="8.88671875" style="946"/>
    <col min="35" max="16384" width="8.88671875" style="942"/>
  </cols>
  <sheetData>
    <row r="1" spans="1:28">
      <c r="A1" s="653" t="s">
        <v>979</v>
      </c>
      <c r="B1" s="186"/>
      <c r="C1" s="186"/>
      <c r="D1" s="186"/>
      <c r="E1" s="426"/>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6"/>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9"/>
      <c r="F3" s="143"/>
      <c r="G3" s="143"/>
      <c r="H3" s="143"/>
      <c r="I3" s="143"/>
      <c r="J3" s="143"/>
      <c r="K3" s="143"/>
      <c r="L3" s="143"/>
      <c r="M3" s="832"/>
      <c r="N3" s="143"/>
      <c r="O3" s="832" t="s">
        <v>84</v>
      </c>
      <c r="P3" s="156"/>
      <c r="Q3" s="156"/>
      <c r="R3" s="156"/>
      <c r="S3" s="156"/>
      <c r="T3" s="156"/>
      <c r="U3" s="156"/>
      <c r="V3" s="156"/>
      <c r="W3" s="156"/>
      <c r="X3" s="156"/>
      <c r="Y3" s="156"/>
      <c r="Z3" s="156"/>
      <c r="AA3" s="156"/>
      <c r="AB3" s="192"/>
    </row>
    <row r="4" spans="1:28" ht="17.25" customHeight="1">
      <c r="A4" s="191" t="s">
        <v>83</v>
      </c>
      <c r="B4" s="156"/>
      <c r="C4" s="156"/>
      <c r="D4" s="156"/>
      <c r="E4" s="429"/>
      <c r="F4" s="143"/>
      <c r="G4" s="143"/>
      <c r="H4" s="143"/>
      <c r="I4" s="143"/>
      <c r="J4" s="143"/>
      <c r="K4" s="143"/>
      <c r="L4" s="143"/>
      <c r="M4" s="833"/>
      <c r="N4" s="143"/>
      <c r="O4" s="833"/>
      <c r="P4" s="156"/>
      <c r="Q4" s="156"/>
      <c r="R4" s="156"/>
      <c r="S4" s="156"/>
      <c r="T4" s="156"/>
      <c r="U4" s="156"/>
      <c r="V4" s="156"/>
      <c r="W4" s="156"/>
      <c r="X4" s="156"/>
      <c r="Y4" s="156"/>
      <c r="Z4" s="156"/>
      <c r="AA4" s="156"/>
      <c r="AB4" s="156"/>
    </row>
    <row r="5" spans="1:28" ht="17.25" customHeight="1">
      <c r="A5" s="3918" t="str">
        <f>'Exh D-Governmental  '!A5:E5</f>
        <v>FISCAL YEAR 2019-2020</v>
      </c>
      <c r="B5" s="3919"/>
      <c r="C5" s="3919"/>
      <c r="D5" s="3919"/>
      <c r="E5" s="3919"/>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03" t="str">
        <f>+'Exh D-Governmental  '!A6</f>
        <v>FOR ELEVEN MONTHS ENDED FEBRUARY 29, 2020</v>
      </c>
      <c r="B6" s="156"/>
      <c r="C6" s="156"/>
      <c r="D6" s="156"/>
      <c r="E6" s="429"/>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1417</v>
      </c>
      <c r="B7" s="156"/>
      <c r="C7" s="156"/>
      <c r="D7" s="156"/>
      <c r="E7" s="429"/>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9"/>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9"/>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8"/>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699"/>
      <c r="C11" s="1192"/>
      <c r="D11" s="1192"/>
      <c r="E11" s="1214"/>
      <c r="F11" s="1194"/>
      <c r="G11" s="1444" t="s">
        <v>1149</v>
      </c>
      <c r="H11" s="1677"/>
      <c r="I11" s="1444"/>
      <c r="J11" s="1677"/>
      <c r="K11" s="1677"/>
      <c r="L11" s="1194"/>
      <c r="M11" s="1194"/>
      <c r="N11" s="1197"/>
      <c r="O11" s="1191"/>
      <c r="P11" s="194"/>
      <c r="Q11" s="194"/>
      <c r="R11" s="194"/>
      <c r="S11" s="194"/>
      <c r="T11" s="194"/>
      <c r="U11" s="194"/>
      <c r="V11" s="151"/>
      <c r="W11" s="194"/>
      <c r="X11" s="195"/>
      <c r="Y11" s="194"/>
      <c r="Z11" s="194"/>
      <c r="AA11" s="194"/>
      <c r="AB11" s="194"/>
    </row>
    <row r="12" spans="1:28" ht="15.75">
      <c r="A12" s="699"/>
      <c r="E12" s="433"/>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699"/>
      <c r="E13" s="433"/>
      <c r="F13" s="196"/>
      <c r="G13" s="197"/>
      <c r="H13" s="197"/>
      <c r="I13" s="197"/>
      <c r="J13" s="197"/>
      <c r="K13" s="197"/>
      <c r="L13" s="196"/>
      <c r="M13" s="199" t="s">
        <v>885</v>
      </c>
      <c r="N13" s="151"/>
      <c r="O13" s="199" t="s">
        <v>885</v>
      </c>
      <c r="P13" s="194"/>
      <c r="Q13" s="194"/>
      <c r="R13" s="194"/>
      <c r="S13" s="194"/>
      <c r="T13" s="194"/>
      <c r="U13" s="194"/>
      <c r="V13" s="151"/>
      <c r="W13" s="194"/>
      <c r="X13" s="195"/>
      <c r="Y13" s="194"/>
      <c r="Z13" s="194"/>
      <c r="AA13" s="194"/>
      <c r="AB13" s="194"/>
    </row>
    <row r="14" spans="1:28" ht="15.75">
      <c r="A14" s="699"/>
      <c r="B14" s="151"/>
      <c r="C14" s="154" t="s">
        <v>1094</v>
      </c>
      <c r="D14" s="151"/>
      <c r="E14" s="153" t="s">
        <v>1095</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699"/>
      <c r="B15" s="202"/>
      <c r="C15" s="153" t="s">
        <v>1133</v>
      </c>
      <c r="D15" s="202"/>
      <c r="E15" s="153" t="s">
        <v>1133</v>
      </c>
      <c r="F15" s="152"/>
      <c r="G15" s="152"/>
      <c r="H15" s="152"/>
      <c r="I15" s="152"/>
      <c r="J15" s="152"/>
      <c r="K15" s="152"/>
      <c r="L15" s="152"/>
      <c r="M15" s="153" t="s">
        <v>1094</v>
      </c>
      <c r="N15" s="151"/>
      <c r="O15" s="153" t="s">
        <v>1095</v>
      </c>
      <c r="P15" s="201"/>
      <c r="Q15" s="151"/>
      <c r="R15" s="151"/>
      <c r="S15" s="151"/>
      <c r="T15" s="200"/>
      <c r="U15" s="201"/>
      <c r="V15" s="151"/>
      <c r="W15" s="200"/>
      <c r="X15" s="201"/>
      <c r="Y15" s="151"/>
      <c r="Z15" s="151"/>
      <c r="AA15" s="151"/>
      <c r="AB15" s="200"/>
    </row>
    <row r="16" spans="1:28" ht="15.75">
      <c r="A16" s="699"/>
      <c r="B16" s="201"/>
      <c r="C16" s="1196" t="s">
        <v>1134</v>
      </c>
      <c r="D16" s="201"/>
      <c r="E16" s="153" t="s">
        <v>1447</v>
      </c>
      <c r="F16" s="152"/>
      <c r="G16" s="154" t="s">
        <v>85</v>
      </c>
      <c r="H16" s="154"/>
      <c r="I16" s="1679" t="s">
        <v>1274</v>
      </c>
      <c r="J16" s="154"/>
      <c r="K16" s="1679" t="s">
        <v>811</v>
      </c>
      <c r="L16" s="152"/>
      <c r="M16" s="153" t="s">
        <v>87</v>
      </c>
      <c r="N16" s="151"/>
      <c r="O16" s="1196"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35"/>
      <c r="C18" s="935"/>
      <c r="D18" s="935"/>
      <c r="E18" s="666"/>
      <c r="F18" s="666"/>
      <c r="G18" s="666"/>
      <c r="H18" s="666"/>
      <c r="I18" s="666"/>
      <c r="J18" s="666"/>
      <c r="K18" s="666"/>
      <c r="L18" s="666"/>
      <c r="M18" s="666"/>
      <c r="N18" s="935"/>
      <c r="O18" s="935"/>
      <c r="P18" s="935"/>
      <c r="Q18" s="935"/>
      <c r="R18" s="935"/>
      <c r="S18" s="935"/>
      <c r="T18" s="935"/>
      <c r="U18" s="935"/>
      <c r="V18" s="935"/>
      <c r="W18" s="935"/>
      <c r="X18" s="935"/>
      <c r="Y18" s="935"/>
      <c r="Z18" s="935"/>
      <c r="AA18" s="935"/>
      <c r="AB18" s="935"/>
    </row>
    <row r="19" spans="1:28">
      <c r="A19" s="830" t="s">
        <v>88</v>
      </c>
      <c r="B19" s="936"/>
      <c r="C19" s="936"/>
      <c r="D19" s="936"/>
      <c r="E19" s="666"/>
      <c r="F19" s="666"/>
      <c r="G19" s="666"/>
      <c r="H19" s="666"/>
      <c r="I19" s="666"/>
      <c r="J19" s="666"/>
      <c r="K19" s="666"/>
      <c r="L19" s="936"/>
      <c r="M19" s="666"/>
      <c r="N19" s="935"/>
      <c r="O19" s="1578"/>
      <c r="P19" s="935"/>
      <c r="Q19" s="935"/>
      <c r="R19" s="935"/>
      <c r="S19" s="935"/>
      <c r="T19" s="935"/>
      <c r="U19" s="935"/>
      <c r="V19" s="935"/>
      <c r="W19" s="935"/>
      <c r="X19" s="935"/>
      <c r="Y19" s="935"/>
      <c r="Z19" s="935"/>
      <c r="AA19" s="935"/>
      <c r="AB19" s="935"/>
    </row>
    <row r="20" spans="1:28">
      <c r="A20" s="830" t="s">
        <v>89</v>
      </c>
      <c r="B20" s="936"/>
      <c r="C20" s="1023">
        <f>'Exh D Special Revenue State Fed'!C20+'Exh D Special Revenue State Fed'!N20</f>
        <v>2166</v>
      </c>
      <c r="D20" s="1980"/>
      <c r="E20" s="1023">
        <f>'Exh D Special Revenue State Fed'!E20+'Exh D Special Revenue State Fed'!P20</f>
        <v>2149</v>
      </c>
      <c r="F20" s="669"/>
      <c r="G20" s="952">
        <f>+'Exh D Special Revenue State Fed'!G20</f>
        <v>2149.1</v>
      </c>
      <c r="H20" s="952"/>
      <c r="I20" s="952">
        <v>0</v>
      </c>
      <c r="J20" s="952"/>
      <c r="K20" s="952">
        <f t="shared" ref="K20:K25" si="0">+G20+I20</f>
        <v>2149.1</v>
      </c>
      <c r="L20" s="669"/>
      <c r="M20" s="667">
        <f>ROUND(SUM(K20)-SUM(C20),1)</f>
        <v>-16.899999999999999</v>
      </c>
      <c r="N20" s="935"/>
      <c r="O20" s="667">
        <f t="shared" ref="O20:O25" si="1">ROUND(SUM(K20)-SUM(E20),1)</f>
        <v>0.1</v>
      </c>
      <c r="P20" s="935"/>
      <c r="Q20" s="935"/>
      <c r="R20" s="935"/>
      <c r="S20" s="935"/>
      <c r="T20" s="935"/>
      <c r="U20" s="935"/>
      <c r="V20" s="935"/>
      <c r="W20" s="935"/>
      <c r="X20" s="935"/>
      <c r="Y20" s="935"/>
      <c r="Z20" s="935"/>
      <c r="AA20" s="935"/>
      <c r="AB20" s="935"/>
    </row>
    <row r="21" spans="1:28">
      <c r="A21" s="830" t="s">
        <v>90</v>
      </c>
      <c r="B21" s="935"/>
      <c r="C21" s="694">
        <f>'Exh D Special Revenue State Fed'!C21+'Exh D Special Revenue State Fed'!N21</f>
        <v>1770</v>
      </c>
      <c r="D21" s="1981"/>
      <c r="E21" s="694">
        <f>'Exh D Special Revenue State Fed'!E21+'Exh D Special Revenue State Fed'!P21</f>
        <v>1765</v>
      </c>
      <c r="F21" s="652"/>
      <c r="G21" s="652">
        <f>+'Exh D Special Revenue State Fed'!G21</f>
        <v>1788.2</v>
      </c>
      <c r="H21" s="1566"/>
      <c r="I21" s="1566">
        <v>0</v>
      </c>
      <c r="J21" s="1566"/>
      <c r="K21" s="1566">
        <f t="shared" si="0"/>
        <v>1788.2</v>
      </c>
      <c r="L21" s="652"/>
      <c r="M21" s="1566">
        <f>ROUND(SUM(K21)-SUM(C21),1)</f>
        <v>18.2</v>
      </c>
      <c r="N21" s="954"/>
      <c r="O21" s="1566">
        <f t="shared" si="1"/>
        <v>23.2</v>
      </c>
      <c r="P21" s="935"/>
      <c r="Q21" s="935"/>
      <c r="R21" s="935"/>
      <c r="S21" s="935"/>
      <c r="T21" s="935"/>
      <c r="U21" s="935"/>
      <c r="V21" s="935"/>
      <c r="W21" s="935"/>
      <c r="X21" s="935"/>
      <c r="Y21" s="935"/>
      <c r="Z21" s="935"/>
      <c r="AA21" s="935"/>
      <c r="AB21" s="935"/>
    </row>
    <row r="22" spans="1:28">
      <c r="A22" s="830" t="s">
        <v>91</v>
      </c>
      <c r="B22" s="936"/>
      <c r="C22" s="694">
        <f>'Exh D Special Revenue State Fed'!C22+'Exh D Special Revenue State Fed'!N22</f>
        <v>1431</v>
      </c>
      <c r="D22" s="1980"/>
      <c r="E22" s="694">
        <f>'Exh D Special Revenue State Fed'!E22+'Exh D Special Revenue State Fed'!P22</f>
        <v>1555</v>
      </c>
      <c r="F22" s="690"/>
      <c r="G22" s="652">
        <f>+'Exh D Special Revenue State Fed'!G22</f>
        <v>1584</v>
      </c>
      <c r="H22" s="1566"/>
      <c r="I22" s="1566">
        <v>0</v>
      </c>
      <c r="J22" s="1566"/>
      <c r="K22" s="1566">
        <f t="shared" si="0"/>
        <v>1584</v>
      </c>
      <c r="L22" s="690"/>
      <c r="M22" s="1566">
        <f t="shared" ref="M22:M25" si="2">ROUND(SUM(K22)-SUM(C22),1)</f>
        <v>153</v>
      </c>
      <c r="N22" s="955"/>
      <c r="O22" s="1566">
        <f t="shared" si="1"/>
        <v>29</v>
      </c>
      <c r="P22" s="935"/>
      <c r="Q22" s="956"/>
      <c r="R22" s="935"/>
      <c r="S22" s="956"/>
      <c r="T22" s="935"/>
      <c r="U22" s="935"/>
      <c r="V22" s="956"/>
      <c r="W22" s="935"/>
      <c r="X22" s="935"/>
      <c r="Y22" s="956"/>
      <c r="Z22" s="203"/>
      <c r="AA22" s="956"/>
      <c r="AB22" s="935"/>
    </row>
    <row r="23" spans="1:28" ht="15" customHeight="1">
      <c r="A23" s="830" t="s">
        <v>20</v>
      </c>
      <c r="B23" s="935"/>
      <c r="C23" s="694">
        <f>'Exh D Special Revenue State Fed'!C23+'Exh D Special Revenue State Fed'!N23</f>
        <v>16905</v>
      </c>
      <c r="D23" s="1981"/>
      <c r="E23" s="694">
        <f>'Exh D Special Revenue State Fed'!E23+'Exh D Special Revenue State Fed'!P23</f>
        <v>17591</v>
      </c>
      <c r="F23" s="652"/>
      <c r="G23" s="652">
        <f>+'Exh D Special Revenue State Fed'!G23+'Exh D Special Revenue State Fed'!R23</f>
        <v>17833.900000000001</v>
      </c>
      <c r="H23" s="1566"/>
      <c r="I23" s="1566">
        <v>0</v>
      </c>
      <c r="J23" s="1566"/>
      <c r="K23" s="1566">
        <f t="shared" si="0"/>
        <v>17833.900000000001</v>
      </c>
      <c r="L23" s="652"/>
      <c r="M23" s="1566">
        <f t="shared" si="2"/>
        <v>928.9</v>
      </c>
      <c r="N23" s="954"/>
      <c r="O23" s="1566">
        <f t="shared" si="1"/>
        <v>242.9</v>
      </c>
      <c r="P23" s="935"/>
      <c r="Q23" s="935"/>
      <c r="R23" s="935"/>
      <c r="S23" s="935"/>
      <c r="T23" s="935"/>
      <c r="U23" s="935"/>
      <c r="V23" s="935"/>
      <c r="W23" s="935"/>
      <c r="X23" s="935"/>
      <c r="Y23" s="935"/>
      <c r="Z23" s="935"/>
      <c r="AA23" s="935"/>
      <c r="AB23" s="935"/>
    </row>
    <row r="24" spans="1:28" ht="15" customHeight="1">
      <c r="A24" s="830" t="s">
        <v>21</v>
      </c>
      <c r="B24" s="935"/>
      <c r="C24" s="694">
        <f>'Exh D Special Revenue State Fed'!C24+'Exh D Special Revenue State Fed'!N24</f>
        <v>56954</v>
      </c>
      <c r="D24" s="1981"/>
      <c r="E24" s="694">
        <f>'Exh D Special Revenue State Fed'!E24+'Exh D Special Revenue State Fed'!P24</f>
        <v>57876</v>
      </c>
      <c r="F24" s="652"/>
      <c r="G24" s="652">
        <f>+'Exh D Special Revenue State Fed'!G24+'Exh D Special Revenue State Fed'!R24</f>
        <v>58558.1</v>
      </c>
      <c r="H24" s="1566"/>
      <c r="I24" s="1566">
        <v>0</v>
      </c>
      <c r="J24" s="1566"/>
      <c r="K24" s="1566">
        <f t="shared" si="0"/>
        <v>58558.1</v>
      </c>
      <c r="L24" s="652"/>
      <c r="M24" s="1566">
        <f t="shared" si="2"/>
        <v>1604.1</v>
      </c>
      <c r="N24" s="954"/>
      <c r="O24" s="1566">
        <f t="shared" si="1"/>
        <v>682.1</v>
      </c>
      <c r="P24" s="958"/>
      <c r="Q24" s="935"/>
      <c r="R24" s="958"/>
      <c r="S24" s="935"/>
      <c r="T24" s="958"/>
      <c r="U24" s="959"/>
      <c r="V24" s="935"/>
      <c r="W24" s="935"/>
      <c r="X24" s="935"/>
      <c r="Y24" s="935"/>
      <c r="Z24" s="935"/>
      <c r="AA24" s="935"/>
      <c r="AB24" s="935"/>
    </row>
    <row r="25" spans="1:28">
      <c r="A25" s="830" t="s">
        <v>1452</v>
      </c>
      <c r="B25" s="958"/>
      <c r="C25" s="1756">
        <f>'Exh D Special Revenue State Fed'!C25+'Exh D Special Revenue State Fed'!N25</f>
        <v>2260</v>
      </c>
      <c r="D25" s="1982"/>
      <c r="E25" s="1756">
        <f>'Exh D Special Revenue State Fed'!E25+'Exh D Special Revenue State Fed'!P25</f>
        <v>2582</v>
      </c>
      <c r="F25" s="652"/>
      <c r="G25" s="939">
        <f>+'Exh D Special Revenue State Fed'!G25</f>
        <v>2628.5</v>
      </c>
      <c r="H25" s="955"/>
      <c r="I25" s="1514">
        <f>+'Exhibit G'!AB112</f>
        <v>-471.3</v>
      </c>
      <c r="J25" s="955"/>
      <c r="K25" s="940">
        <f t="shared" si="0"/>
        <v>2157.1999999999998</v>
      </c>
      <c r="L25" s="652"/>
      <c r="M25" s="1434">
        <f t="shared" si="2"/>
        <v>-102.8</v>
      </c>
      <c r="N25" s="954"/>
      <c r="O25" s="1434">
        <f t="shared" si="1"/>
        <v>-424.8</v>
      </c>
      <c r="P25" s="958"/>
      <c r="Q25" s="935"/>
      <c r="R25" s="958"/>
      <c r="S25" s="935"/>
      <c r="T25" s="958"/>
      <c r="U25" s="959"/>
      <c r="V25" s="935"/>
      <c r="W25" s="935"/>
      <c r="X25" s="935"/>
      <c r="Y25" s="935"/>
      <c r="Z25" s="935"/>
      <c r="AA25" s="935"/>
      <c r="AB25" s="935"/>
    </row>
    <row r="26" spans="1:28" ht="18" customHeight="1">
      <c r="A26" s="1135" t="s">
        <v>109</v>
      </c>
      <c r="B26" s="151"/>
      <c r="C26" s="839">
        <f>ROUND(SUM(C20:C25),1)</f>
        <v>81486</v>
      </c>
      <c r="D26" s="151"/>
      <c r="E26" s="839">
        <f>ROUND(SUM(E20:E25),1)</f>
        <v>83518</v>
      </c>
      <c r="F26" s="933"/>
      <c r="G26" s="839">
        <f>ROUND(SUM(G20:G25),1)</f>
        <v>84541.8</v>
      </c>
      <c r="H26" s="1567"/>
      <c r="I26" s="839">
        <f>ROUND(SUM(I20:I25),1)</f>
        <v>-471.3</v>
      </c>
      <c r="J26" s="1567"/>
      <c r="K26" s="839">
        <f>ROUND(SUM(K20:K25),1)</f>
        <v>84070.5</v>
      </c>
      <c r="L26" s="933"/>
      <c r="M26" s="839">
        <f>ROUND(SUM(M20:M25),1)</f>
        <v>2584.5</v>
      </c>
      <c r="N26" s="76"/>
      <c r="O26" s="74">
        <f>ROUND(SUM(O20:O25),1)</f>
        <v>552.5</v>
      </c>
      <c r="P26" s="151"/>
      <c r="Q26" s="151"/>
      <c r="R26" s="151"/>
      <c r="S26" s="151"/>
      <c r="T26" s="151"/>
      <c r="U26" s="151"/>
      <c r="V26" s="151"/>
      <c r="W26" s="151"/>
      <c r="X26" s="151"/>
      <c r="Y26" s="151"/>
      <c r="Z26" s="151"/>
      <c r="AA26" s="151"/>
      <c r="AB26" s="151"/>
    </row>
    <row r="27" spans="1:28">
      <c r="A27" s="699"/>
      <c r="B27" s="935"/>
      <c r="C27" s="954"/>
      <c r="D27" s="935"/>
      <c r="E27" s="954"/>
      <c r="F27" s="652"/>
      <c r="G27" s="697"/>
      <c r="H27" s="954"/>
      <c r="I27" s="954"/>
      <c r="J27" s="954"/>
      <c r="K27" s="954"/>
      <c r="L27" s="652"/>
      <c r="M27" s="697"/>
      <c r="N27" s="954"/>
      <c r="O27" s="697"/>
      <c r="P27" s="935"/>
      <c r="Q27" s="935"/>
      <c r="R27" s="935"/>
      <c r="S27" s="935"/>
      <c r="T27" s="935"/>
      <c r="U27" s="935"/>
      <c r="V27" s="935"/>
      <c r="W27" s="935"/>
      <c r="X27" s="935"/>
      <c r="Y27" s="935"/>
      <c r="Z27" s="935"/>
      <c r="AA27" s="935"/>
      <c r="AB27" s="935"/>
    </row>
    <row r="28" spans="1:28" ht="15.75">
      <c r="A28" s="29" t="s">
        <v>23</v>
      </c>
      <c r="B28" s="935"/>
      <c r="C28" s="954"/>
      <c r="D28" s="935"/>
      <c r="E28" s="954"/>
      <c r="F28" s="652"/>
      <c r="G28" s="652"/>
      <c r="H28" s="1566"/>
      <c r="I28" s="1566"/>
      <c r="J28" s="1566"/>
      <c r="K28" s="1566"/>
      <c r="L28" s="652"/>
      <c r="M28" s="652"/>
      <c r="N28" s="954"/>
      <c r="O28" s="1566"/>
      <c r="P28" s="935"/>
      <c r="Q28" s="935"/>
      <c r="R28" s="935"/>
      <c r="S28" s="935"/>
      <c r="T28" s="935"/>
      <c r="U28" s="935"/>
      <c r="V28" s="935"/>
      <c r="W28" s="935"/>
      <c r="X28" s="935"/>
      <c r="Y28" s="935"/>
      <c r="Z28" s="935"/>
      <c r="AA28" s="935"/>
      <c r="AB28" s="935"/>
    </row>
    <row r="29" spans="1:28">
      <c r="A29" s="830" t="s">
        <v>94</v>
      </c>
      <c r="B29" s="956"/>
      <c r="C29" s="694">
        <f>'Exh D Special Revenue State Fed'!C29+'Exh D Special Revenue State Fed'!N29</f>
        <v>67869</v>
      </c>
      <c r="D29" s="1983"/>
      <c r="E29" s="694">
        <f>'Exh D Special Revenue State Fed'!E29+'Exh D Special Revenue State Fed'!P29</f>
        <v>67344</v>
      </c>
      <c r="F29" s="652"/>
      <c r="G29" s="690">
        <f>+'Exh D Special Revenue State Fed'!G29+'Exh D Special Revenue State Fed'!R29</f>
        <v>67703.399999999994</v>
      </c>
      <c r="H29" s="690"/>
      <c r="I29" s="690">
        <v>0</v>
      </c>
      <c r="J29" s="690"/>
      <c r="K29" s="1566">
        <f>+G29+I29</f>
        <v>67703.399999999994</v>
      </c>
      <c r="L29" s="652"/>
      <c r="M29" s="1566">
        <f t="shared" ref="M29:M33" si="3">ROUND(SUM(K29)-SUM(C29),1)</f>
        <v>-165.6</v>
      </c>
      <c r="N29" s="954"/>
      <c r="O29" s="1566">
        <f>ROUND(SUM(K29)-SUM(E29),1)</f>
        <v>359.4</v>
      </c>
      <c r="P29" s="958"/>
      <c r="Q29" s="935"/>
      <c r="R29" s="958"/>
      <c r="S29" s="935"/>
      <c r="T29" s="958"/>
      <c r="U29" s="959"/>
      <c r="V29" s="935"/>
      <c r="W29" s="935"/>
      <c r="X29" s="935"/>
      <c r="Y29" s="935"/>
      <c r="Z29" s="935"/>
      <c r="AA29" s="935"/>
      <c r="AB29" s="935"/>
    </row>
    <row r="30" spans="1:28">
      <c r="A30" s="830" t="s">
        <v>95</v>
      </c>
      <c r="B30" s="956"/>
      <c r="C30" s="694">
        <f>'Exh D Special Revenue State Fed'!C30+'Exh D Special Revenue State Fed'!N30</f>
        <v>9091</v>
      </c>
      <c r="D30" s="1983"/>
      <c r="E30" s="694">
        <f>'Exh D Special Revenue State Fed'!E30+'Exh D Special Revenue State Fed'!P30</f>
        <v>9328</v>
      </c>
      <c r="F30" s="652"/>
      <c r="G30" s="690">
        <f>+'Exh D Special Revenue State Fed'!G30+'Exh D Special Revenue State Fed'!R30</f>
        <v>9302.2000000000007</v>
      </c>
      <c r="H30" s="690"/>
      <c r="I30" s="690">
        <v>0</v>
      </c>
      <c r="J30" s="690"/>
      <c r="K30" s="1566">
        <f>+G30+I30</f>
        <v>9302.2000000000007</v>
      </c>
      <c r="L30" s="652"/>
      <c r="M30" s="1566">
        <f t="shared" si="3"/>
        <v>211.2</v>
      </c>
      <c r="N30" s="954"/>
      <c r="O30" s="1566">
        <f>ROUND(SUM(K30)-SUM(E30),1)</f>
        <v>-25.8</v>
      </c>
      <c r="P30" s="956"/>
      <c r="Q30" s="935"/>
      <c r="R30" s="956"/>
      <c r="S30" s="935"/>
      <c r="T30" s="958"/>
      <c r="U30" s="935"/>
      <c r="V30" s="935"/>
      <c r="W30" s="958"/>
      <c r="X30" s="958"/>
      <c r="Y30" s="935"/>
      <c r="Z30" s="958"/>
      <c r="AA30" s="935"/>
      <c r="AB30" s="958"/>
    </row>
    <row r="31" spans="1:28">
      <c r="A31" s="830" t="s">
        <v>70</v>
      </c>
      <c r="B31" s="956"/>
      <c r="C31" s="694">
        <f>'Exh D Special Revenue State Fed'!C31+'Exh D Special Revenue State Fed'!N31</f>
        <v>1255</v>
      </c>
      <c r="D31" s="1983"/>
      <c r="E31" s="694">
        <f>'Exh D Special Revenue State Fed'!E31+'Exh D Special Revenue State Fed'!P31</f>
        <v>1225</v>
      </c>
      <c r="F31" s="652"/>
      <c r="G31" s="690">
        <f>+'Exh D Special Revenue State Fed'!G31+'Exh D Special Revenue State Fed'!R31</f>
        <v>1208.3</v>
      </c>
      <c r="H31" s="690"/>
      <c r="I31" s="690">
        <v>0</v>
      </c>
      <c r="J31" s="690"/>
      <c r="K31" s="1566">
        <f>+G31+I31</f>
        <v>1208.3</v>
      </c>
      <c r="L31" s="652"/>
      <c r="M31" s="1566">
        <f t="shared" si="3"/>
        <v>-46.7</v>
      </c>
      <c r="N31" s="954"/>
      <c r="O31" s="1566">
        <f>ROUND(SUM(K31)-SUM(E31),1)</f>
        <v>-16.7</v>
      </c>
      <c r="P31" s="958"/>
      <c r="Q31" s="935"/>
      <c r="R31" s="958"/>
      <c r="S31" s="935"/>
      <c r="T31" s="958"/>
      <c r="U31" s="959"/>
      <c r="V31" s="935"/>
      <c r="W31" s="958"/>
      <c r="X31" s="958"/>
      <c r="Y31" s="935"/>
      <c r="Z31" s="958"/>
      <c r="AA31" s="935"/>
      <c r="AB31" s="958"/>
    </row>
    <row r="32" spans="1:28">
      <c r="A32" s="830" t="s">
        <v>42</v>
      </c>
      <c r="B32" s="956"/>
      <c r="C32" s="694">
        <f>'Exh D Special Revenue State Fed'!C32+'Exh D Special Revenue State Fed'!N32</f>
        <v>0</v>
      </c>
      <c r="D32" s="1983"/>
      <c r="E32" s="694">
        <f>'Exh D Special Revenue State Fed'!E32+'Exh D Special Revenue State Fed'!P32</f>
        <v>0</v>
      </c>
      <c r="F32" s="652"/>
      <c r="G32" s="695">
        <f>+'Exh D Special Revenue State Fed'!G32+'Exh D Special Revenue State Fed'!R32</f>
        <v>0</v>
      </c>
      <c r="H32" s="695"/>
      <c r="I32" s="695">
        <v>0</v>
      </c>
      <c r="J32" s="695"/>
      <c r="K32" s="1566">
        <f>+G32+I32</f>
        <v>0</v>
      </c>
      <c r="L32" s="652"/>
      <c r="M32" s="1566">
        <f t="shared" si="3"/>
        <v>0</v>
      </c>
      <c r="N32" s="954"/>
      <c r="O32" s="1566">
        <f>ROUND(SUM(K32)-SUM(E32),1)</f>
        <v>0</v>
      </c>
      <c r="P32" s="958"/>
      <c r="Q32" s="935"/>
      <c r="R32" s="958"/>
      <c r="S32" s="935"/>
      <c r="T32" s="958"/>
      <c r="U32" s="959"/>
      <c r="V32" s="935"/>
      <c r="W32" s="935"/>
      <c r="X32" s="935"/>
      <c r="Y32" s="935"/>
      <c r="Z32" s="935"/>
      <c r="AA32" s="935"/>
      <c r="AB32" s="935"/>
    </row>
    <row r="33" spans="1:28">
      <c r="A33" s="830" t="s">
        <v>1453</v>
      </c>
      <c r="B33" s="956"/>
      <c r="C33" s="694">
        <f>'Exh D Special Revenue State Fed'!C33+'Exh D Special Revenue State Fed'!N33</f>
        <v>1939</v>
      </c>
      <c r="D33" s="1983"/>
      <c r="E33" s="694">
        <f>'Exh D Special Revenue State Fed'!E33+'Exh D Special Revenue State Fed'!P33</f>
        <v>2432</v>
      </c>
      <c r="F33" s="652"/>
      <c r="G33" s="690">
        <f>+'Exh D Special Revenue State Fed'!G33+'Exh D Special Revenue State Fed'!R33</f>
        <v>2584.1999999999998</v>
      </c>
      <c r="H33" s="690"/>
      <c r="I33" s="693">
        <f>-'Exhibit G'!AB113</f>
        <v>-471.3</v>
      </c>
      <c r="J33" s="690"/>
      <c r="K33" s="1566">
        <f>+G33+I33</f>
        <v>2112.8999999999996</v>
      </c>
      <c r="L33" s="652"/>
      <c r="M33" s="1566">
        <f t="shared" si="3"/>
        <v>173.9</v>
      </c>
      <c r="N33" s="954"/>
      <c r="O33" s="1566">
        <f>ROUND(SUM(K33)-SUM(E33),1)</f>
        <v>-319.10000000000002</v>
      </c>
      <c r="P33" s="958"/>
      <c r="Q33" s="935"/>
      <c r="R33" s="958"/>
      <c r="S33" s="935"/>
      <c r="T33" s="958"/>
      <c r="U33" s="959"/>
      <c r="V33" s="935"/>
      <c r="W33" s="935"/>
      <c r="X33" s="935"/>
      <c r="Y33" s="935"/>
      <c r="Z33" s="935"/>
      <c r="AA33" s="935"/>
      <c r="AB33" s="935"/>
    </row>
    <row r="34" spans="1:28" ht="18" customHeight="1">
      <c r="A34" s="1576" t="s">
        <v>118</v>
      </c>
      <c r="B34" s="151"/>
      <c r="C34" s="1916">
        <f>ROUND(SUM(C29:C33),1)</f>
        <v>80154</v>
      </c>
      <c r="D34" s="151"/>
      <c r="E34" s="1916">
        <f>ROUND(SUM(E29:E33),1)</f>
        <v>80329</v>
      </c>
      <c r="F34" s="933"/>
      <c r="G34" s="215">
        <f>ROUND(SUM(G29:G33),1)</f>
        <v>80798.100000000006</v>
      </c>
      <c r="H34" s="1567"/>
      <c r="I34" s="1577">
        <f>ROUND(SUM(I29:I33),1)</f>
        <v>-471.3</v>
      </c>
      <c r="J34" s="1567"/>
      <c r="K34" s="1577">
        <f>ROUND(SUM(K29:K33),1)</f>
        <v>80326.8</v>
      </c>
      <c r="L34" s="933"/>
      <c r="M34" s="215">
        <f>ROUND(SUM(M29:M33),1)</f>
        <v>172.8</v>
      </c>
      <c r="N34" s="76"/>
      <c r="O34" s="215">
        <f>ROUND(SUM(O29:O33),1)</f>
        <v>-2.2000000000000002</v>
      </c>
      <c r="P34" s="151"/>
      <c r="Q34" s="151"/>
      <c r="R34" s="151"/>
      <c r="S34" s="151"/>
      <c r="T34" s="151"/>
      <c r="U34" s="151"/>
      <c r="V34" s="151"/>
      <c r="W34" s="151"/>
      <c r="X34" s="151"/>
      <c r="Y34" s="151"/>
      <c r="Z34" s="151"/>
      <c r="AA34" s="151"/>
      <c r="AB34" s="151"/>
    </row>
    <row r="35" spans="1:28">
      <c r="A35" s="699"/>
      <c r="B35" s="935"/>
      <c r="C35" s="954"/>
      <c r="D35" s="935"/>
      <c r="E35" s="954"/>
      <c r="F35" s="652"/>
      <c r="G35" s="697"/>
      <c r="H35" s="954"/>
      <c r="I35" s="954"/>
      <c r="J35" s="954"/>
      <c r="K35" s="954"/>
      <c r="L35" s="652"/>
      <c r="M35" s="697"/>
      <c r="N35" s="954"/>
      <c r="O35" s="697"/>
      <c r="P35" s="935"/>
      <c r="Q35" s="935"/>
      <c r="R35" s="935"/>
      <c r="S35" s="935"/>
      <c r="T35" s="935"/>
      <c r="U35" s="935"/>
      <c r="V35" s="935"/>
      <c r="W35" s="935"/>
      <c r="X35" s="935"/>
      <c r="Y35" s="935"/>
      <c r="Z35" s="935"/>
      <c r="AA35" s="935"/>
      <c r="AB35" s="935"/>
    </row>
    <row r="36" spans="1:28" ht="15.75">
      <c r="A36" s="29" t="s">
        <v>119</v>
      </c>
      <c r="B36" s="935"/>
      <c r="C36" s="954"/>
      <c r="D36" s="935"/>
      <c r="E36" s="954"/>
      <c r="F36" s="652"/>
      <c r="G36" s="652"/>
      <c r="H36" s="1566"/>
      <c r="I36" s="1566"/>
      <c r="J36" s="1566"/>
      <c r="K36" s="1566"/>
      <c r="L36" s="652"/>
      <c r="M36" s="652"/>
      <c r="N36" s="954"/>
      <c r="O36" s="1566"/>
      <c r="P36" s="935"/>
      <c r="Q36" s="935"/>
      <c r="R36" s="935"/>
      <c r="S36" s="935"/>
      <c r="T36" s="935"/>
      <c r="U36" s="935"/>
      <c r="V36" s="935"/>
      <c r="W36" s="935"/>
      <c r="X36" s="935"/>
      <c r="Y36" s="935"/>
      <c r="Z36" s="935"/>
      <c r="AA36" s="935"/>
      <c r="AB36" s="935"/>
    </row>
    <row r="37" spans="1:28" ht="15.75">
      <c r="A37" s="29" t="s">
        <v>120</v>
      </c>
      <c r="B37" s="935"/>
      <c r="C37" s="954"/>
      <c r="D37" s="935"/>
      <c r="E37" s="954"/>
      <c r="F37" s="652"/>
      <c r="G37" s="652"/>
      <c r="H37" s="1566"/>
      <c r="I37" s="1566"/>
      <c r="J37" s="1566"/>
      <c r="K37" s="1566"/>
      <c r="L37" s="652"/>
      <c r="M37" s="652"/>
      <c r="N37" s="954"/>
      <c r="O37" s="1566"/>
      <c r="P37" s="935"/>
      <c r="Q37" s="935"/>
      <c r="R37" s="935"/>
      <c r="S37" s="935"/>
      <c r="T37" s="935"/>
      <c r="U37" s="935"/>
      <c r="V37" s="935"/>
      <c r="W37" s="935"/>
      <c r="X37" s="935"/>
      <c r="Y37" s="935"/>
      <c r="Z37" s="935"/>
      <c r="AA37" s="935"/>
      <c r="AB37" s="935"/>
    </row>
    <row r="38" spans="1:28" ht="15.75">
      <c r="A38" s="1135" t="s">
        <v>103</v>
      </c>
      <c r="B38" s="175"/>
      <c r="C38" s="1567">
        <f>ROUND(SUM(C26)-SUM(C34),1)</f>
        <v>1332</v>
      </c>
      <c r="D38" s="175"/>
      <c r="E38" s="1567">
        <f>ROUND(SUM(E26)-SUM(E34),1)</f>
        <v>3189</v>
      </c>
      <c r="F38" s="84"/>
      <c r="G38" s="76">
        <f>ROUND(SUM(G26)-SUM(G34),1)</f>
        <v>3743.7</v>
      </c>
      <c r="H38" s="1567"/>
      <c r="I38" s="1567">
        <v>0</v>
      </c>
      <c r="J38" s="1567"/>
      <c r="K38" s="1567">
        <f>+G38+I38</f>
        <v>3743.7</v>
      </c>
      <c r="L38" s="84"/>
      <c r="M38" s="76">
        <f>ROUND(SUM(M26)-SUM(M34),1)</f>
        <v>2411.6999999999998</v>
      </c>
      <c r="N38" s="399"/>
      <c r="O38" s="1567">
        <f>ROUND(SUM(O26)-SUM(O34),1)</f>
        <v>554.70000000000005</v>
      </c>
      <c r="P38" s="151"/>
      <c r="Q38" s="174"/>
      <c r="R38" s="151"/>
      <c r="S38" s="174"/>
      <c r="T38" s="151"/>
      <c r="U38" s="151"/>
      <c r="V38" s="174"/>
      <c r="W38" s="151"/>
      <c r="X38" s="151"/>
      <c r="Y38" s="174"/>
      <c r="Z38" s="151"/>
      <c r="AA38" s="174"/>
      <c r="AB38" s="151"/>
    </row>
    <row r="39" spans="1:28" ht="15" customHeight="1">
      <c r="C39" s="679"/>
      <c r="E39" s="679"/>
      <c r="F39" s="943"/>
      <c r="G39" s="679"/>
      <c r="H39" s="679"/>
      <c r="I39" s="679"/>
      <c r="J39" s="679"/>
      <c r="K39" s="679"/>
      <c r="L39" s="943"/>
      <c r="M39" s="679"/>
      <c r="N39" s="679"/>
      <c r="O39" s="679"/>
    </row>
    <row r="40" spans="1:28" ht="15.75">
      <c r="A40" s="1135" t="str">
        <f>+'Exh D-Governmental  '!A49</f>
        <v>Fund Balances (Deficits) at April 1</v>
      </c>
      <c r="C40" s="1984">
        <v>3842</v>
      </c>
      <c r="D40" s="1985"/>
      <c r="E40" s="1984">
        <v>3842</v>
      </c>
      <c r="F40" s="943"/>
      <c r="G40" s="1567">
        <f>'Exh D Special Revenue State Fed'!G40+'Exh D Special Revenue State Fed'!R40</f>
        <v>3842.4000000000005</v>
      </c>
      <c r="H40" s="1567"/>
      <c r="I40" s="1567">
        <v>0</v>
      </c>
      <c r="J40" s="1567"/>
      <c r="K40" s="1567">
        <f>+G40+I40</f>
        <v>3842.4000000000005</v>
      </c>
      <c r="L40" s="943"/>
      <c r="M40" s="74">
        <f t="shared" ref="M40" si="4">ROUND(SUM(K40)-SUM(C40),1)</f>
        <v>0.4</v>
      </c>
      <c r="N40" s="679"/>
      <c r="O40" s="74">
        <f>ROUND(SUM(K40)-SUM(E40),1)</f>
        <v>0.4</v>
      </c>
    </row>
    <row r="41" spans="1:28" ht="18" customHeight="1" thickBot="1">
      <c r="A41" s="1375" t="str">
        <f>+'Exh D-Governmental  '!A50</f>
        <v>Fund Balances (Deficits) at February 29, 2020</v>
      </c>
      <c r="B41" s="175"/>
      <c r="C41" s="98">
        <f>ROUND(SUM(C38:C40),1)</f>
        <v>5174</v>
      </c>
      <c r="D41" s="175"/>
      <c r="E41" s="98">
        <f>ROUND(SUM(E38:E40),1)</f>
        <v>7031</v>
      </c>
      <c r="F41" s="181"/>
      <c r="G41" s="98">
        <f>ROUND(SUM(G38:G40),1)</f>
        <v>7586.1</v>
      </c>
      <c r="H41" s="219"/>
      <c r="I41" s="98">
        <f>ROUND(SUM(I38:I40),1)</f>
        <v>0</v>
      </c>
      <c r="J41" s="219"/>
      <c r="K41" s="98">
        <f>ROUND(SUM(K38:K40),1)</f>
        <v>7586.1</v>
      </c>
      <c r="L41" s="181"/>
      <c r="M41" s="98">
        <f>ROUND(SUM(M38:M40),1)</f>
        <v>2412.1</v>
      </c>
      <c r="O41" s="98">
        <f>ROUND(SUM(O38:O40),1)</f>
        <v>555.1</v>
      </c>
    </row>
    <row r="42" spans="1:28" ht="15" customHeight="1" thickTop="1">
      <c r="A42" s="155"/>
      <c r="E42" s="698"/>
      <c r="F42" s="960"/>
      <c r="G42" s="960"/>
      <c r="H42" s="960"/>
      <c r="I42" s="960"/>
      <c r="J42" s="960"/>
      <c r="K42" s="960"/>
      <c r="L42" s="960"/>
      <c r="M42" s="960"/>
      <c r="O42" s="1579"/>
    </row>
    <row r="43" spans="1:28">
      <c r="A43" s="947" t="str">
        <f>'Exh D-Governmental  '!A52</f>
        <v>(*)    Source: 2019-20 Enacted Financial Plan dated May 13, 2019.</v>
      </c>
    </row>
    <row r="44" spans="1:28">
      <c r="A44" s="947" t="str">
        <f>'Exh D General Fund  '!A53</f>
        <v>(**)   Source: 2020-21 Executive Budget with 30-day amendments dated February 24, 2020.</v>
      </c>
    </row>
    <row r="45" spans="1:28">
      <c r="A45" s="1530" t="s">
        <v>1455</v>
      </c>
    </row>
    <row r="46" spans="1:28">
      <c r="A46" s="1530"/>
    </row>
    <row r="47" spans="1:28">
      <c r="A47" s="961"/>
    </row>
    <row r="49" spans="1:1">
      <c r="A49" s="204"/>
    </row>
    <row r="50" spans="1:1">
      <c r="A50" s="204"/>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zoomScale="90" workbookViewId="0"/>
  </sheetViews>
  <sheetFormatPr defaultColWidth="8.88671875" defaultRowHeight="15"/>
  <cols>
    <col min="1" max="1" width="53.109375" style="942" customWidth="1"/>
    <col min="2" max="2" width="0.88671875" style="631" customWidth="1"/>
    <col min="3" max="3" width="15.88671875" style="432" customWidth="1"/>
    <col min="4" max="4" width="0.88671875" style="946" customWidth="1"/>
    <col min="5" max="5" width="15.88671875" style="432" customWidth="1"/>
    <col min="6" max="6" width="0.88671875" style="946" customWidth="1"/>
    <col min="7" max="7" width="15.88671875" style="946" customWidth="1"/>
    <col min="8" max="8" width="0.88671875" style="946" customWidth="1"/>
    <col min="9" max="9" width="15.88671875" style="946" customWidth="1"/>
    <col min="10" max="10" width="0.88671875" style="946" customWidth="1"/>
    <col min="11" max="11" width="15.88671875" style="946" customWidth="1"/>
    <col min="12" max="12" width="1.88671875" style="631" customWidth="1"/>
    <col min="13" max="13" width="0.88671875" style="631" customWidth="1"/>
    <col min="14" max="14" width="15.88671875" style="631" customWidth="1"/>
    <col min="15" max="15" width="1.109375" style="631" customWidth="1"/>
    <col min="16" max="16" width="15.88671875" style="631" customWidth="1"/>
    <col min="17" max="17" width="1.109375" style="631" customWidth="1"/>
    <col min="18" max="18" width="15.88671875" style="631" customWidth="1"/>
    <col min="19" max="19" width="0.5546875" style="631" customWidth="1"/>
    <col min="20" max="20" width="15.88671875" style="631" customWidth="1"/>
    <col min="21" max="21" width="1.109375" style="631" customWidth="1"/>
    <col min="22" max="22" width="15.88671875" style="432" customWidth="1"/>
    <col min="23" max="23" width="1" style="631" customWidth="1"/>
    <col min="24" max="24" width="3.88671875" style="432" customWidth="1"/>
    <col min="25" max="25" width="1" style="631" customWidth="1"/>
    <col min="26" max="26" width="15.88671875" style="631" customWidth="1"/>
    <col min="27" max="27" width="0.88671875" style="631" customWidth="1"/>
    <col min="28" max="28" width="15.88671875" style="631" customWidth="1"/>
    <col min="29" max="29" width="0.109375" style="631" customWidth="1"/>
    <col min="30" max="30" width="11.88671875" style="631" customWidth="1"/>
    <col min="31" max="31" width="11.44140625" style="631" customWidth="1"/>
    <col min="32" max="32" width="1.88671875" style="631" customWidth="1"/>
    <col min="33" max="33" width="11.88671875" style="631" customWidth="1"/>
    <col min="34" max="34" width="2.109375" style="631" customWidth="1"/>
    <col min="35" max="35" width="11.44140625" style="631" customWidth="1"/>
    <col min="36" max="36" width="0.5546875" style="631" customWidth="1"/>
    <col min="37" max="37" width="2.109375" style="631" customWidth="1"/>
    <col min="38" max="38" width="10.5546875" style="631" customWidth="1"/>
    <col min="39" max="39" width="11.109375" style="631" customWidth="1"/>
    <col min="40" max="40" width="2.109375" style="631" customWidth="1"/>
    <col min="41" max="41" width="11.109375" style="631" customWidth="1"/>
    <col min="42" max="42" width="2.109375" style="631" customWidth="1"/>
    <col min="43" max="43" width="12.44140625" style="631" customWidth="1"/>
    <col min="44" max="48" width="8.88671875" style="631"/>
    <col min="49" max="49" width="8.88671875" style="946"/>
    <col min="50" max="16384" width="8.88671875" style="942"/>
  </cols>
  <sheetData>
    <row r="1" spans="1:49">
      <c r="A1" s="948" t="s">
        <v>979</v>
      </c>
      <c r="B1" s="186"/>
      <c r="C1" s="426"/>
      <c r="D1" s="187"/>
      <c r="E1" s="426"/>
      <c r="F1" s="187"/>
      <c r="G1" s="187"/>
      <c r="H1" s="187"/>
      <c r="I1" s="187"/>
      <c r="J1" s="187"/>
      <c r="K1" s="187"/>
      <c r="L1" s="186"/>
      <c r="M1" s="186"/>
      <c r="N1" s="186"/>
      <c r="O1" s="186"/>
      <c r="P1" s="186"/>
      <c r="Q1" s="186"/>
      <c r="R1" s="186"/>
      <c r="S1" s="186"/>
      <c r="T1" s="186"/>
      <c r="U1" s="186"/>
      <c r="V1" s="1198"/>
      <c r="W1" s="186"/>
      <c r="X1" s="1198"/>
      <c r="Y1" s="186"/>
      <c r="Z1" s="186"/>
      <c r="AA1" s="186"/>
      <c r="AB1" s="186"/>
      <c r="AC1" s="187"/>
      <c r="AD1" s="186"/>
      <c r="AE1" s="186"/>
      <c r="AF1" s="186"/>
      <c r="AG1" s="186"/>
      <c r="AH1" s="186"/>
      <c r="AI1" s="186"/>
      <c r="AJ1" s="186"/>
      <c r="AK1" s="186"/>
      <c r="AL1" s="186"/>
      <c r="AM1" s="186"/>
      <c r="AN1" s="186"/>
      <c r="AO1" s="186"/>
      <c r="AP1" s="186"/>
      <c r="AQ1" s="186"/>
      <c r="AR1" s="942"/>
      <c r="AS1" s="942"/>
      <c r="AT1" s="942"/>
      <c r="AU1" s="942"/>
      <c r="AV1" s="942"/>
      <c r="AW1" s="942"/>
    </row>
    <row r="2" spans="1:49" ht="17.25" customHeight="1">
      <c r="A2" s="188"/>
      <c r="B2" s="189"/>
      <c r="C2" s="427"/>
      <c r="D2" s="187"/>
      <c r="E2" s="427"/>
      <c r="F2" s="187"/>
      <c r="G2" s="187"/>
      <c r="H2" s="187"/>
      <c r="I2" s="187"/>
      <c r="J2" s="187"/>
      <c r="K2" s="187"/>
      <c r="L2" s="186"/>
      <c r="M2" s="186"/>
      <c r="N2" s="186"/>
      <c r="O2" s="186"/>
      <c r="P2" s="186"/>
      <c r="Q2" s="186"/>
      <c r="R2" s="186"/>
      <c r="S2" s="186"/>
      <c r="T2" s="186"/>
      <c r="U2" s="186"/>
      <c r="V2" s="1198"/>
      <c r="W2" s="186"/>
      <c r="X2" s="1198"/>
      <c r="Y2" s="186"/>
      <c r="Z2" s="1199"/>
      <c r="AA2" s="186"/>
      <c r="AB2" s="186"/>
      <c r="AC2" s="187"/>
      <c r="AD2" s="186"/>
      <c r="AE2" s="186"/>
      <c r="AF2" s="186"/>
      <c r="AG2" s="186"/>
      <c r="AH2" s="186"/>
      <c r="AI2" s="186"/>
      <c r="AJ2" s="186"/>
      <c r="AK2" s="186"/>
      <c r="AL2" s="186"/>
      <c r="AM2" s="186"/>
      <c r="AN2" s="186"/>
      <c r="AO2" s="186"/>
      <c r="AP2" s="186"/>
      <c r="AQ2" s="186"/>
      <c r="AR2" s="942"/>
      <c r="AS2" s="942"/>
      <c r="AT2" s="942"/>
      <c r="AU2" s="942"/>
      <c r="AV2" s="942"/>
      <c r="AW2" s="942"/>
    </row>
    <row r="3" spans="1:49" ht="17.25" customHeight="1">
      <c r="A3" s="191" t="s">
        <v>0</v>
      </c>
      <c r="B3" s="148"/>
      <c r="C3" s="428"/>
      <c r="D3" s="143"/>
      <c r="E3" s="428"/>
      <c r="F3" s="143"/>
      <c r="G3" s="143"/>
      <c r="H3" s="143"/>
      <c r="I3" s="143"/>
      <c r="J3" s="143"/>
      <c r="K3" s="143"/>
      <c r="L3" s="156"/>
      <c r="M3" s="156"/>
      <c r="N3" s="156"/>
      <c r="O3" s="156"/>
      <c r="P3" s="156"/>
      <c r="Q3" s="156"/>
      <c r="R3" s="156"/>
      <c r="S3" s="156"/>
      <c r="T3" s="832"/>
      <c r="U3" s="156"/>
      <c r="V3" s="832" t="s">
        <v>84</v>
      </c>
      <c r="W3" s="156"/>
      <c r="X3" s="1200"/>
      <c r="Y3" s="156"/>
      <c r="Z3" s="156"/>
      <c r="AA3" s="156"/>
      <c r="AB3" s="1201"/>
      <c r="AC3" s="143"/>
      <c r="AD3" s="156"/>
      <c r="AE3" s="156"/>
      <c r="AF3" s="156"/>
      <c r="AG3" s="156"/>
      <c r="AH3" s="156"/>
      <c r="AI3" s="156"/>
      <c r="AJ3" s="156"/>
      <c r="AK3" s="156"/>
      <c r="AL3" s="156"/>
      <c r="AM3" s="156"/>
      <c r="AN3" s="156"/>
      <c r="AO3" s="156"/>
      <c r="AP3" s="156"/>
      <c r="AQ3" s="192"/>
      <c r="AR3" s="942"/>
      <c r="AS3" s="942"/>
      <c r="AT3" s="942"/>
      <c r="AU3" s="942"/>
      <c r="AV3" s="942"/>
      <c r="AW3" s="942"/>
    </row>
    <row r="4" spans="1:49" ht="17.25" customHeight="1">
      <c r="A4" s="191" t="s">
        <v>83</v>
      </c>
      <c r="B4" s="148"/>
      <c r="C4" s="428"/>
      <c r="D4" s="143"/>
      <c r="E4" s="428"/>
      <c r="F4" s="143"/>
      <c r="G4" s="143"/>
      <c r="H4" s="143"/>
      <c r="I4" s="143"/>
      <c r="J4" s="143"/>
      <c r="K4" s="143"/>
      <c r="L4" s="156"/>
      <c r="M4" s="156"/>
      <c r="N4" s="156"/>
      <c r="O4" s="156"/>
      <c r="P4" s="156"/>
      <c r="Q4" s="156"/>
      <c r="R4" s="156"/>
      <c r="S4" s="156"/>
      <c r="T4" s="833"/>
      <c r="U4" s="156"/>
      <c r="V4" s="833"/>
      <c r="W4" s="156"/>
      <c r="X4" s="1200"/>
      <c r="Y4" s="156"/>
      <c r="Z4" s="156"/>
      <c r="AA4" s="156"/>
      <c r="AB4" s="1202"/>
      <c r="AC4" s="143"/>
      <c r="AD4" s="156"/>
      <c r="AE4" s="156"/>
      <c r="AF4" s="156"/>
      <c r="AG4" s="156"/>
      <c r="AH4" s="156"/>
      <c r="AI4" s="156"/>
      <c r="AJ4" s="156"/>
      <c r="AK4" s="156"/>
      <c r="AL4" s="156"/>
      <c r="AM4" s="156"/>
      <c r="AN4" s="156"/>
      <c r="AO4" s="156"/>
      <c r="AP4" s="156"/>
      <c r="AQ4" s="156"/>
      <c r="AR4" s="942"/>
      <c r="AS4" s="942"/>
      <c r="AT4" s="942"/>
      <c r="AU4" s="942"/>
      <c r="AV4" s="942"/>
      <c r="AW4" s="942"/>
    </row>
    <row r="5" spans="1:49" ht="17.25" customHeight="1">
      <c r="A5" s="3918" t="str">
        <f>'Exh D-Governmental  '!A5:E5</f>
        <v>FISCAL YEAR 2019-2020</v>
      </c>
      <c r="B5" s="3919"/>
      <c r="C5" s="3919"/>
      <c r="D5" s="3919"/>
      <c r="E5" s="3919"/>
      <c r="F5" s="143"/>
      <c r="G5" s="825"/>
      <c r="H5" s="143"/>
      <c r="I5" s="143"/>
      <c r="J5" s="143"/>
      <c r="K5" s="143"/>
      <c r="L5" s="156"/>
      <c r="M5" s="156"/>
      <c r="N5" s="2100"/>
      <c r="O5" s="156"/>
      <c r="P5" s="156"/>
      <c r="Q5" s="156"/>
      <c r="R5" s="156"/>
      <c r="S5" s="156"/>
      <c r="T5" s="156"/>
      <c r="U5" s="156"/>
      <c r="V5" s="1200"/>
      <c r="W5" s="156"/>
      <c r="X5" s="1200"/>
      <c r="Y5" s="156"/>
      <c r="Z5" s="156"/>
      <c r="AA5" s="156"/>
      <c r="AB5" s="156"/>
      <c r="AC5" s="143"/>
      <c r="AD5" s="156"/>
      <c r="AE5" s="156"/>
      <c r="AF5" s="156"/>
      <c r="AG5" s="156"/>
      <c r="AH5" s="156"/>
      <c r="AI5" s="156"/>
      <c r="AJ5" s="156"/>
      <c r="AK5" s="156"/>
      <c r="AL5" s="156"/>
      <c r="AM5" s="156"/>
      <c r="AN5" s="156"/>
      <c r="AO5" s="156"/>
      <c r="AP5" s="156"/>
      <c r="AQ5" s="156"/>
      <c r="AR5" s="942"/>
      <c r="AS5" s="942"/>
      <c r="AT5" s="942"/>
      <c r="AU5" s="942"/>
      <c r="AV5" s="942"/>
      <c r="AW5" s="942"/>
    </row>
    <row r="6" spans="1:49" ht="17.25" customHeight="1">
      <c r="A6" s="1504" t="str">
        <f>'Exh D-Governmental  '!A6</f>
        <v>FOR ELEVEN MONTHS ENDED FEBRUARY 29, 2020</v>
      </c>
      <c r="B6" s="3897"/>
      <c r="C6" s="3898"/>
      <c r="D6" s="3899"/>
      <c r="E6" s="3898"/>
      <c r="F6" s="143"/>
      <c r="G6" s="143"/>
      <c r="H6" s="143"/>
      <c r="I6" s="143"/>
      <c r="J6" s="143"/>
      <c r="K6" s="143"/>
      <c r="L6" s="156"/>
      <c r="M6" s="156"/>
      <c r="N6" s="156"/>
      <c r="O6" s="156"/>
      <c r="P6" s="156"/>
      <c r="Q6" s="156"/>
      <c r="R6" s="156"/>
      <c r="S6" s="156"/>
      <c r="T6" s="156"/>
      <c r="U6" s="156"/>
      <c r="V6" s="1200"/>
      <c r="W6" s="156"/>
      <c r="X6" s="1200"/>
      <c r="Y6" s="156"/>
      <c r="Z6" s="156"/>
      <c r="AA6" s="156"/>
      <c r="AB6" s="156"/>
      <c r="AC6" s="143"/>
      <c r="AD6" s="156"/>
      <c r="AE6" s="156"/>
      <c r="AF6" s="156"/>
      <c r="AG6" s="156"/>
      <c r="AH6" s="156"/>
      <c r="AI6" s="156"/>
      <c r="AJ6" s="156"/>
      <c r="AK6" s="156"/>
      <c r="AL6" s="156"/>
      <c r="AM6" s="156"/>
      <c r="AN6" s="156"/>
      <c r="AO6" s="156"/>
      <c r="AP6" s="156"/>
      <c r="AQ6" s="156"/>
      <c r="AR6" s="942"/>
      <c r="AS6" s="942"/>
      <c r="AT6" s="942"/>
      <c r="AU6" s="942"/>
      <c r="AV6" s="942"/>
      <c r="AW6" s="942"/>
    </row>
    <row r="7" spans="1:49" ht="18">
      <c r="A7" s="191" t="s">
        <v>1417</v>
      </c>
      <c r="B7" s="148"/>
      <c r="C7" s="428"/>
      <c r="D7" s="143"/>
      <c r="E7" s="428"/>
      <c r="F7" s="143"/>
      <c r="G7" s="143"/>
      <c r="H7" s="143"/>
      <c r="I7" s="143"/>
      <c r="J7" s="143"/>
      <c r="K7" s="143"/>
      <c r="L7" s="156"/>
      <c r="M7" s="156"/>
      <c r="N7" s="156"/>
      <c r="O7" s="156"/>
      <c r="P7" s="156"/>
      <c r="Q7" s="156"/>
      <c r="R7" s="156"/>
      <c r="S7" s="156"/>
      <c r="T7" s="156"/>
      <c r="U7" s="156"/>
      <c r="V7" s="1200"/>
      <c r="W7" s="156"/>
      <c r="X7" s="1200"/>
      <c r="Y7" s="156"/>
      <c r="Z7" s="156"/>
      <c r="AA7" s="156"/>
      <c r="AB7" s="156"/>
      <c r="AC7" s="143"/>
      <c r="AD7" s="156"/>
      <c r="AE7" s="156"/>
      <c r="AF7" s="156"/>
      <c r="AG7" s="156"/>
      <c r="AH7" s="156"/>
      <c r="AI7" s="156"/>
      <c r="AJ7" s="156"/>
      <c r="AK7" s="156"/>
      <c r="AL7" s="156"/>
      <c r="AM7" s="156"/>
      <c r="AN7" s="156"/>
      <c r="AO7" s="156"/>
      <c r="AP7" s="156"/>
      <c r="AQ7" s="156"/>
      <c r="AR7" s="942"/>
      <c r="AS7" s="942"/>
      <c r="AT7" s="942"/>
      <c r="AU7" s="942"/>
      <c r="AV7" s="942"/>
      <c r="AW7" s="942"/>
    </row>
    <row r="8" spans="1:49" ht="15" customHeight="1">
      <c r="A8" s="193"/>
      <c r="B8" s="147"/>
      <c r="C8" s="428"/>
      <c r="D8" s="143"/>
      <c r="E8" s="428"/>
      <c r="F8" s="143"/>
      <c r="G8" s="143"/>
      <c r="H8" s="143"/>
      <c r="I8" s="143"/>
      <c r="J8" s="143"/>
      <c r="K8" s="143"/>
      <c r="L8" s="156"/>
      <c r="M8" s="156"/>
      <c r="N8" s="156"/>
      <c r="O8" s="156"/>
      <c r="P8" s="156"/>
      <c r="Q8" s="156"/>
      <c r="R8" s="156"/>
      <c r="S8" s="156"/>
      <c r="T8" s="156"/>
      <c r="U8" s="156"/>
      <c r="V8" s="1200"/>
      <c r="W8" s="156"/>
      <c r="X8" s="1200"/>
      <c r="Y8" s="156"/>
      <c r="Z8" s="156"/>
      <c r="AA8" s="156"/>
      <c r="AB8" s="156"/>
      <c r="AC8" s="143"/>
      <c r="AD8" s="156"/>
      <c r="AE8" s="156"/>
      <c r="AF8" s="156"/>
      <c r="AG8" s="156"/>
      <c r="AH8" s="156"/>
      <c r="AI8" s="156"/>
      <c r="AJ8" s="156"/>
      <c r="AK8" s="156"/>
      <c r="AL8" s="156"/>
      <c r="AM8" s="156"/>
      <c r="AN8" s="156"/>
      <c r="AO8" s="156"/>
      <c r="AP8" s="156"/>
      <c r="AQ8" s="156"/>
      <c r="AR8" s="942"/>
      <c r="AS8" s="942"/>
      <c r="AT8" s="942"/>
      <c r="AU8" s="942"/>
      <c r="AV8" s="942"/>
      <c r="AW8" s="942"/>
    </row>
    <row r="9" spans="1:49">
      <c r="A9" s="150"/>
      <c r="B9" s="156"/>
      <c r="C9" s="429"/>
      <c r="D9" s="143"/>
      <c r="E9" s="429"/>
      <c r="F9" s="143"/>
      <c r="G9" s="143"/>
      <c r="H9" s="143"/>
      <c r="I9" s="143"/>
      <c r="J9" s="143"/>
      <c r="K9" s="143"/>
      <c r="L9" s="156"/>
      <c r="M9" s="156"/>
      <c r="N9" s="156"/>
      <c r="O9" s="156"/>
      <c r="P9" s="156"/>
      <c r="Q9" s="156"/>
      <c r="R9" s="156"/>
      <c r="S9" s="156"/>
      <c r="T9" s="156"/>
      <c r="U9" s="156"/>
      <c r="V9" s="1200"/>
      <c r="W9" s="156"/>
      <c r="X9" s="1200"/>
      <c r="Y9" s="156"/>
      <c r="Z9" s="156"/>
      <c r="AA9" s="156"/>
      <c r="AB9" s="156"/>
      <c r="AC9" s="143"/>
      <c r="AD9" s="156"/>
      <c r="AE9" s="156"/>
      <c r="AF9" s="156"/>
      <c r="AG9" s="156"/>
      <c r="AH9" s="156"/>
      <c r="AI9" s="156"/>
      <c r="AJ9" s="156"/>
      <c r="AK9" s="156"/>
      <c r="AL9" s="156"/>
      <c r="AM9" s="156"/>
      <c r="AN9" s="156"/>
      <c r="AO9" s="156"/>
      <c r="AP9" s="156"/>
      <c r="AQ9" s="156"/>
      <c r="AR9" s="942"/>
      <c r="AS9" s="942"/>
      <c r="AT9" s="942"/>
      <c r="AU9" s="942"/>
      <c r="AV9" s="942"/>
      <c r="AW9" s="942"/>
    </row>
    <row r="10" spans="1:49">
      <c r="A10" s="150"/>
      <c r="B10" s="156"/>
      <c r="C10" s="429"/>
      <c r="D10" s="143"/>
      <c r="E10" s="429"/>
      <c r="F10" s="143"/>
      <c r="G10" s="143"/>
      <c r="H10" s="143"/>
      <c r="I10" s="143"/>
      <c r="J10" s="143"/>
      <c r="K10" s="143"/>
      <c r="L10" s="156"/>
      <c r="M10" s="156"/>
      <c r="N10" s="156"/>
      <c r="O10" s="156"/>
      <c r="P10" s="156"/>
      <c r="Q10" s="156"/>
      <c r="R10" s="156"/>
      <c r="S10" s="156"/>
      <c r="T10" s="156"/>
      <c r="U10" s="156"/>
      <c r="V10" s="975"/>
      <c r="W10" s="147"/>
      <c r="X10" s="975"/>
      <c r="Y10" s="147"/>
      <c r="Z10" s="147"/>
      <c r="AA10" s="147"/>
      <c r="AB10" s="147"/>
      <c r="AC10" s="143"/>
      <c r="AD10" s="156"/>
      <c r="AE10" s="156"/>
      <c r="AF10" s="156"/>
      <c r="AG10" s="156"/>
      <c r="AH10" s="156"/>
      <c r="AI10" s="156"/>
      <c r="AJ10" s="156"/>
      <c r="AK10" s="156"/>
      <c r="AL10" s="156"/>
      <c r="AM10" s="156"/>
      <c r="AN10" s="156"/>
      <c r="AO10" s="156"/>
      <c r="AP10" s="156"/>
      <c r="AQ10" s="156"/>
      <c r="AR10" s="942"/>
      <c r="AS10" s="942"/>
      <c r="AT10" s="942"/>
      <c r="AU10" s="942"/>
      <c r="AV10" s="942"/>
      <c r="AW10" s="942"/>
    </row>
    <row r="11" spans="1:49" ht="15.75">
      <c r="A11" s="699"/>
      <c r="C11" s="3920" t="s">
        <v>1145</v>
      </c>
      <c r="D11" s="3920"/>
      <c r="E11" s="3920"/>
      <c r="F11" s="3920"/>
      <c r="G11" s="3920"/>
      <c r="H11" s="3920"/>
      <c r="I11" s="3920"/>
      <c r="J11" s="1194"/>
      <c r="K11" s="1194"/>
      <c r="L11" s="196"/>
      <c r="M11" s="194"/>
      <c r="N11" s="3920" t="s">
        <v>1146</v>
      </c>
      <c r="O11" s="3920"/>
      <c r="P11" s="3920"/>
      <c r="Q11" s="3920"/>
      <c r="R11" s="3920"/>
      <c r="S11" s="3920"/>
      <c r="T11" s="3920"/>
      <c r="U11" s="1203"/>
      <c r="V11" s="1443"/>
      <c r="W11" s="1465"/>
      <c r="X11" s="1465"/>
      <c r="Y11" s="1465"/>
      <c r="Z11" s="1465"/>
      <c r="AA11" s="1465"/>
      <c r="AB11" s="1465"/>
      <c r="AC11" s="151"/>
      <c r="AD11" s="194"/>
      <c r="AE11" s="194"/>
      <c r="AF11" s="194"/>
      <c r="AG11" s="194"/>
      <c r="AH11" s="194"/>
      <c r="AI11" s="194"/>
      <c r="AJ11" s="194"/>
      <c r="AK11" s="151"/>
      <c r="AL11" s="194"/>
      <c r="AM11" s="195"/>
      <c r="AN11" s="194"/>
      <c r="AO11" s="194"/>
      <c r="AP11" s="194"/>
      <c r="AQ11" s="194"/>
      <c r="AR11" s="942"/>
      <c r="AS11" s="942"/>
      <c r="AT11" s="942"/>
      <c r="AU11" s="942"/>
      <c r="AV11" s="942"/>
      <c r="AW11" s="942"/>
    </row>
    <row r="12" spans="1:49" ht="15.75">
      <c r="A12" s="699"/>
      <c r="C12" s="430"/>
      <c r="D12" s="196"/>
      <c r="E12" s="430"/>
      <c r="F12" s="196"/>
      <c r="G12" s="197"/>
      <c r="H12" s="196"/>
      <c r="I12" s="196" t="s">
        <v>85</v>
      </c>
      <c r="J12" s="196"/>
      <c r="K12" s="196" t="s">
        <v>85</v>
      </c>
      <c r="L12" s="196"/>
      <c r="M12" s="1218"/>
      <c r="N12" s="430"/>
      <c r="O12" s="196"/>
      <c r="P12" s="430"/>
      <c r="Q12" s="196"/>
      <c r="R12" s="197"/>
      <c r="S12" s="196"/>
      <c r="T12" s="196" t="s">
        <v>85</v>
      </c>
      <c r="U12" s="194"/>
      <c r="V12" s="196" t="s">
        <v>85</v>
      </c>
      <c r="W12" s="196"/>
      <c r="X12" s="433"/>
      <c r="Y12" s="196"/>
      <c r="Z12" s="197"/>
      <c r="AA12" s="196"/>
      <c r="AB12" s="196"/>
      <c r="AC12" s="151"/>
      <c r="AD12" s="194"/>
      <c r="AE12" s="194"/>
      <c r="AF12" s="194"/>
      <c r="AG12" s="194"/>
      <c r="AH12" s="194"/>
      <c r="AI12" s="194"/>
      <c r="AJ12" s="194"/>
      <c r="AK12" s="151"/>
      <c r="AL12" s="194"/>
      <c r="AM12" s="195"/>
      <c r="AN12" s="194"/>
      <c r="AO12" s="194"/>
      <c r="AP12" s="194"/>
      <c r="AQ12" s="194"/>
      <c r="AR12" s="942"/>
      <c r="AS12" s="942"/>
      <c r="AT12" s="942"/>
      <c r="AU12" s="942"/>
      <c r="AV12" s="942"/>
      <c r="AW12" s="942"/>
    </row>
    <row r="13" spans="1:49" ht="15.75">
      <c r="A13" s="699"/>
      <c r="B13" s="151"/>
      <c r="C13" s="431"/>
      <c r="D13" s="198"/>
      <c r="E13" s="431"/>
      <c r="F13" s="198"/>
      <c r="G13" s="198"/>
      <c r="H13" s="198"/>
      <c r="I13" s="199" t="s">
        <v>885</v>
      </c>
      <c r="J13" s="199"/>
      <c r="K13" s="199" t="s">
        <v>885</v>
      </c>
      <c r="L13" s="978"/>
      <c r="M13" s="1219"/>
      <c r="N13" s="431"/>
      <c r="O13" s="198"/>
      <c r="P13" s="431"/>
      <c r="Q13" s="198"/>
      <c r="R13" s="198"/>
      <c r="S13" s="198"/>
      <c r="T13" s="199" t="s">
        <v>885</v>
      </c>
      <c r="U13" s="201"/>
      <c r="V13" s="199" t="s">
        <v>885</v>
      </c>
      <c r="W13" s="977"/>
      <c r="X13" s="976"/>
      <c r="Y13" s="977"/>
      <c r="Z13" s="977"/>
      <c r="AA13" s="977"/>
      <c r="AB13" s="978"/>
      <c r="AC13" s="151"/>
      <c r="AD13" s="151"/>
      <c r="AE13" s="151"/>
      <c r="AF13" s="151"/>
      <c r="AG13" s="151"/>
      <c r="AH13" s="151"/>
      <c r="AI13" s="200"/>
      <c r="AJ13" s="201"/>
      <c r="AK13" s="151"/>
      <c r="AL13" s="151"/>
      <c r="AM13" s="151"/>
      <c r="AN13" s="151"/>
      <c r="AO13" s="151"/>
      <c r="AP13" s="151"/>
      <c r="AQ13" s="200"/>
      <c r="AR13" s="942"/>
      <c r="AS13" s="942"/>
      <c r="AT13" s="942"/>
      <c r="AU13" s="942"/>
      <c r="AV13" s="942"/>
      <c r="AW13" s="942"/>
    </row>
    <row r="14" spans="1:49" ht="15.75">
      <c r="A14" s="699"/>
      <c r="B14" s="202"/>
      <c r="C14" s="154" t="s">
        <v>1094</v>
      </c>
      <c r="D14" s="942"/>
      <c r="E14" s="153" t="s">
        <v>1095</v>
      </c>
      <c r="F14" s="152"/>
      <c r="G14" s="152"/>
      <c r="H14" s="152"/>
      <c r="I14" s="153" t="s">
        <v>86</v>
      </c>
      <c r="J14" s="153"/>
      <c r="K14" s="153" t="s">
        <v>86</v>
      </c>
      <c r="L14" s="201"/>
      <c r="M14" s="1219"/>
      <c r="N14" s="154" t="s">
        <v>1094</v>
      </c>
      <c r="O14" s="942"/>
      <c r="P14" s="153" t="s">
        <v>1095</v>
      </c>
      <c r="Q14" s="152"/>
      <c r="R14" s="152"/>
      <c r="S14" s="152"/>
      <c r="T14" s="153" t="s">
        <v>86</v>
      </c>
      <c r="U14" s="201"/>
      <c r="V14" s="153" t="s">
        <v>86</v>
      </c>
      <c r="W14" s="700"/>
      <c r="X14" s="201"/>
      <c r="Y14" s="151"/>
      <c r="Z14" s="151"/>
      <c r="AA14" s="151"/>
      <c r="AB14" s="201"/>
      <c r="AC14" s="151"/>
      <c r="AD14" s="200"/>
      <c r="AE14" s="201"/>
      <c r="AF14" s="151"/>
      <c r="AG14" s="151"/>
      <c r="AH14" s="151"/>
      <c r="AI14" s="200"/>
      <c r="AJ14" s="201"/>
      <c r="AK14" s="151"/>
      <c r="AL14" s="200"/>
      <c r="AM14" s="201"/>
      <c r="AN14" s="151"/>
      <c r="AO14" s="151"/>
      <c r="AP14" s="151"/>
      <c r="AQ14" s="200"/>
      <c r="AR14" s="942"/>
      <c r="AS14" s="942"/>
      <c r="AT14" s="942"/>
      <c r="AU14" s="942"/>
      <c r="AV14" s="942"/>
      <c r="AW14" s="942"/>
    </row>
    <row r="15" spans="1:49" ht="15.75">
      <c r="A15" s="699"/>
      <c r="B15" s="202"/>
      <c r="C15" s="153" t="s">
        <v>1133</v>
      </c>
      <c r="D15" s="152"/>
      <c r="E15" s="153" t="s">
        <v>1133</v>
      </c>
      <c r="F15" s="152"/>
      <c r="G15" s="152"/>
      <c r="H15" s="152"/>
      <c r="I15" s="153" t="s">
        <v>1094</v>
      </c>
      <c r="J15" s="153"/>
      <c r="K15" s="153" t="s">
        <v>1095</v>
      </c>
      <c r="L15" s="201"/>
      <c r="M15" s="1219"/>
      <c r="N15" s="153" t="s">
        <v>1133</v>
      </c>
      <c r="O15" s="152"/>
      <c r="P15" s="153" t="s">
        <v>1133</v>
      </c>
      <c r="Q15" s="152"/>
      <c r="R15" s="152"/>
      <c r="S15" s="152"/>
      <c r="T15" s="153" t="s">
        <v>1094</v>
      </c>
      <c r="U15" s="201"/>
      <c r="V15" s="153" t="s">
        <v>1095</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42"/>
      <c r="AS15" s="942"/>
      <c r="AT15" s="942"/>
      <c r="AU15" s="942"/>
      <c r="AV15" s="942"/>
      <c r="AW15" s="942"/>
    </row>
    <row r="16" spans="1:49" ht="15.75">
      <c r="A16" s="699"/>
      <c r="B16" s="201"/>
      <c r="C16" s="153" t="s">
        <v>1134</v>
      </c>
      <c r="D16" s="152"/>
      <c r="E16" s="153" t="s">
        <v>1447</v>
      </c>
      <c r="F16" s="152"/>
      <c r="G16" s="154" t="s">
        <v>85</v>
      </c>
      <c r="H16" s="152"/>
      <c r="I16" s="153" t="s">
        <v>87</v>
      </c>
      <c r="J16" s="201"/>
      <c r="K16" s="153" t="s">
        <v>87</v>
      </c>
      <c r="L16" s="201"/>
      <c r="M16" s="1226"/>
      <c r="N16" s="1227" t="s">
        <v>1134</v>
      </c>
      <c r="O16" s="152"/>
      <c r="P16" s="153" t="s">
        <v>1447</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42"/>
      <c r="AS16" s="942"/>
      <c r="AT16" s="942"/>
      <c r="AU16" s="942"/>
      <c r="AV16" s="942"/>
      <c r="AW16" s="942"/>
    </row>
    <row r="17" spans="1:49">
      <c r="A17" s="155"/>
      <c r="B17" s="156"/>
      <c r="C17" s="157"/>
      <c r="D17" s="143"/>
      <c r="E17" s="157"/>
      <c r="F17" s="143"/>
      <c r="G17" s="157"/>
      <c r="H17" s="143"/>
      <c r="I17" s="157"/>
      <c r="J17" s="156"/>
      <c r="K17" s="157"/>
      <c r="L17" s="156"/>
      <c r="M17" s="1220"/>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42"/>
      <c r="AS17" s="942"/>
      <c r="AT17" s="942"/>
      <c r="AU17" s="942"/>
      <c r="AV17" s="942"/>
      <c r="AW17" s="942"/>
    </row>
    <row r="18" spans="1:49" ht="15.75">
      <c r="A18" s="29" t="s">
        <v>14</v>
      </c>
      <c r="B18" s="935"/>
      <c r="C18" s="666"/>
      <c r="D18" s="666"/>
      <c r="E18" s="666"/>
      <c r="F18" s="666"/>
      <c r="G18" s="666"/>
      <c r="H18" s="666"/>
      <c r="I18" s="935"/>
      <c r="J18" s="666"/>
      <c r="K18" s="935"/>
      <c r="L18" s="935"/>
      <c r="M18" s="1221"/>
      <c r="N18" s="666"/>
      <c r="O18" s="666"/>
      <c r="P18" s="666"/>
      <c r="Q18" s="666"/>
      <c r="R18" s="666"/>
      <c r="S18" s="666"/>
      <c r="T18" s="666"/>
      <c r="U18" s="935"/>
      <c r="V18" s="935"/>
      <c r="W18" s="935"/>
      <c r="X18" s="935"/>
      <c r="Y18" s="935"/>
      <c r="Z18" s="935"/>
      <c r="AA18" s="935"/>
      <c r="AB18" s="935"/>
      <c r="AC18" s="935"/>
      <c r="AD18" s="935"/>
      <c r="AE18" s="935"/>
      <c r="AF18" s="935"/>
      <c r="AG18" s="935"/>
      <c r="AH18" s="935"/>
      <c r="AI18" s="935"/>
      <c r="AJ18" s="935"/>
      <c r="AK18" s="935"/>
      <c r="AL18" s="935"/>
      <c r="AM18" s="935"/>
      <c r="AN18" s="935"/>
      <c r="AO18" s="935"/>
      <c r="AP18" s="935"/>
      <c r="AQ18" s="935"/>
      <c r="AR18" s="942"/>
      <c r="AS18" s="942"/>
      <c r="AT18" s="942"/>
      <c r="AU18" s="942"/>
      <c r="AV18" s="942"/>
      <c r="AW18" s="942"/>
    </row>
    <row r="19" spans="1:49">
      <c r="A19" s="830" t="s">
        <v>88</v>
      </c>
      <c r="B19" s="936"/>
      <c r="C19" s="666"/>
      <c r="D19" s="936"/>
      <c r="E19" s="666"/>
      <c r="F19" s="936"/>
      <c r="G19" s="666"/>
      <c r="H19" s="936"/>
      <c r="I19" s="935"/>
      <c r="J19" s="666"/>
      <c r="K19" s="935"/>
      <c r="L19" s="935"/>
      <c r="M19" s="1221"/>
      <c r="N19" s="666"/>
      <c r="O19" s="936"/>
      <c r="P19" s="666"/>
      <c r="Q19" s="936"/>
      <c r="R19" s="666"/>
      <c r="S19" s="936"/>
      <c r="T19" s="666"/>
      <c r="U19" s="935"/>
      <c r="V19" s="935"/>
      <c r="W19" s="935"/>
      <c r="X19" s="935"/>
      <c r="Y19" s="935"/>
      <c r="Z19" s="935"/>
      <c r="AA19" s="956"/>
      <c r="AB19" s="935"/>
      <c r="AC19" s="935"/>
      <c r="AD19" s="935"/>
      <c r="AE19" s="935"/>
      <c r="AF19" s="935"/>
      <c r="AG19" s="935"/>
      <c r="AH19" s="935"/>
      <c r="AI19" s="935"/>
      <c r="AJ19" s="935"/>
      <c r="AK19" s="935"/>
      <c r="AL19" s="935"/>
      <c r="AM19" s="935"/>
      <c r="AN19" s="935"/>
      <c r="AO19" s="935"/>
      <c r="AP19" s="935"/>
      <c r="AQ19" s="935"/>
      <c r="AR19" s="942"/>
      <c r="AS19" s="942"/>
      <c r="AT19" s="942"/>
      <c r="AU19" s="942"/>
      <c r="AV19" s="942"/>
      <c r="AW19" s="942"/>
    </row>
    <row r="20" spans="1:49">
      <c r="A20" s="830" t="s">
        <v>89</v>
      </c>
      <c r="B20" s="936" t="s">
        <v>15</v>
      </c>
      <c r="C20" s="2100">
        <v>2166</v>
      </c>
      <c r="D20" s="669"/>
      <c r="E20" s="2100">
        <v>2149</v>
      </c>
      <c r="F20" s="669"/>
      <c r="G20" s="667">
        <f>'Exhibit G State'!AD17</f>
        <v>2149.1</v>
      </c>
      <c r="H20" s="669"/>
      <c r="I20" s="982">
        <f>ROUND(SUM(G20)-SUM(C20),1)</f>
        <v>-16.899999999999999</v>
      </c>
      <c r="J20" s="667"/>
      <c r="K20" s="982">
        <f t="shared" ref="K20:K25" si="0">ROUND(SUM(G20)-SUM(E20),1)</f>
        <v>0.1</v>
      </c>
      <c r="L20" s="982"/>
      <c r="M20" s="1221"/>
      <c r="N20" s="2100">
        <v>0</v>
      </c>
      <c r="O20" s="904"/>
      <c r="P20" s="2100">
        <v>0</v>
      </c>
      <c r="Q20" s="669"/>
      <c r="R20" s="667">
        <v>0</v>
      </c>
      <c r="S20" s="669"/>
      <c r="T20" s="982">
        <f>ROUND(SUM(R20)-SUM(N20),1)</f>
        <v>0</v>
      </c>
      <c r="U20" s="935"/>
      <c r="V20" s="982">
        <f t="shared" ref="V20:V25" si="1">ROUND(SUM(R20)-SUM(P20),1)</f>
        <v>0</v>
      </c>
      <c r="W20" s="980"/>
      <c r="X20" s="983"/>
      <c r="Y20" s="980"/>
      <c r="Z20" s="981"/>
      <c r="AA20" s="980"/>
      <c r="AB20" s="982"/>
      <c r="AC20" s="935"/>
      <c r="AD20" s="935"/>
      <c r="AE20" s="935"/>
      <c r="AF20" s="935"/>
      <c r="AG20" s="935"/>
      <c r="AH20" s="935"/>
      <c r="AI20" s="935"/>
      <c r="AJ20" s="935"/>
      <c r="AK20" s="935"/>
      <c r="AL20" s="935"/>
      <c r="AM20" s="935"/>
      <c r="AN20" s="935"/>
      <c r="AO20" s="935"/>
      <c r="AP20" s="935"/>
      <c r="AQ20" s="935"/>
      <c r="AR20" s="942"/>
      <c r="AS20" s="942"/>
      <c r="AT20" s="942"/>
      <c r="AU20" s="942"/>
      <c r="AV20" s="942"/>
      <c r="AW20" s="942"/>
    </row>
    <row r="21" spans="1:49">
      <c r="A21" s="830" t="s">
        <v>90</v>
      </c>
      <c r="B21" s="935" t="s">
        <v>15</v>
      </c>
      <c r="C21" s="1136">
        <v>1770</v>
      </c>
      <c r="D21" s="1566"/>
      <c r="E21" s="1136">
        <v>1765</v>
      </c>
      <c r="F21" s="652"/>
      <c r="G21" s="652">
        <f>'Exhibit G State'!AD29</f>
        <v>1788.2</v>
      </c>
      <c r="H21" s="652"/>
      <c r="I21" s="1566">
        <f t="shared" ref="I21:I25" si="2">ROUND(SUM(G21)-SUM(C21),1)</f>
        <v>18.2</v>
      </c>
      <c r="J21" s="652"/>
      <c r="K21" s="954">
        <f t="shared" si="0"/>
        <v>23.2</v>
      </c>
      <c r="L21" s="954"/>
      <c r="M21" s="1221"/>
      <c r="N21" s="1136">
        <v>0</v>
      </c>
      <c r="O21" s="906"/>
      <c r="P21" s="1136">
        <v>0</v>
      </c>
      <c r="Q21" s="652"/>
      <c r="R21" s="652">
        <v>0</v>
      </c>
      <c r="S21" s="652"/>
      <c r="T21" s="1566">
        <f t="shared" ref="T21:T25" si="3">ROUND(SUM(R21)-SUM(N21),1)</f>
        <v>0</v>
      </c>
      <c r="U21" s="935"/>
      <c r="V21" s="954">
        <f t="shared" si="1"/>
        <v>0</v>
      </c>
      <c r="W21" s="954"/>
      <c r="X21" s="983"/>
      <c r="Y21" s="954"/>
      <c r="Z21" s="954"/>
      <c r="AA21" s="954"/>
      <c r="AB21" s="954"/>
      <c r="AC21" s="954"/>
      <c r="AD21" s="954"/>
      <c r="AE21" s="935"/>
      <c r="AF21" s="935"/>
      <c r="AG21" s="935"/>
      <c r="AH21" s="935"/>
      <c r="AI21" s="935"/>
      <c r="AJ21" s="935"/>
      <c r="AK21" s="935"/>
      <c r="AL21" s="935"/>
      <c r="AM21" s="935"/>
      <c r="AN21" s="935"/>
      <c r="AO21" s="935"/>
      <c r="AP21" s="935"/>
      <c r="AQ21" s="935"/>
      <c r="AR21" s="942"/>
      <c r="AS21" s="942"/>
      <c r="AT21" s="942"/>
      <c r="AU21" s="942"/>
      <c r="AV21" s="942"/>
      <c r="AW21" s="942"/>
    </row>
    <row r="22" spans="1:49">
      <c r="A22" s="830" t="s">
        <v>91</v>
      </c>
      <c r="B22" s="936" t="s">
        <v>15</v>
      </c>
      <c r="C22" s="1136">
        <v>1431</v>
      </c>
      <c r="D22" s="690"/>
      <c r="E22" s="1136">
        <v>1555</v>
      </c>
      <c r="F22" s="690"/>
      <c r="G22" s="652">
        <f>'Exhibit G State'!AD36</f>
        <v>1584</v>
      </c>
      <c r="H22" s="690"/>
      <c r="I22" s="1566">
        <f t="shared" si="2"/>
        <v>153</v>
      </c>
      <c r="J22" s="652"/>
      <c r="K22" s="954">
        <f t="shared" si="0"/>
        <v>29</v>
      </c>
      <c r="L22" s="954"/>
      <c r="M22" s="1221"/>
      <c r="N22" s="1136">
        <v>0</v>
      </c>
      <c r="O22" s="693"/>
      <c r="P22" s="1136">
        <v>0</v>
      </c>
      <c r="Q22" s="690"/>
      <c r="R22" s="943">
        <v>0</v>
      </c>
      <c r="S22" s="690"/>
      <c r="T22" s="1566">
        <f t="shared" si="3"/>
        <v>0</v>
      </c>
      <c r="U22" s="935"/>
      <c r="V22" s="954">
        <f t="shared" si="1"/>
        <v>0</v>
      </c>
      <c r="W22" s="955"/>
      <c r="X22" s="983"/>
      <c r="Y22" s="955"/>
      <c r="Z22" s="954"/>
      <c r="AA22" s="955"/>
      <c r="AB22" s="954"/>
      <c r="AC22" s="955"/>
      <c r="AD22" s="954"/>
      <c r="AE22" s="935"/>
      <c r="AF22" s="956"/>
      <c r="AG22" s="935"/>
      <c r="AH22" s="956"/>
      <c r="AI22" s="935"/>
      <c r="AJ22" s="935"/>
      <c r="AK22" s="956"/>
      <c r="AL22" s="935"/>
      <c r="AM22" s="935"/>
      <c r="AN22" s="956"/>
      <c r="AO22" s="203"/>
      <c r="AP22" s="956"/>
      <c r="AQ22" s="935"/>
      <c r="AR22" s="942"/>
      <c r="AS22" s="942"/>
      <c r="AT22" s="942"/>
      <c r="AU22" s="942"/>
      <c r="AV22" s="942"/>
      <c r="AW22" s="942"/>
    </row>
    <row r="23" spans="1:49" ht="15" customHeight="1">
      <c r="A23" s="830" t="s">
        <v>20</v>
      </c>
      <c r="B23" s="935" t="s">
        <v>15</v>
      </c>
      <c r="C23" s="1136">
        <v>16818</v>
      </c>
      <c r="D23" s="953"/>
      <c r="E23" s="1136">
        <v>17391</v>
      </c>
      <c r="F23" s="953"/>
      <c r="G23" s="652">
        <f>'Exhibit G State'!AD81</f>
        <v>17630.900000000001</v>
      </c>
      <c r="H23" s="652"/>
      <c r="I23" s="1566">
        <f t="shared" si="2"/>
        <v>812.9</v>
      </c>
      <c r="J23" s="652"/>
      <c r="K23" s="954">
        <f t="shared" si="0"/>
        <v>239.9</v>
      </c>
      <c r="L23" s="954"/>
      <c r="M23" s="1221"/>
      <c r="N23" s="1136">
        <v>87</v>
      </c>
      <c r="O23" s="2018"/>
      <c r="P23" s="1136">
        <v>200</v>
      </c>
      <c r="Q23" s="953"/>
      <c r="R23" s="695">
        <f>'Exhibit G Federal'!AD52</f>
        <v>203</v>
      </c>
      <c r="S23" s="652"/>
      <c r="T23" s="1566">
        <f t="shared" si="3"/>
        <v>116</v>
      </c>
      <c r="U23" s="935"/>
      <c r="V23" s="954">
        <f t="shared" si="1"/>
        <v>3</v>
      </c>
      <c r="W23" s="954"/>
      <c r="X23" s="983"/>
      <c r="Y23" s="954"/>
      <c r="Z23" s="954"/>
      <c r="AA23" s="954"/>
      <c r="AB23" s="954"/>
      <c r="AC23" s="954"/>
      <c r="AD23" s="954"/>
      <c r="AE23" s="935"/>
      <c r="AF23" s="935"/>
      <c r="AG23" s="935"/>
      <c r="AH23" s="935"/>
      <c r="AI23" s="935"/>
      <c r="AJ23" s="935"/>
      <c r="AK23" s="935"/>
      <c r="AL23" s="935"/>
      <c r="AM23" s="935"/>
      <c r="AN23" s="935"/>
      <c r="AO23" s="935"/>
      <c r="AP23" s="935"/>
      <c r="AQ23" s="935"/>
      <c r="AR23" s="942"/>
      <c r="AS23" s="942"/>
      <c r="AT23" s="942"/>
      <c r="AU23" s="942"/>
      <c r="AV23" s="942"/>
      <c r="AW23" s="942"/>
    </row>
    <row r="24" spans="1:49" ht="15" customHeight="1">
      <c r="A24" s="830" t="s">
        <v>21</v>
      </c>
      <c r="B24" s="935" t="s">
        <v>15</v>
      </c>
      <c r="C24" s="1136">
        <v>0</v>
      </c>
      <c r="D24" s="1566"/>
      <c r="E24" s="1136">
        <v>-9</v>
      </c>
      <c r="F24" s="652"/>
      <c r="G24" s="695">
        <f>'Exhibit G State'!AD83</f>
        <v>-8.8000000000000007</v>
      </c>
      <c r="H24" s="652"/>
      <c r="I24" s="1566">
        <f t="shared" si="2"/>
        <v>-8.8000000000000007</v>
      </c>
      <c r="J24" s="652"/>
      <c r="K24" s="954">
        <f t="shared" si="0"/>
        <v>0.2</v>
      </c>
      <c r="L24" s="954"/>
      <c r="M24" s="1221"/>
      <c r="N24" s="1136">
        <v>56954</v>
      </c>
      <c r="O24" s="906"/>
      <c r="P24" s="1136">
        <v>57885</v>
      </c>
      <c r="Q24" s="652"/>
      <c r="R24" s="695">
        <f>'Exhibit G Federal'!AD54</f>
        <v>58566.9</v>
      </c>
      <c r="S24" s="652"/>
      <c r="T24" s="1566">
        <f t="shared" si="3"/>
        <v>1612.9</v>
      </c>
      <c r="U24" s="935"/>
      <c r="V24" s="954">
        <f t="shared" si="1"/>
        <v>681.9</v>
      </c>
      <c r="W24" s="954"/>
      <c r="X24" s="983"/>
      <c r="Y24" s="954"/>
      <c r="Z24" s="954"/>
      <c r="AA24" s="954"/>
      <c r="AB24" s="954"/>
      <c r="AC24" s="954"/>
      <c r="AD24" s="957"/>
      <c r="AE24" s="958"/>
      <c r="AF24" s="935"/>
      <c r="AG24" s="958"/>
      <c r="AH24" s="935"/>
      <c r="AI24" s="958"/>
      <c r="AJ24" s="959"/>
      <c r="AK24" s="935"/>
      <c r="AL24" s="935"/>
      <c r="AM24" s="935"/>
      <c r="AN24" s="935"/>
      <c r="AO24" s="935"/>
      <c r="AP24" s="935"/>
      <c r="AQ24" s="935"/>
      <c r="AR24" s="942"/>
      <c r="AS24" s="942"/>
      <c r="AT24" s="942"/>
      <c r="AU24" s="942"/>
      <c r="AV24" s="942"/>
      <c r="AW24" s="942"/>
    </row>
    <row r="25" spans="1:49">
      <c r="A25" s="830" t="s">
        <v>48</v>
      </c>
      <c r="B25" s="959" t="s">
        <v>15</v>
      </c>
      <c r="C25" s="1136">
        <v>2260</v>
      </c>
      <c r="D25" s="954"/>
      <c r="E25" s="1136">
        <v>2582</v>
      </c>
      <c r="F25" s="954"/>
      <c r="G25" s="1043">
        <f>'Exhibit G State'!AD112</f>
        <v>2628.5</v>
      </c>
      <c r="H25" s="652"/>
      <c r="I25" s="1566">
        <f t="shared" si="2"/>
        <v>368.5</v>
      </c>
      <c r="J25" s="954"/>
      <c r="K25" s="954">
        <f t="shared" si="0"/>
        <v>46.5</v>
      </c>
      <c r="L25" s="954"/>
      <c r="M25" s="1222"/>
      <c r="N25" s="1136">
        <v>0</v>
      </c>
      <c r="O25" s="906"/>
      <c r="P25" s="1136">
        <v>0</v>
      </c>
      <c r="Q25" s="954"/>
      <c r="R25" s="1043">
        <f>+'Exhibit G Federal'!AD83</f>
        <v>0</v>
      </c>
      <c r="S25" s="652"/>
      <c r="T25" s="1566">
        <f t="shared" si="3"/>
        <v>0</v>
      </c>
      <c r="U25" s="959"/>
      <c r="V25" s="954">
        <f t="shared" si="1"/>
        <v>0</v>
      </c>
      <c r="W25" s="954"/>
      <c r="X25" s="983"/>
      <c r="Y25" s="954"/>
      <c r="Z25" s="955"/>
      <c r="AA25" s="954"/>
      <c r="AB25" s="954"/>
      <c r="AC25" s="954"/>
      <c r="AD25" s="957"/>
      <c r="AE25" s="958"/>
      <c r="AF25" s="935"/>
      <c r="AG25" s="958"/>
      <c r="AH25" s="935"/>
      <c r="AI25" s="958"/>
      <c r="AJ25" s="959"/>
      <c r="AK25" s="935"/>
      <c r="AL25" s="935"/>
      <c r="AM25" s="935"/>
      <c r="AN25" s="935"/>
      <c r="AO25" s="935"/>
      <c r="AP25" s="935"/>
      <c r="AQ25" s="935"/>
      <c r="AR25" s="942"/>
      <c r="AS25" s="942"/>
      <c r="AT25" s="942"/>
      <c r="AU25" s="942"/>
      <c r="AV25" s="942"/>
      <c r="AW25" s="942"/>
    </row>
    <row r="26" spans="1:49" ht="18" customHeight="1">
      <c r="A26" s="173" t="s">
        <v>109</v>
      </c>
      <c r="B26" s="151" t="s">
        <v>15</v>
      </c>
      <c r="C26" s="215">
        <f>ROUND(SUM(C20:C25),1)</f>
        <v>24445</v>
      </c>
      <c r="D26" s="933"/>
      <c r="E26" s="215">
        <f>ROUND(SUM(E20:E25),1)</f>
        <v>25433</v>
      </c>
      <c r="F26" s="933"/>
      <c r="G26" s="215">
        <f>ROUND(SUM(G20:G25),1)</f>
        <v>25771.9</v>
      </c>
      <c r="H26" s="933"/>
      <c r="I26" s="1577">
        <f>ROUND(SUM(I20:I25),1)</f>
        <v>1326.9</v>
      </c>
      <c r="J26" s="76"/>
      <c r="K26" s="1577">
        <f>ROUND(SUM(K20:K25),1)</f>
        <v>338.9</v>
      </c>
      <c r="L26" s="76"/>
      <c r="M26" s="1221"/>
      <c r="N26" s="215">
        <f>ROUND(SUM(N20:N25),1)</f>
        <v>57041</v>
      </c>
      <c r="O26" s="933"/>
      <c r="P26" s="215">
        <f>ROUND(SUM(P20:P25),1)</f>
        <v>58085</v>
      </c>
      <c r="Q26" s="933"/>
      <c r="R26" s="296">
        <f>ROUND(SUM(R20:R25),1)</f>
        <v>58769.9</v>
      </c>
      <c r="S26" s="933"/>
      <c r="T26" s="296">
        <f>ROUND(SUM(T20:T25),1)</f>
        <v>1728.9</v>
      </c>
      <c r="U26" s="151"/>
      <c r="V26" s="1577">
        <f>ROUND(SUM(V20:V25),1)</f>
        <v>684.9</v>
      </c>
      <c r="W26" s="76"/>
      <c r="X26" s="76"/>
      <c r="Y26" s="76"/>
      <c r="Z26" s="76"/>
      <c r="AA26" s="76"/>
      <c r="AB26" s="76"/>
      <c r="AC26" s="76"/>
      <c r="AD26" s="76"/>
      <c r="AE26" s="151"/>
      <c r="AF26" s="151"/>
      <c r="AG26" s="151"/>
      <c r="AH26" s="151"/>
      <c r="AI26" s="151"/>
      <c r="AJ26" s="151"/>
      <c r="AK26" s="151"/>
      <c r="AL26" s="151"/>
      <c r="AM26" s="151"/>
      <c r="AN26" s="151"/>
      <c r="AO26" s="151"/>
      <c r="AP26" s="151"/>
      <c r="AQ26" s="151"/>
      <c r="AR26" s="942"/>
      <c r="AS26" s="942"/>
      <c r="AT26" s="942"/>
      <c r="AU26" s="942"/>
      <c r="AV26" s="942"/>
      <c r="AW26" s="942"/>
    </row>
    <row r="27" spans="1:49">
      <c r="A27" s="699"/>
      <c r="B27" s="935"/>
      <c r="C27" s="697"/>
      <c r="D27" s="652"/>
      <c r="E27" s="697"/>
      <c r="F27" s="652"/>
      <c r="G27" s="697"/>
      <c r="H27" s="652"/>
      <c r="I27" s="954"/>
      <c r="J27" s="954"/>
      <c r="K27" s="954"/>
      <c r="L27" s="954"/>
      <c r="M27" s="1221"/>
      <c r="N27" s="697"/>
      <c r="O27" s="1566"/>
      <c r="P27" s="697"/>
      <c r="Q27" s="652"/>
      <c r="R27" s="697"/>
      <c r="S27" s="652"/>
      <c r="T27" s="954"/>
      <c r="U27" s="935"/>
      <c r="V27" s="954"/>
      <c r="W27" s="954"/>
      <c r="X27" s="954"/>
      <c r="Y27" s="954"/>
      <c r="Z27" s="954"/>
      <c r="AA27" s="954"/>
      <c r="AB27" s="954"/>
      <c r="AC27" s="954"/>
      <c r="AD27" s="954"/>
      <c r="AE27" s="935"/>
      <c r="AF27" s="935"/>
      <c r="AG27" s="935"/>
      <c r="AH27" s="935"/>
      <c r="AI27" s="935"/>
      <c r="AJ27" s="935"/>
      <c r="AK27" s="935"/>
      <c r="AL27" s="935"/>
      <c r="AM27" s="935"/>
      <c r="AN27" s="935"/>
      <c r="AO27" s="935"/>
      <c r="AP27" s="935"/>
      <c r="AQ27" s="935"/>
      <c r="AR27" s="942"/>
      <c r="AS27" s="942"/>
      <c r="AT27" s="942"/>
      <c r="AU27" s="942"/>
      <c r="AV27" s="942"/>
      <c r="AW27" s="942"/>
    </row>
    <row r="28" spans="1:49" ht="15.75">
      <c r="A28" s="29" t="s">
        <v>23</v>
      </c>
      <c r="B28" s="935"/>
      <c r="C28" s="652"/>
      <c r="D28" s="652"/>
      <c r="E28" s="1566"/>
      <c r="F28" s="652"/>
      <c r="G28" s="652"/>
      <c r="H28" s="652"/>
      <c r="I28" s="954"/>
      <c r="J28" s="954"/>
      <c r="K28" s="954"/>
      <c r="L28" s="954"/>
      <c r="M28" s="1221"/>
      <c r="N28" s="1566"/>
      <c r="O28" s="1566"/>
      <c r="P28" s="1566"/>
      <c r="Q28" s="652"/>
      <c r="R28" s="652"/>
      <c r="S28" s="652"/>
      <c r="T28" s="652"/>
      <c r="U28" s="935"/>
      <c r="V28" s="954"/>
      <c r="W28" s="954"/>
      <c r="X28" s="954"/>
      <c r="Y28" s="954"/>
      <c r="Z28" s="954"/>
      <c r="AA28" s="954"/>
      <c r="AB28" s="954"/>
      <c r="AC28" s="954"/>
      <c r="AD28" s="954"/>
      <c r="AE28" s="935"/>
      <c r="AF28" s="935"/>
      <c r="AG28" s="935"/>
      <c r="AH28" s="935"/>
      <c r="AI28" s="935"/>
      <c r="AJ28" s="935"/>
      <c r="AK28" s="935"/>
      <c r="AL28" s="935"/>
      <c r="AM28" s="935"/>
      <c r="AN28" s="935"/>
      <c r="AO28" s="935"/>
      <c r="AP28" s="935"/>
      <c r="AQ28" s="935"/>
      <c r="AR28" s="942"/>
      <c r="AS28" s="942"/>
      <c r="AT28" s="942"/>
      <c r="AU28" s="942"/>
      <c r="AV28" s="942"/>
      <c r="AW28" s="942"/>
    </row>
    <row r="29" spans="1:49">
      <c r="A29" s="830" t="s">
        <v>94</v>
      </c>
      <c r="B29" s="956" t="s">
        <v>15</v>
      </c>
      <c r="C29" s="1136">
        <v>15327</v>
      </c>
      <c r="D29" s="1566"/>
      <c r="E29" s="1136">
        <v>15716</v>
      </c>
      <c r="F29" s="652"/>
      <c r="G29" s="690">
        <f>'Exhibit G State'!AD99</f>
        <v>15858.9</v>
      </c>
      <c r="H29" s="652"/>
      <c r="I29" s="1566">
        <f t="shared" ref="I29:I33" si="4">ROUND(SUM(G29)-SUM(C29),1)</f>
        <v>531.9</v>
      </c>
      <c r="J29" s="954"/>
      <c r="K29" s="954">
        <f>ROUND(SUM(G29)-SUM(E29),1)</f>
        <v>142.9</v>
      </c>
      <c r="L29" s="954"/>
      <c r="M29" s="1221"/>
      <c r="N29" s="1136">
        <v>52542</v>
      </c>
      <c r="O29" s="1566"/>
      <c r="P29" s="1136">
        <v>51628</v>
      </c>
      <c r="Q29" s="652"/>
      <c r="R29" s="690">
        <f>'Exhibit G Federal'!AD70</f>
        <v>51844.5</v>
      </c>
      <c r="S29" s="652"/>
      <c r="T29" s="1566">
        <f t="shared" ref="T29:T33" si="5">ROUND(SUM(R29)-SUM(N29),1)</f>
        <v>-697.5</v>
      </c>
      <c r="U29" s="935"/>
      <c r="V29" s="954">
        <f>ROUND(SUM(R29)-SUM(P29),1)</f>
        <v>216.5</v>
      </c>
      <c r="W29" s="954"/>
      <c r="X29" s="983"/>
      <c r="Y29" s="954"/>
      <c r="Z29" s="954"/>
      <c r="AA29" s="954"/>
      <c r="AB29" s="954"/>
      <c r="AC29" s="954"/>
      <c r="AD29" s="957"/>
      <c r="AE29" s="958"/>
      <c r="AF29" s="935"/>
      <c r="AG29" s="958"/>
      <c r="AH29" s="935"/>
      <c r="AI29" s="958"/>
      <c r="AJ29" s="959"/>
      <c r="AK29" s="935"/>
      <c r="AL29" s="935"/>
      <c r="AM29" s="935"/>
      <c r="AN29" s="935"/>
      <c r="AO29" s="935"/>
      <c r="AP29" s="935"/>
      <c r="AQ29" s="935"/>
      <c r="AR29" s="942"/>
      <c r="AS29" s="942"/>
      <c r="AT29" s="942"/>
      <c r="AU29" s="942"/>
      <c r="AV29" s="942"/>
      <c r="AW29" s="942"/>
    </row>
    <row r="30" spans="1:49">
      <c r="A30" s="830" t="s">
        <v>95</v>
      </c>
      <c r="B30" s="956" t="s">
        <v>15</v>
      </c>
      <c r="C30" s="1136">
        <v>7197</v>
      </c>
      <c r="D30" s="1566"/>
      <c r="E30" s="1136">
        <v>7458</v>
      </c>
      <c r="F30" s="652"/>
      <c r="G30" s="690">
        <f>'Exhibit G State'!AD101+'Exhibit G State'!AD102</f>
        <v>7462.7000000000007</v>
      </c>
      <c r="H30" s="652"/>
      <c r="I30" s="1566">
        <f t="shared" si="4"/>
        <v>265.7</v>
      </c>
      <c r="J30" s="954"/>
      <c r="K30" s="954">
        <f>ROUND(SUM(G30)-SUM(E30),1)</f>
        <v>4.7</v>
      </c>
      <c r="L30" s="954"/>
      <c r="M30" s="1221"/>
      <c r="N30" s="1136">
        <v>1894</v>
      </c>
      <c r="O30" s="1566"/>
      <c r="P30" s="1136">
        <v>1870</v>
      </c>
      <c r="Q30" s="652"/>
      <c r="R30" s="690">
        <f>'Exhibit G Federal'!AD72+'Exhibit G Federal'!AD73</f>
        <v>1839.5</v>
      </c>
      <c r="S30" s="652"/>
      <c r="T30" s="1566">
        <f t="shared" si="5"/>
        <v>-54.5</v>
      </c>
      <c r="U30" s="935"/>
      <c r="V30" s="954">
        <f>ROUND(SUM(R30)-SUM(P30),1)</f>
        <v>-30.5</v>
      </c>
      <c r="W30" s="954"/>
      <c r="X30" s="983"/>
      <c r="Y30" s="954"/>
      <c r="Z30" s="954"/>
      <c r="AA30" s="954"/>
      <c r="AB30" s="954"/>
      <c r="AC30" s="954"/>
      <c r="AD30" s="955"/>
      <c r="AE30" s="956"/>
      <c r="AF30" s="935"/>
      <c r="AG30" s="956"/>
      <c r="AH30" s="935"/>
      <c r="AI30" s="958"/>
      <c r="AJ30" s="935"/>
      <c r="AK30" s="935"/>
      <c r="AL30" s="958"/>
      <c r="AM30" s="958"/>
      <c r="AN30" s="935"/>
      <c r="AO30" s="958"/>
      <c r="AP30" s="935"/>
      <c r="AQ30" s="958"/>
      <c r="AR30" s="942"/>
      <c r="AS30" s="942"/>
      <c r="AT30" s="942"/>
      <c r="AU30" s="942"/>
      <c r="AV30" s="942"/>
      <c r="AW30" s="942"/>
    </row>
    <row r="31" spans="1:49">
      <c r="A31" s="830" t="s">
        <v>70</v>
      </c>
      <c r="B31" s="956" t="s">
        <v>15</v>
      </c>
      <c r="C31" s="1136">
        <v>954</v>
      </c>
      <c r="D31" s="1566"/>
      <c r="E31" s="1136">
        <v>926</v>
      </c>
      <c r="F31" s="652"/>
      <c r="G31" s="690">
        <f>'Exhibit G State'!AD103</f>
        <v>900.8</v>
      </c>
      <c r="H31" s="652"/>
      <c r="I31" s="1566">
        <f t="shared" si="4"/>
        <v>-53.2</v>
      </c>
      <c r="J31" s="954"/>
      <c r="K31" s="954">
        <f>ROUND(SUM(G31)-SUM(E31),1)</f>
        <v>-25.2</v>
      </c>
      <c r="L31" s="954"/>
      <c r="M31" s="1221"/>
      <c r="N31" s="1136">
        <v>301</v>
      </c>
      <c r="O31" s="1566"/>
      <c r="P31" s="1136">
        <v>299</v>
      </c>
      <c r="Q31" s="652"/>
      <c r="R31" s="690">
        <f>'Exhibit G Federal'!AD74</f>
        <v>307.5</v>
      </c>
      <c r="S31" s="652"/>
      <c r="T31" s="1566">
        <f t="shared" si="5"/>
        <v>6.5</v>
      </c>
      <c r="U31" s="935"/>
      <c r="V31" s="954">
        <f>ROUND(SUM(R31)-SUM(P31),1)</f>
        <v>8.5</v>
      </c>
      <c r="W31" s="954"/>
      <c r="X31" s="983"/>
      <c r="Y31" s="954"/>
      <c r="Z31" s="954"/>
      <c r="AA31" s="954"/>
      <c r="AB31" s="954"/>
      <c r="AC31" s="954"/>
      <c r="AD31" s="957"/>
      <c r="AE31" s="958"/>
      <c r="AF31" s="935"/>
      <c r="AG31" s="958"/>
      <c r="AH31" s="935"/>
      <c r="AI31" s="958"/>
      <c r="AJ31" s="959"/>
      <c r="AK31" s="935"/>
      <c r="AL31" s="958"/>
      <c r="AM31" s="958"/>
      <c r="AN31" s="935"/>
      <c r="AO31" s="958"/>
      <c r="AP31" s="935"/>
      <c r="AQ31" s="958"/>
      <c r="AR31" s="942"/>
      <c r="AS31" s="942"/>
      <c r="AT31" s="942"/>
      <c r="AU31" s="942"/>
      <c r="AV31" s="942"/>
      <c r="AW31" s="942"/>
    </row>
    <row r="32" spans="1:49">
      <c r="A32" s="830" t="s">
        <v>42</v>
      </c>
      <c r="B32" s="959" t="s">
        <v>15</v>
      </c>
      <c r="C32" s="1136">
        <v>0</v>
      </c>
      <c r="D32" s="1566"/>
      <c r="E32" s="1136">
        <v>0</v>
      </c>
      <c r="F32" s="652"/>
      <c r="G32" s="668">
        <f>'Exhibit G State'!AD104</f>
        <v>0</v>
      </c>
      <c r="H32" s="652"/>
      <c r="I32" s="1566">
        <f t="shared" si="4"/>
        <v>0</v>
      </c>
      <c r="J32" s="954"/>
      <c r="K32" s="954">
        <f>ROUND(SUM(G32)-SUM(E32),1)</f>
        <v>0</v>
      </c>
      <c r="L32" s="954"/>
      <c r="M32" s="1222"/>
      <c r="N32" s="1136">
        <v>0</v>
      </c>
      <c r="O32" s="1566"/>
      <c r="P32" s="1136">
        <v>0</v>
      </c>
      <c r="Q32" s="652"/>
      <c r="R32" s="668">
        <v>0</v>
      </c>
      <c r="S32" s="652"/>
      <c r="T32" s="1566">
        <f t="shared" si="5"/>
        <v>0</v>
      </c>
      <c r="U32" s="959"/>
      <c r="V32" s="954">
        <f>ROUND(SUM(R32)-SUM(P32),1)</f>
        <v>0</v>
      </c>
      <c r="W32" s="954"/>
      <c r="X32" s="983"/>
      <c r="Y32" s="954"/>
      <c r="Z32" s="954"/>
      <c r="AA32" s="954"/>
      <c r="AB32" s="954"/>
      <c r="AC32" s="954"/>
      <c r="AD32" s="957"/>
      <c r="AE32" s="958"/>
      <c r="AF32" s="935"/>
      <c r="AG32" s="958"/>
      <c r="AH32" s="935"/>
      <c r="AI32" s="958"/>
      <c r="AJ32" s="959"/>
      <c r="AK32" s="935"/>
      <c r="AL32" s="935"/>
      <c r="AM32" s="935"/>
      <c r="AN32" s="935"/>
      <c r="AO32" s="935"/>
      <c r="AP32" s="935"/>
      <c r="AQ32" s="935"/>
      <c r="AR32" s="942"/>
      <c r="AS32" s="942"/>
      <c r="AT32" s="942"/>
      <c r="AU32" s="942"/>
      <c r="AV32" s="942"/>
      <c r="AW32" s="942"/>
    </row>
    <row r="33" spans="1:49">
      <c r="A33" s="830" t="s">
        <v>99</v>
      </c>
      <c r="B33" s="959" t="s">
        <v>15</v>
      </c>
      <c r="C33" s="1136">
        <v>365</v>
      </c>
      <c r="D33" s="1566"/>
      <c r="E33" s="1136">
        <v>525</v>
      </c>
      <c r="F33" s="652"/>
      <c r="G33" s="695">
        <f>-'Exhibit G State'!AD113</f>
        <v>603</v>
      </c>
      <c r="H33" s="652"/>
      <c r="I33" s="1566">
        <f t="shared" si="4"/>
        <v>238</v>
      </c>
      <c r="J33" s="954"/>
      <c r="K33" s="954">
        <f>ROUND(SUM(G33)-SUM(E33),1)</f>
        <v>78</v>
      </c>
      <c r="L33" s="954"/>
      <c r="M33" s="1222"/>
      <c r="N33" s="1136">
        <v>1574</v>
      </c>
      <c r="O33" s="1566"/>
      <c r="P33" s="1136">
        <v>1907</v>
      </c>
      <c r="Q33" s="652"/>
      <c r="R33" s="695">
        <f>-'Exhibit G Federal'!AD84</f>
        <v>1981.2</v>
      </c>
      <c r="S33" s="652"/>
      <c r="T33" s="1566">
        <f t="shared" si="5"/>
        <v>407.2</v>
      </c>
      <c r="U33" s="959"/>
      <c r="V33" s="954">
        <f>ROUND(SUM(R33)-SUM(P33),1)</f>
        <v>74.2</v>
      </c>
      <c r="W33" s="954"/>
      <c r="X33" s="983"/>
      <c r="Y33" s="954"/>
      <c r="Z33" s="955"/>
      <c r="AA33" s="954"/>
      <c r="AB33" s="954"/>
      <c r="AC33" s="954"/>
      <c r="AD33" s="957"/>
      <c r="AE33" s="958"/>
      <c r="AF33" s="935"/>
      <c r="AG33" s="958"/>
      <c r="AH33" s="935"/>
      <c r="AI33" s="958"/>
      <c r="AJ33" s="959"/>
      <c r="AK33" s="935"/>
      <c r="AL33" s="935"/>
      <c r="AM33" s="935"/>
      <c r="AN33" s="935"/>
      <c r="AO33" s="935"/>
      <c r="AP33" s="935"/>
      <c r="AQ33" s="935"/>
      <c r="AR33" s="942"/>
      <c r="AS33" s="942"/>
      <c r="AT33" s="942"/>
      <c r="AU33" s="942"/>
      <c r="AV33" s="942"/>
      <c r="AW33" s="942"/>
    </row>
    <row r="34" spans="1:49" ht="18" customHeight="1">
      <c r="A34" s="173" t="s">
        <v>118</v>
      </c>
      <c r="B34" s="151" t="s">
        <v>15</v>
      </c>
      <c r="C34" s="296">
        <f>ROUND(SUM(C29:C33),1)</f>
        <v>23843</v>
      </c>
      <c r="D34" s="933"/>
      <c r="E34" s="296">
        <f>ROUND(SUM(E29:E33),1)</f>
        <v>24625</v>
      </c>
      <c r="F34" s="933"/>
      <c r="G34" s="296">
        <f>ROUND(SUM(G29:G33),1)</f>
        <v>24825.4</v>
      </c>
      <c r="H34" s="933"/>
      <c r="I34" s="296">
        <f>ROUND(SUM(I29:I33),1)</f>
        <v>982.4</v>
      </c>
      <c r="J34" s="76"/>
      <c r="K34" s="296">
        <f>ROUND(SUM(K29:K33),1)</f>
        <v>200.4</v>
      </c>
      <c r="L34" s="76"/>
      <c r="M34" s="1225"/>
      <c r="N34" s="296">
        <f>ROUND(SUM(N29:N33),1)</f>
        <v>56311</v>
      </c>
      <c r="O34" s="933"/>
      <c r="P34" s="296">
        <f>ROUND(SUM(P29:P33),1)</f>
        <v>55704</v>
      </c>
      <c r="Q34" s="933"/>
      <c r="R34" s="296">
        <f>ROUND(SUM(R29:R33),1)</f>
        <v>55972.7</v>
      </c>
      <c r="S34" s="933"/>
      <c r="T34" s="296">
        <f>ROUND(SUM(T29:T33),1)</f>
        <v>-338.3</v>
      </c>
      <c r="U34" s="151"/>
      <c r="V34" s="296">
        <f>ROUND(SUM(V29:V33),1)</f>
        <v>268.7</v>
      </c>
      <c r="W34" s="76"/>
      <c r="X34" s="76"/>
      <c r="Y34" s="76"/>
      <c r="Z34" s="76"/>
      <c r="AA34" s="76"/>
      <c r="AB34" s="76"/>
      <c r="AC34" s="76"/>
      <c r="AD34" s="76"/>
      <c r="AE34" s="151"/>
      <c r="AF34" s="151"/>
      <c r="AG34" s="151"/>
      <c r="AH34" s="151"/>
      <c r="AI34" s="151"/>
      <c r="AJ34" s="151"/>
      <c r="AK34" s="151"/>
      <c r="AL34" s="151"/>
      <c r="AM34" s="151"/>
      <c r="AN34" s="151"/>
      <c r="AO34" s="151"/>
      <c r="AP34" s="151"/>
      <c r="AQ34" s="151"/>
      <c r="AR34" s="942"/>
      <c r="AS34" s="942"/>
      <c r="AT34" s="942"/>
      <c r="AU34" s="942"/>
      <c r="AV34" s="942"/>
      <c r="AW34" s="942"/>
    </row>
    <row r="35" spans="1:49">
      <c r="A35" s="699"/>
      <c r="B35" s="935"/>
      <c r="C35" s="697"/>
      <c r="D35" s="652"/>
      <c r="E35" s="697"/>
      <c r="F35" s="652"/>
      <c r="G35" s="697"/>
      <c r="H35" s="652"/>
      <c r="I35" s="954"/>
      <c r="J35" s="954"/>
      <c r="K35" s="954"/>
      <c r="L35" s="954"/>
      <c r="M35" s="1221"/>
      <c r="N35" s="697"/>
      <c r="O35" s="1566"/>
      <c r="P35" s="697"/>
      <c r="Q35" s="652"/>
      <c r="R35" s="697"/>
      <c r="S35" s="652"/>
      <c r="T35" s="954"/>
      <c r="U35" s="935"/>
      <c r="V35" s="954"/>
      <c r="W35" s="954"/>
      <c r="X35" s="954"/>
      <c r="Y35" s="954"/>
      <c r="Z35" s="954"/>
      <c r="AA35" s="954"/>
      <c r="AB35" s="954"/>
      <c r="AC35" s="954"/>
      <c r="AD35" s="954"/>
      <c r="AE35" s="935"/>
      <c r="AF35" s="935"/>
      <c r="AG35" s="935"/>
      <c r="AH35" s="935"/>
      <c r="AI35" s="935"/>
      <c r="AJ35" s="935"/>
      <c r="AK35" s="935"/>
      <c r="AL35" s="935"/>
      <c r="AM35" s="935"/>
      <c r="AN35" s="935"/>
      <c r="AO35" s="935"/>
      <c r="AP35" s="935"/>
      <c r="AQ35" s="935"/>
      <c r="AR35" s="942"/>
      <c r="AS35" s="942"/>
      <c r="AT35" s="942"/>
      <c r="AU35" s="942"/>
      <c r="AV35" s="942"/>
      <c r="AW35" s="942"/>
    </row>
    <row r="36" spans="1:49" ht="15.75">
      <c r="A36" s="29" t="s">
        <v>119</v>
      </c>
      <c r="B36" s="935"/>
      <c r="C36" s="652"/>
      <c r="D36" s="652"/>
      <c r="E36" s="1566"/>
      <c r="F36" s="652"/>
      <c r="G36" s="652"/>
      <c r="H36" s="652"/>
      <c r="I36" s="954"/>
      <c r="J36" s="954"/>
      <c r="K36" s="954"/>
      <c r="L36" s="954"/>
      <c r="M36" s="1221"/>
      <c r="N36" s="1566"/>
      <c r="O36" s="1566"/>
      <c r="P36" s="1566"/>
      <c r="Q36" s="652"/>
      <c r="R36" s="652"/>
      <c r="S36" s="652"/>
      <c r="T36" s="652"/>
      <c r="U36" s="935"/>
      <c r="V36" s="954"/>
      <c r="W36" s="954"/>
      <c r="X36" s="954"/>
      <c r="Y36" s="954"/>
      <c r="Z36" s="954"/>
      <c r="AA36" s="954"/>
      <c r="AB36" s="954"/>
      <c r="AC36" s="954"/>
      <c r="AD36" s="954"/>
      <c r="AE36" s="935"/>
      <c r="AF36" s="935"/>
      <c r="AG36" s="935"/>
      <c r="AH36" s="935"/>
      <c r="AI36" s="935"/>
      <c r="AJ36" s="935"/>
      <c r="AK36" s="935"/>
      <c r="AL36" s="935"/>
      <c r="AM36" s="935"/>
      <c r="AN36" s="935"/>
      <c r="AO36" s="935"/>
      <c r="AP36" s="935"/>
      <c r="AQ36" s="935"/>
      <c r="AR36" s="942"/>
      <c r="AS36" s="942"/>
      <c r="AT36" s="942"/>
      <c r="AU36" s="942"/>
      <c r="AV36" s="942"/>
      <c r="AW36" s="942"/>
    </row>
    <row r="37" spans="1:49" ht="15.75">
      <c r="A37" s="29" t="s">
        <v>120</v>
      </c>
      <c r="B37" s="935"/>
      <c r="C37" s="652"/>
      <c r="D37" s="652"/>
      <c r="E37" s="1566"/>
      <c r="F37" s="652"/>
      <c r="G37" s="652"/>
      <c r="H37" s="652"/>
      <c r="I37" s="954"/>
      <c r="J37" s="954"/>
      <c r="K37" s="954"/>
      <c r="L37" s="954"/>
      <c r="M37" s="1221"/>
      <c r="N37" s="1566"/>
      <c r="O37" s="1566"/>
      <c r="P37" s="1566"/>
      <c r="Q37" s="652"/>
      <c r="R37" s="652"/>
      <c r="S37" s="652"/>
      <c r="T37" s="652"/>
      <c r="U37" s="935"/>
      <c r="V37" s="954"/>
      <c r="W37" s="954"/>
      <c r="X37" s="954"/>
      <c r="Y37" s="954"/>
      <c r="Z37" s="954"/>
      <c r="AA37" s="954"/>
      <c r="AB37" s="954"/>
      <c r="AC37" s="954"/>
      <c r="AD37" s="954"/>
      <c r="AE37" s="935"/>
      <c r="AF37" s="935"/>
      <c r="AG37" s="935"/>
      <c r="AH37" s="935"/>
      <c r="AI37" s="935"/>
      <c r="AJ37" s="935"/>
      <c r="AK37" s="935"/>
      <c r="AL37" s="935"/>
      <c r="AM37" s="935"/>
      <c r="AN37" s="935"/>
      <c r="AO37" s="935"/>
      <c r="AP37" s="935"/>
      <c r="AQ37" s="935"/>
      <c r="AR37" s="942"/>
      <c r="AS37" s="942"/>
      <c r="AT37" s="942"/>
      <c r="AU37" s="942"/>
      <c r="AV37" s="942"/>
      <c r="AW37" s="942"/>
    </row>
    <row r="38" spans="1:49" ht="15.75">
      <c r="A38" s="173" t="s">
        <v>103</v>
      </c>
      <c r="B38" s="932" t="s">
        <v>15</v>
      </c>
      <c r="C38" s="76">
        <f>ROUND(SUM(C26)-SUM(C34),1)</f>
        <v>602</v>
      </c>
      <c r="D38" s="84"/>
      <c r="E38" s="1567">
        <f>ROUND(SUM(E26)-SUM(E34),1)</f>
        <v>808</v>
      </c>
      <c r="F38" s="84"/>
      <c r="G38" s="76">
        <f>ROUND(SUM(G26)-SUM(G34),1)</f>
        <v>946.5</v>
      </c>
      <c r="H38" s="84"/>
      <c r="I38" s="76">
        <f>ROUND(SUM(I26)-SUM(I34),1)</f>
        <v>344.5</v>
      </c>
      <c r="J38" s="76"/>
      <c r="K38" s="1567">
        <f>ROUND(SUM(K26)-SUM(K34),1)</f>
        <v>138.5</v>
      </c>
      <c r="L38" s="76"/>
      <c r="M38" s="1223"/>
      <c r="N38" s="1567">
        <f>ROUND(SUM(N26)-SUM(N34),1)</f>
        <v>730</v>
      </c>
      <c r="O38" s="84"/>
      <c r="P38" s="1567">
        <f>ROUND(SUM(P26)-SUM(P34),1)</f>
        <v>2381</v>
      </c>
      <c r="Q38" s="84"/>
      <c r="R38" s="76">
        <f>ROUND(SUM(R26)-SUM(R34),1)</f>
        <v>2797.2</v>
      </c>
      <c r="S38" s="84"/>
      <c r="T38" s="76">
        <f>ROUND(SUM(T26)-SUM(T34),1)</f>
        <v>2067.1999999999998</v>
      </c>
      <c r="U38" s="151"/>
      <c r="V38" s="1567">
        <f>ROUND(SUM(V26)-SUM(V34),1)</f>
        <v>416.2</v>
      </c>
      <c r="W38" s="399"/>
      <c r="X38" s="76"/>
      <c r="Y38" s="399"/>
      <c r="Z38" s="76"/>
      <c r="AA38" s="399"/>
      <c r="AB38" s="76"/>
      <c r="AC38" s="399"/>
      <c r="AD38" s="76"/>
      <c r="AE38" s="151"/>
      <c r="AF38" s="174"/>
      <c r="AG38" s="151"/>
      <c r="AH38" s="174"/>
      <c r="AI38" s="151"/>
      <c r="AJ38" s="151"/>
      <c r="AK38" s="174"/>
      <c r="AL38" s="151"/>
      <c r="AM38" s="151"/>
      <c r="AN38" s="174"/>
      <c r="AO38" s="151"/>
      <c r="AP38" s="174"/>
      <c r="AQ38" s="151"/>
      <c r="AR38" s="942"/>
      <c r="AS38" s="942"/>
      <c r="AT38" s="942"/>
      <c r="AU38" s="942"/>
      <c r="AV38" s="942"/>
      <c r="AW38" s="942"/>
    </row>
    <row r="39" spans="1:49" ht="15" customHeight="1">
      <c r="C39" s="679"/>
      <c r="D39" s="943"/>
      <c r="E39" s="679"/>
      <c r="F39" s="943"/>
      <c r="G39" s="679"/>
      <c r="H39" s="943"/>
      <c r="I39" s="76"/>
      <c r="J39" s="76"/>
      <c r="K39" s="1567"/>
      <c r="L39" s="76"/>
      <c r="M39" s="1223"/>
      <c r="N39" s="679"/>
      <c r="O39" s="943"/>
      <c r="P39" s="679"/>
      <c r="Q39" s="943"/>
      <c r="R39" s="679"/>
      <c r="S39" s="943"/>
      <c r="T39" s="76"/>
      <c r="U39" s="151"/>
      <c r="V39" s="1567"/>
      <c r="W39" s="679"/>
      <c r="X39" s="679"/>
      <c r="Y39" s="679"/>
      <c r="Z39" s="679"/>
      <c r="AA39" s="679"/>
      <c r="AB39" s="679"/>
      <c r="AC39" s="679"/>
      <c r="AD39" s="679"/>
      <c r="AR39" s="942"/>
      <c r="AS39" s="942"/>
      <c r="AT39" s="942"/>
      <c r="AU39" s="942"/>
      <c r="AV39" s="942"/>
      <c r="AW39" s="942"/>
    </row>
    <row r="40" spans="1:49" ht="15.75">
      <c r="A40" s="173" t="str">
        <f>+'Exh D-Governmental  '!A49</f>
        <v>Fund Balances (Deficits) at April 1</v>
      </c>
      <c r="B40" s="631" t="s">
        <v>15</v>
      </c>
      <c r="C40" s="115">
        <v>5091</v>
      </c>
      <c r="D40" s="1691"/>
      <c r="E40" s="115">
        <v>5091</v>
      </c>
      <c r="F40" s="943"/>
      <c r="G40" s="115">
        <f>'Exhibit G State'!D13</f>
        <v>5090.8</v>
      </c>
      <c r="H40" s="1691"/>
      <c r="I40" s="933">
        <f>ROUND(SUM(G40)-SUM(C40),1)</f>
        <v>-0.2</v>
      </c>
      <c r="J40" s="81"/>
      <c r="K40" s="3726">
        <f>ROUND(SUM(G40)-SUM(E40),1)</f>
        <v>-0.2</v>
      </c>
      <c r="L40" s="81"/>
      <c r="M40" s="1223"/>
      <c r="N40" s="115">
        <v>-1249</v>
      </c>
      <c r="O40" s="1691"/>
      <c r="P40" s="115">
        <v>-1249</v>
      </c>
      <c r="Q40" s="943"/>
      <c r="R40" s="115">
        <f>'Exhibit G Federal'!D13</f>
        <v>-1248.3999999999999</v>
      </c>
      <c r="S40" s="1691"/>
      <c r="T40" s="933">
        <f>ROUND(SUM(R40)-SUM(N40),1)</f>
        <v>0.6</v>
      </c>
      <c r="U40" s="151"/>
      <c r="V40" s="3726">
        <f>ROUND(SUM(R40)-SUM(P40),1)</f>
        <v>0.6</v>
      </c>
      <c r="W40" s="679"/>
      <c r="X40" s="76"/>
      <c r="Y40" s="679"/>
      <c r="Z40" s="76"/>
      <c r="AA40" s="679"/>
      <c r="AB40" s="81"/>
      <c r="AC40" s="679"/>
      <c r="AD40" s="679"/>
      <c r="AR40" s="942"/>
      <c r="AS40" s="942"/>
      <c r="AT40" s="942"/>
      <c r="AU40" s="942"/>
      <c r="AV40" s="942"/>
      <c r="AW40" s="942"/>
    </row>
    <row r="41" spans="1:49" ht="18" customHeight="1" thickBot="1">
      <c r="A41" s="1375" t="str">
        <f>+'Exh D-Governmental  '!A50</f>
        <v>Fund Balances (Deficits) at February 29, 2020</v>
      </c>
      <c r="B41" s="180" t="s">
        <v>15</v>
      </c>
      <c r="C41" s="98">
        <f>ROUND(SUM(C38:C40),1)</f>
        <v>5693</v>
      </c>
      <c r="D41" s="181"/>
      <c r="E41" s="98">
        <f>ROUND(SUM(E38:E40),1)</f>
        <v>5899</v>
      </c>
      <c r="F41" s="181"/>
      <c r="G41" s="98">
        <f>ROUND(SUM(G38:G40),1)</f>
        <v>6037.3</v>
      </c>
      <c r="H41" s="181"/>
      <c r="I41" s="98">
        <f>ROUND(SUM(I38:I40),1)</f>
        <v>344.3</v>
      </c>
      <c r="J41" s="219"/>
      <c r="K41" s="98">
        <f>ROUND(SUM(K38:K40),1)</f>
        <v>138.30000000000001</v>
      </c>
      <c r="L41" s="219"/>
      <c r="M41" s="1224"/>
      <c r="N41" s="98">
        <f>ROUND(SUM(N38:N40),1)</f>
        <v>-519</v>
      </c>
      <c r="O41" s="181"/>
      <c r="P41" s="98">
        <f>ROUND(SUM(P38:P40),1)</f>
        <v>1132</v>
      </c>
      <c r="Q41" s="181"/>
      <c r="R41" s="98">
        <f>ROUND(SUM(R38:R40),1)</f>
        <v>1548.8</v>
      </c>
      <c r="S41" s="181"/>
      <c r="T41" s="98">
        <f>ROUND(SUM(T38:T40),1)</f>
        <v>2067.8000000000002</v>
      </c>
      <c r="U41" s="151"/>
      <c r="V41" s="98">
        <f>ROUND(SUM(V38:V40),1)</f>
        <v>416.8</v>
      </c>
      <c r="W41" s="986"/>
      <c r="X41" s="219"/>
      <c r="Y41" s="986"/>
      <c r="Z41" s="219"/>
      <c r="AA41" s="986"/>
      <c r="AB41" s="219"/>
      <c r="AR41" s="942"/>
      <c r="AS41" s="942"/>
      <c r="AT41" s="942"/>
      <c r="AU41" s="942"/>
      <c r="AV41" s="942"/>
      <c r="AW41" s="942"/>
    </row>
    <row r="42" spans="1:49" ht="15" customHeight="1" thickTop="1">
      <c r="A42" s="155"/>
      <c r="G42" s="631"/>
      <c r="J42" s="631"/>
      <c r="V42" s="631"/>
      <c r="W42" s="987"/>
      <c r="X42" s="698"/>
      <c r="Y42" s="987"/>
      <c r="Z42" s="987"/>
      <c r="AA42" s="987"/>
      <c r="AB42" s="987"/>
      <c r="AR42" s="942"/>
      <c r="AS42" s="942"/>
      <c r="AT42" s="942"/>
      <c r="AU42" s="942"/>
      <c r="AV42" s="942"/>
      <c r="AW42" s="942"/>
    </row>
    <row r="43" spans="1:49">
      <c r="A43" s="947" t="str">
        <f>'Exh D-Governmental  '!A52</f>
        <v>(*)    Source: 2019-20 Enacted Financial Plan dated May 13, 2019.</v>
      </c>
      <c r="AR43" s="942"/>
      <c r="AS43" s="942"/>
      <c r="AT43" s="942"/>
      <c r="AU43" s="942"/>
      <c r="AV43" s="942"/>
      <c r="AW43" s="942"/>
    </row>
    <row r="44" spans="1:49">
      <c r="A44" s="654" t="str">
        <f>'Exh D Special Revenue'!A44</f>
        <v>(**)   Source: 2020-21 Executive Budget with 30-day amendments dated February 24, 2020.</v>
      </c>
      <c r="B44" s="942"/>
      <c r="C44" s="942"/>
      <c r="D44" s="942"/>
      <c r="E44" s="942"/>
      <c r="F44" s="942"/>
      <c r="G44" s="942"/>
      <c r="H44" s="942"/>
      <c r="I44" s="942"/>
      <c r="J44" s="942"/>
      <c r="K44" s="942"/>
      <c r="L44" s="700"/>
      <c r="M44" s="700"/>
      <c r="N44" s="942"/>
      <c r="O44" s="942"/>
      <c r="P44" s="942"/>
      <c r="Q44" s="942"/>
      <c r="R44" s="942"/>
      <c r="S44" s="942"/>
      <c r="T44" s="942"/>
      <c r="U44" s="942"/>
      <c r="V44" s="700"/>
      <c r="W44" s="700"/>
      <c r="X44" s="700"/>
      <c r="Y44" s="700"/>
      <c r="Z44" s="700"/>
      <c r="AA44" s="700"/>
      <c r="AB44" s="700"/>
      <c r="AC44" s="942"/>
      <c r="AD44" s="942"/>
      <c r="AE44" s="942"/>
      <c r="AF44" s="942"/>
      <c r="AG44" s="942"/>
      <c r="AH44" s="942"/>
      <c r="AI44" s="942"/>
      <c r="AJ44" s="942"/>
      <c r="AK44" s="942"/>
      <c r="AL44" s="942"/>
      <c r="AM44" s="942"/>
      <c r="AN44" s="942"/>
      <c r="AO44" s="942"/>
      <c r="AP44" s="942"/>
      <c r="AQ44" s="942"/>
      <c r="AR44" s="942"/>
      <c r="AS44" s="942"/>
      <c r="AT44" s="942"/>
      <c r="AU44" s="942"/>
      <c r="AV44" s="942"/>
      <c r="AW44" s="942"/>
    </row>
    <row r="45" spans="1:49">
      <c r="A45" s="1530"/>
      <c r="B45" s="942"/>
      <c r="C45" s="960"/>
      <c r="D45" s="942"/>
      <c r="E45" s="942"/>
      <c r="F45" s="942"/>
      <c r="G45" s="942"/>
      <c r="H45" s="942"/>
      <c r="I45" s="942"/>
      <c r="J45" s="942"/>
      <c r="K45" s="942"/>
      <c r="L45" s="700"/>
      <c r="M45" s="700"/>
      <c r="N45" s="942"/>
      <c r="O45" s="942"/>
      <c r="P45" s="942"/>
      <c r="Q45" s="942"/>
      <c r="R45" s="942"/>
      <c r="S45" s="942"/>
      <c r="T45" s="942"/>
      <c r="U45" s="942"/>
      <c r="V45" s="700"/>
      <c r="W45" s="700"/>
      <c r="X45" s="700"/>
      <c r="Y45" s="700"/>
      <c r="Z45" s="700"/>
      <c r="AA45" s="700"/>
      <c r="AB45" s="700"/>
      <c r="AC45" s="942"/>
      <c r="AD45" s="942"/>
      <c r="AE45" s="942"/>
      <c r="AF45" s="942"/>
      <c r="AG45" s="942"/>
      <c r="AH45" s="942"/>
      <c r="AI45" s="942"/>
      <c r="AJ45" s="942"/>
      <c r="AK45" s="942"/>
      <c r="AL45" s="942"/>
      <c r="AM45" s="942"/>
      <c r="AN45" s="942"/>
      <c r="AO45" s="942"/>
      <c r="AP45" s="942"/>
      <c r="AQ45" s="942"/>
      <c r="AR45" s="942"/>
      <c r="AS45" s="942"/>
      <c r="AT45" s="942"/>
      <c r="AU45" s="942"/>
      <c r="AV45" s="942"/>
      <c r="AW45" s="942"/>
    </row>
    <row r="46" spans="1:49">
      <c r="A46" s="918"/>
    </row>
    <row r="47" spans="1:49">
      <c r="A47" s="204"/>
      <c r="B47" s="942"/>
      <c r="C47" s="942"/>
      <c r="D47" s="942"/>
      <c r="E47" s="942"/>
      <c r="F47" s="942"/>
      <c r="G47" s="942"/>
      <c r="H47" s="942"/>
      <c r="I47" s="942"/>
      <c r="J47" s="942"/>
      <c r="K47" s="942"/>
      <c r="L47" s="700"/>
      <c r="M47" s="700"/>
      <c r="N47" s="942"/>
      <c r="O47" s="942"/>
      <c r="P47" s="942"/>
      <c r="Q47" s="942"/>
      <c r="R47" s="942"/>
      <c r="S47" s="942"/>
      <c r="T47" s="942"/>
      <c r="U47" s="942"/>
      <c r="V47" s="700"/>
      <c r="W47" s="700"/>
      <c r="X47" s="700"/>
      <c r="Y47" s="700"/>
      <c r="Z47" s="700"/>
      <c r="AA47" s="700"/>
      <c r="AB47" s="700"/>
      <c r="AC47" s="942"/>
      <c r="AD47" s="942"/>
      <c r="AE47" s="942"/>
      <c r="AF47" s="942"/>
      <c r="AG47" s="942"/>
      <c r="AH47" s="942"/>
      <c r="AI47" s="942"/>
      <c r="AJ47" s="942"/>
      <c r="AK47" s="942"/>
      <c r="AL47" s="942"/>
      <c r="AM47" s="942"/>
      <c r="AN47" s="942"/>
      <c r="AO47" s="942"/>
      <c r="AP47" s="942"/>
      <c r="AQ47" s="942"/>
      <c r="AR47" s="942"/>
      <c r="AS47" s="942"/>
      <c r="AT47" s="942"/>
      <c r="AU47" s="942"/>
      <c r="AV47" s="942"/>
      <c r="AW47" s="942"/>
    </row>
    <row r="48" spans="1:49">
      <c r="A48" s="204"/>
      <c r="B48" s="942"/>
      <c r="C48" s="960"/>
      <c r="D48" s="942"/>
      <c r="E48" s="960"/>
      <c r="F48" s="942"/>
      <c r="G48" s="942"/>
      <c r="H48" s="942"/>
      <c r="I48" s="942"/>
      <c r="J48" s="942"/>
      <c r="K48" s="942"/>
      <c r="L48" s="700"/>
      <c r="M48" s="700"/>
      <c r="N48" s="942"/>
      <c r="O48" s="942"/>
      <c r="P48" s="942"/>
      <c r="Q48" s="942"/>
      <c r="R48" s="942"/>
      <c r="S48" s="942"/>
      <c r="T48" s="942"/>
      <c r="U48" s="942"/>
      <c r="V48" s="700"/>
      <c r="W48" s="700"/>
      <c r="X48" s="700"/>
      <c r="Y48" s="700"/>
      <c r="Z48" s="700"/>
      <c r="AA48" s="700"/>
      <c r="AB48" s="700"/>
      <c r="AC48" s="942"/>
      <c r="AD48" s="942"/>
      <c r="AE48" s="942"/>
      <c r="AF48" s="942"/>
      <c r="AG48" s="942"/>
      <c r="AH48" s="942"/>
      <c r="AI48" s="942"/>
      <c r="AJ48" s="942"/>
      <c r="AK48" s="942"/>
      <c r="AL48" s="942"/>
      <c r="AM48" s="942"/>
      <c r="AN48" s="942"/>
      <c r="AO48" s="942"/>
      <c r="AP48" s="942"/>
      <c r="AQ48" s="942"/>
      <c r="AR48" s="942"/>
      <c r="AS48" s="942"/>
      <c r="AT48" s="942"/>
      <c r="AU48" s="942"/>
      <c r="AV48" s="942"/>
      <c r="AW48" s="942"/>
    </row>
    <row r="49" spans="3:5">
      <c r="C49" s="987"/>
      <c r="E49" s="987"/>
    </row>
    <row r="50" spans="3:5">
      <c r="C50" s="987"/>
      <c r="E50" s="987"/>
    </row>
    <row r="51" spans="3:5">
      <c r="C51" s="987"/>
      <c r="E51" s="987"/>
    </row>
    <row r="52" spans="3:5">
      <c r="C52" s="987"/>
      <c r="E52" s="987"/>
    </row>
    <row r="53" spans="3:5">
      <c r="C53" s="987"/>
      <c r="E53" s="987"/>
    </row>
    <row r="54" spans="3:5">
      <c r="C54" s="987"/>
      <c r="E54" s="987"/>
    </row>
    <row r="55" spans="3:5">
      <c r="C55" s="987"/>
      <c r="E55" s="987"/>
    </row>
    <row r="56" spans="3:5">
      <c r="C56" s="987"/>
      <c r="E56" s="987"/>
    </row>
    <row r="57" spans="3:5">
      <c r="C57" s="987"/>
      <c r="E57" s="987"/>
    </row>
    <row r="58" spans="3:5">
      <c r="C58" s="987"/>
      <c r="E58" s="987"/>
    </row>
    <row r="59" spans="3:5">
      <c r="C59" s="987"/>
      <c r="E59" s="987"/>
    </row>
    <row r="60" spans="3:5">
      <c r="C60" s="987"/>
      <c r="E60" s="987"/>
    </row>
    <row r="61" spans="3:5">
      <c r="C61" s="987"/>
      <c r="E61" s="987"/>
    </row>
    <row r="62" spans="3:5">
      <c r="C62" s="987"/>
      <c r="E62" s="987"/>
    </row>
    <row r="63" spans="3:5">
      <c r="C63" s="987"/>
      <c r="E63" s="987"/>
    </row>
    <row r="64" spans="3:5">
      <c r="C64" s="987"/>
      <c r="E64" s="987"/>
    </row>
    <row r="65" spans="3:5">
      <c r="C65" s="987"/>
      <c r="E65" s="987"/>
    </row>
    <row r="66" spans="3:5">
      <c r="C66" s="987"/>
      <c r="E66" s="987"/>
    </row>
    <row r="67" spans="3:5">
      <c r="C67" s="987"/>
      <c r="E67" s="987"/>
    </row>
    <row r="68" spans="3:5">
      <c r="C68" s="987"/>
      <c r="E68" s="987"/>
    </row>
    <row r="69" spans="3:5">
      <c r="C69" s="987"/>
      <c r="E69" s="987"/>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88671875" defaultRowHeight="15"/>
  <cols>
    <col min="1" max="1" width="47.109375" style="942" customWidth="1"/>
    <col min="2" max="2" width="2" style="631" customWidth="1"/>
    <col min="3" max="3" width="15.109375" style="432" customWidth="1"/>
    <col min="4" max="4" width="1.88671875" style="946" customWidth="1"/>
    <col min="5" max="5" width="15.109375" style="432" customWidth="1"/>
    <col min="6" max="6" width="2.88671875" style="946" customWidth="1"/>
    <col min="7" max="7" width="15.109375" style="946" customWidth="1"/>
    <col min="8" max="8" width="2" style="946" customWidth="1"/>
    <col min="9" max="9" width="15.109375" style="946" customWidth="1"/>
    <col min="10" max="10" width="2.109375" style="631" customWidth="1"/>
    <col min="11" max="11" width="15.109375" style="631" customWidth="1"/>
    <col min="12" max="12" width="11.44140625" style="631" customWidth="1"/>
    <col min="13" max="13" width="1.88671875" style="631" customWidth="1"/>
    <col min="14" max="14" width="11.88671875" style="631" customWidth="1"/>
    <col min="15" max="15" width="2.109375" style="631" customWidth="1"/>
    <col min="16" max="16" width="11.44140625" style="631" customWidth="1"/>
    <col min="17" max="17" width="0.5546875" style="631" customWidth="1"/>
    <col min="18" max="18" width="2.109375" style="631" customWidth="1"/>
    <col min="19" max="19" width="10.5546875" style="631" customWidth="1"/>
    <col min="20" max="20" width="11.109375" style="631" customWidth="1"/>
    <col min="21" max="21" width="2.109375" style="631" customWidth="1"/>
    <col min="22" max="22" width="11.109375" style="631" customWidth="1"/>
    <col min="23" max="23" width="2.109375" style="631" customWidth="1"/>
    <col min="24" max="24" width="12.44140625" style="631" customWidth="1"/>
    <col min="25" max="29" width="8.88671875" style="631"/>
    <col min="30" max="30" width="8.88671875" style="946"/>
    <col min="31" max="16384" width="8.88671875" style="942"/>
  </cols>
  <sheetData>
    <row r="1" spans="1:24">
      <c r="A1" s="948" t="s">
        <v>979</v>
      </c>
      <c r="B1" s="186"/>
      <c r="C1" s="426"/>
      <c r="D1" s="187"/>
      <c r="E1" s="426"/>
      <c r="F1" s="187"/>
      <c r="G1" s="187"/>
      <c r="H1" s="187"/>
      <c r="I1" s="187"/>
      <c r="J1" s="187"/>
      <c r="K1" s="186"/>
      <c r="L1" s="186"/>
      <c r="M1" s="186"/>
      <c r="N1" s="186"/>
      <c r="O1" s="186"/>
      <c r="P1" s="186"/>
      <c r="Q1" s="186"/>
      <c r="R1" s="186"/>
      <c r="S1" s="186"/>
      <c r="T1" s="186"/>
      <c r="U1" s="186"/>
      <c r="V1" s="186"/>
      <c r="W1" s="186"/>
      <c r="X1" s="186"/>
    </row>
    <row r="2" spans="1:24" ht="17.100000000000001" customHeight="1">
      <c r="A2" s="188"/>
      <c r="B2" s="189"/>
      <c r="C2" s="426"/>
      <c r="D2" s="187"/>
      <c r="E2" s="426"/>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9"/>
      <c r="D3" s="143"/>
      <c r="E3" s="429"/>
      <c r="F3" s="143"/>
      <c r="G3" s="143"/>
      <c r="H3" s="143"/>
      <c r="I3" s="832"/>
      <c r="J3" s="143"/>
      <c r="K3" s="832" t="s">
        <v>84</v>
      </c>
      <c r="L3" s="156"/>
      <c r="M3" s="156"/>
      <c r="N3" s="156"/>
      <c r="O3" s="156"/>
      <c r="P3" s="156"/>
      <c r="Q3" s="156"/>
      <c r="R3" s="156"/>
      <c r="S3" s="156"/>
      <c r="T3" s="156"/>
      <c r="U3" s="156"/>
      <c r="V3" s="156"/>
      <c r="W3" s="156"/>
      <c r="X3" s="192"/>
    </row>
    <row r="4" spans="1:24" ht="17.25" customHeight="1">
      <c r="A4" s="191" t="s">
        <v>83</v>
      </c>
      <c r="B4" s="148"/>
      <c r="C4" s="429"/>
      <c r="D4" s="143"/>
      <c r="E4" s="429"/>
      <c r="F4" s="143"/>
      <c r="G4" s="143"/>
      <c r="H4" s="143"/>
      <c r="I4" s="833"/>
      <c r="J4" s="143"/>
      <c r="K4" s="833"/>
      <c r="L4" s="156"/>
      <c r="M4" s="156"/>
      <c r="N4" s="156"/>
      <c r="O4" s="156"/>
      <c r="P4" s="156"/>
      <c r="Q4" s="156"/>
      <c r="R4" s="156"/>
      <c r="S4" s="156"/>
      <c r="T4" s="156"/>
      <c r="U4" s="156"/>
      <c r="V4" s="156"/>
      <c r="W4" s="156"/>
      <c r="X4" s="156"/>
    </row>
    <row r="5" spans="1:24" ht="17.25" customHeight="1">
      <c r="A5" s="3918" t="str">
        <f>'Exh D-Governmental  '!A5:E5</f>
        <v>FISCAL YEAR 2019-2020</v>
      </c>
      <c r="B5" s="3919"/>
      <c r="C5" s="3919"/>
      <c r="D5" s="3919"/>
      <c r="E5" s="3919"/>
      <c r="F5" s="143"/>
      <c r="G5" s="143"/>
      <c r="H5" s="143"/>
      <c r="I5" s="143"/>
      <c r="J5" s="143"/>
      <c r="K5" s="156"/>
      <c r="L5" s="156"/>
      <c r="M5" s="156"/>
      <c r="N5" s="156"/>
      <c r="O5" s="156"/>
      <c r="P5" s="156"/>
      <c r="Q5" s="156"/>
      <c r="R5" s="156"/>
      <c r="S5" s="156"/>
      <c r="T5" s="156"/>
      <c r="U5" s="156"/>
      <c r="V5" s="156"/>
      <c r="W5" s="156"/>
      <c r="X5" s="156"/>
    </row>
    <row r="6" spans="1:24" ht="17.25" customHeight="1">
      <c r="A6" s="1503" t="str">
        <f>'Exh D-Governmental  '!A6</f>
        <v>FOR ELEVEN MONTHS ENDED FEBRUARY 29, 2020</v>
      </c>
      <c r="B6" s="147"/>
      <c r="C6" s="429"/>
      <c r="D6" s="143"/>
      <c r="E6" s="429"/>
      <c r="F6" s="143"/>
      <c r="G6" s="143"/>
      <c r="H6" s="143"/>
      <c r="I6" s="143"/>
      <c r="J6" s="143"/>
      <c r="K6" s="156"/>
      <c r="L6" s="156"/>
      <c r="M6" s="156"/>
      <c r="N6" s="156"/>
      <c r="O6" s="156"/>
      <c r="P6" s="156"/>
      <c r="Q6" s="156"/>
      <c r="R6" s="156"/>
      <c r="S6" s="156"/>
      <c r="T6" s="156"/>
      <c r="U6" s="156"/>
      <c r="V6" s="156"/>
      <c r="W6" s="156"/>
      <c r="X6" s="156"/>
    </row>
    <row r="7" spans="1:24" ht="18">
      <c r="A7" s="191" t="s">
        <v>1417</v>
      </c>
      <c r="B7" s="148"/>
      <c r="C7" s="429"/>
      <c r="D7" s="143"/>
      <c r="E7" s="429"/>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9"/>
      <c r="D8" s="143"/>
      <c r="E8" s="429"/>
      <c r="F8" s="143"/>
      <c r="G8" s="143"/>
      <c r="H8" s="143"/>
      <c r="I8" s="143"/>
      <c r="J8" s="143"/>
      <c r="K8" s="156"/>
      <c r="L8" s="156"/>
      <c r="M8" s="156"/>
      <c r="N8" s="156"/>
      <c r="O8" s="156"/>
      <c r="P8" s="156"/>
      <c r="Q8" s="156"/>
      <c r="R8" s="156"/>
      <c r="S8" s="156"/>
      <c r="T8" s="156"/>
      <c r="U8" s="156"/>
      <c r="V8" s="156"/>
      <c r="W8" s="156"/>
      <c r="X8" s="156"/>
    </row>
    <row r="9" spans="1:24">
      <c r="A9" s="150"/>
      <c r="B9" s="156"/>
      <c r="C9" s="429"/>
      <c r="D9" s="143"/>
      <c r="E9" s="429"/>
      <c r="F9" s="143"/>
      <c r="G9" s="143"/>
      <c r="H9" s="143"/>
      <c r="I9" s="143"/>
      <c r="J9" s="143"/>
      <c r="K9" s="156"/>
      <c r="L9" s="156"/>
      <c r="M9" s="156"/>
      <c r="N9" s="156"/>
      <c r="O9" s="156"/>
      <c r="P9" s="156"/>
      <c r="Q9" s="156"/>
      <c r="R9" s="156"/>
      <c r="S9" s="156"/>
      <c r="T9" s="156"/>
      <c r="U9" s="156"/>
      <c r="V9" s="156"/>
      <c r="W9" s="156"/>
      <c r="X9" s="156"/>
    </row>
    <row r="10" spans="1:24">
      <c r="A10" s="150"/>
      <c r="B10" s="156"/>
      <c r="C10" s="428"/>
      <c r="D10" s="148"/>
      <c r="E10" s="428"/>
      <c r="F10" s="148"/>
      <c r="G10" s="148"/>
      <c r="H10" s="148"/>
      <c r="I10" s="148"/>
      <c r="J10" s="143"/>
      <c r="K10" s="156"/>
      <c r="L10" s="156"/>
      <c r="M10" s="156"/>
      <c r="N10" s="156"/>
      <c r="O10" s="156"/>
      <c r="P10" s="156"/>
      <c r="Q10" s="156"/>
      <c r="R10" s="156"/>
      <c r="S10" s="156"/>
      <c r="T10" s="156"/>
      <c r="U10" s="156"/>
      <c r="V10" s="156"/>
      <c r="W10" s="156"/>
      <c r="X10" s="156"/>
    </row>
    <row r="11" spans="1:24" ht="15.75">
      <c r="A11" s="699"/>
      <c r="C11" s="3920" t="s">
        <v>1150</v>
      </c>
      <c r="D11" s="3920"/>
      <c r="E11" s="3920"/>
      <c r="F11" s="3920"/>
      <c r="G11" s="3920"/>
      <c r="H11" s="3920"/>
      <c r="I11" s="3920"/>
      <c r="J11" s="1210"/>
      <c r="K11" s="1211"/>
      <c r="L11" s="194"/>
      <c r="M11" s="194"/>
      <c r="N11" s="194"/>
      <c r="O11" s="194"/>
      <c r="P11" s="194"/>
      <c r="Q11" s="194"/>
      <c r="R11" s="151"/>
      <c r="S11" s="194"/>
      <c r="T11" s="195"/>
      <c r="U11" s="194"/>
      <c r="V11" s="194"/>
      <c r="W11" s="194"/>
      <c r="X11" s="194"/>
    </row>
    <row r="12" spans="1:24" ht="15.75">
      <c r="A12" s="699"/>
      <c r="C12" s="433"/>
      <c r="D12" s="196"/>
      <c r="E12" s="433"/>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699"/>
      <c r="B13" s="151"/>
      <c r="C13" s="431"/>
      <c r="D13" s="198"/>
      <c r="E13" s="431"/>
      <c r="F13" s="198"/>
      <c r="G13" s="198"/>
      <c r="H13" s="198"/>
      <c r="I13" s="199" t="s">
        <v>885</v>
      </c>
      <c r="J13" s="151"/>
      <c r="K13" s="199" t="s">
        <v>885</v>
      </c>
      <c r="L13" s="151"/>
      <c r="M13" s="151"/>
      <c r="N13" s="151"/>
      <c r="O13" s="151"/>
      <c r="P13" s="200"/>
      <c r="Q13" s="201"/>
      <c r="R13" s="151"/>
      <c r="S13" s="151"/>
      <c r="T13" s="151"/>
      <c r="U13" s="151"/>
      <c r="V13" s="151"/>
      <c r="W13" s="151"/>
      <c r="X13" s="200"/>
    </row>
    <row r="14" spans="1:24" ht="15.75">
      <c r="A14" s="699"/>
      <c r="B14" s="202"/>
      <c r="C14" s="154" t="s">
        <v>1094</v>
      </c>
      <c r="D14" s="152"/>
      <c r="E14" s="153" t="s">
        <v>1095</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699"/>
      <c r="B15" s="202"/>
      <c r="C15" s="153" t="s">
        <v>1133</v>
      </c>
      <c r="D15" s="152"/>
      <c r="E15" s="153" t="s">
        <v>1133</v>
      </c>
      <c r="F15" s="152"/>
      <c r="G15" s="152"/>
      <c r="H15" s="152"/>
      <c r="I15" s="153" t="s">
        <v>1094</v>
      </c>
      <c r="J15" s="151"/>
      <c r="K15" s="153" t="s">
        <v>1095</v>
      </c>
      <c r="L15" s="201"/>
      <c r="M15" s="151"/>
      <c r="N15" s="151"/>
      <c r="O15" s="151"/>
      <c r="P15" s="200"/>
      <c r="Q15" s="201"/>
      <c r="R15" s="151"/>
      <c r="S15" s="200"/>
      <c r="T15" s="201"/>
      <c r="U15" s="151"/>
      <c r="V15" s="151"/>
      <c r="W15" s="151"/>
      <c r="X15" s="200"/>
    </row>
    <row r="16" spans="1:24" ht="15.75">
      <c r="A16" s="699"/>
      <c r="B16" s="201"/>
      <c r="C16" s="153" t="s">
        <v>1134</v>
      </c>
      <c r="D16" s="152"/>
      <c r="E16" s="153" t="s">
        <v>1447</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35"/>
      <c r="C18" s="666"/>
      <c r="D18" s="666"/>
      <c r="E18" s="666"/>
      <c r="F18" s="666"/>
      <c r="G18" s="666"/>
      <c r="H18" s="666"/>
      <c r="I18" s="666"/>
      <c r="J18" s="935"/>
      <c r="K18" s="666"/>
      <c r="L18" s="935"/>
      <c r="M18" s="935"/>
      <c r="N18" s="935"/>
      <c r="O18" s="935"/>
      <c r="P18" s="935"/>
      <c r="Q18" s="935"/>
      <c r="R18" s="935"/>
      <c r="S18" s="935"/>
      <c r="T18" s="935"/>
      <c r="U18" s="935"/>
      <c r="V18" s="935"/>
      <c r="W18" s="935"/>
      <c r="X18" s="935"/>
    </row>
    <row r="19" spans="1:24">
      <c r="A19" s="830" t="s">
        <v>88</v>
      </c>
      <c r="B19" s="936"/>
      <c r="C19" s="666"/>
      <c r="D19" s="666"/>
      <c r="E19" s="666"/>
      <c r="F19" s="666"/>
      <c r="G19" s="666"/>
      <c r="H19" s="936"/>
      <c r="I19" s="666"/>
      <c r="J19" s="935"/>
      <c r="K19" s="666"/>
      <c r="L19" s="935"/>
      <c r="M19" s="935"/>
      <c r="N19" s="935"/>
      <c r="O19" s="935"/>
      <c r="P19" s="935"/>
      <c r="Q19" s="935"/>
      <c r="R19" s="935"/>
      <c r="S19" s="935"/>
      <c r="T19" s="935"/>
      <c r="U19" s="935"/>
      <c r="V19" s="935"/>
      <c r="W19" s="935"/>
      <c r="X19" s="935"/>
    </row>
    <row r="20" spans="1:24">
      <c r="A20" s="830" t="s">
        <v>89</v>
      </c>
      <c r="B20" s="936" t="s">
        <v>15</v>
      </c>
      <c r="C20" s="2100">
        <v>24241</v>
      </c>
      <c r="D20" s="669"/>
      <c r="E20" s="2100">
        <v>24989</v>
      </c>
      <c r="F20" s="669"/>
      <c r="G20" s="1023">
        <f>+'Exhibit H'!AA16</f>
        <v>24956.6</v>
      </c>
      <c r="H20" s="669"/>
      <c r="I20" s="667">
        <f>G20-C20</f>
        <v>715.59999999999854</v>
      </c>
      <c r="J20" s="935"/>
      <c r="K20" s="667">
        <f>G20-E20</f>
        <v>-32.400000000001455</v>
      </c>
      <c r="L20" s="982"/>
      <c r="M20" s="935"/>
      <c r="N20" s="935"/>
      <c r="O20" s="935"/>
      <c r="P20" s="935"/>
      <c r="Q20" s="935"/>
      <c r="R20" s="935"/>
      <c r="S20" s="935"/>
      <c r="T20" s="935"/>
      <c r="U20" s="935"/>
      <c r="V20" s="935"/>
      <c r="W20" s="935"/>
      <c r="X20" s="935"/>
    </row>
    <row r="21" spans="1:24">
      <c r="A21" s="830" t="s">
        <v>90</v>
      </c>
      <c r="B21" s="935" t="s">
        <v>15</v>
      </c>
      <c r="C21" s="1136">
        <v>6886</v>
      </c>
      <c r="D21" s="1566"/>
      <c r="E21" s="1136">
        <v>6812</v>
      </c>
      <c r="F21" s="652"/>
      <c r="G21" s="906">
        <f>+'Exhibit H'!AA20</f>
        <v>6816</v>
      </c>
      <c r="H21" s="652"/>
      <c r="I21" s="652">
        <f>G21-C21</f>
        <v>-70</v>
      </c>
      <c r="J21" s="954"/>
      <c r="K21" s="1566">
        <f>G21-E21</f>
        <v>4</v>
      </c>
      <c r="L21" s="982"/>
      <c r="M21" s="935"/>
      <c r="N21" s="935"/>
      <c r="O21" s="935"/>
      <c r="P21" s="935"/>
      <c r="Q21" s="935"/>
      <c r="R21" s="935"/>
      <c r="S21" s="935"/>
      <c r="T21" s="935"/>
      <c r="U21" s="935"/>
      <c r="V21" s="935"/>
      <c r="W21" s="935"/>
      <c r="X21" s="935"/>
    </row>
    <row r="22" spans="1:24">
      <c r="A22" s="830" t="s">
        <v>92</v>
      </c>
      <c r="B22" s="935" t="s">
        <v>15</v>
      </c>
      <c r="C22" s="1136">
        <v>969</v>
      </c>
      <c r="D22" s="1566"/>
      <c r="E22" s="1136">
        <v>939</v>
      </c>
      <c r="F22" s="652"/>
      <c r="G22" s="906">
        <f>+'Exhibit H'!AA24</f>
        <v>929.9</v>
      </c>
      <c r="H22" s="652"/>
      <c r="I22" s="652">
        <f t="shared" ref="I22:I25" si="0">G22-C22</f>
        <v>-39.100000000000023</v>
      </c>
      <c r="J22" s="954"/>
      <c r="K22" s="1566">
        <f>G22-E22</f>
        <v>-9.1000000000000227</v>
      </c>
      <c r="L22" s="982"/>
      <c r="M22" s="935"/>
      <c r="N22" s="935"/>
      <c r="O22" s="935"/>
      <c r="P22" s="935"/>
      <c r="Q22" s="935"/>
      <c r="R22" s="935"/>
      <c r="S22" s="935"/>
      <c r="T22" s="935"/>
      <c r="U22" s="935"/>
      <c r="V22" s="935"/>
      <c r="W22" s="935"/>
      <c r="X22" s="935"/>
    </row>
    <row r="23" spans="1:24" ht="15" customHeight="1">
      <c r="A23" s="830" t="s">
        <v>20</v>
      </c>
      <c r="B23" s="935" t="s">
        <v>15</v>
      </c>
      <c r="C23" s="1136">
        <v>318</v>
      </c>
      <c r="D23" s="1566"/>
      <c r="E23" s="1136">
        <v>449</v>
      </c>
      <c r="F23" s="652"/>
      <c r="G23" s="906">
        <f>+'Exhibit H'!AA45</f>
        <v>444.4</v>
      </c>
      <c r="H23" s="652"/>
      <c r="I23" s="652">
        <f t="shared" si="0"/>
        <v>126.39999999999998</v>
      </c>
      <c r="J23" s="954"/>
      <c r="K23" s="1566">
        <f>G23-E23</f>
        <v>-4.6000000000000227</v>
      </c>
      <c r="L23" s="982"/>
      <c r="M23" s="935"/>
      <c r="N23" s="935"/>
      <c r="O23" s="935"/>
      <c r="P23" s="935"/>
      <c r="Q23" s="935"/>
      <c r="R23" s="935"/>
      <c r="S23" s="935"/>
      <c r="T23" s="935"/>
      <c r="U23" s="935"/>
      <c r="V23" s="935"/>
      <c r="W23" s="935"/>
      <c r="X23" s="935"/>
    </row>
    <row r="24" spans="1:24" ht="15" customHeight="1">
      <c r="A24" s="830" t="s">
        <v>21</v>
      </c>
      <c r="B24" s="935" t="s">
        <v>15</v>
      </c>
      <c r="C24" s="1136">
        <v>40</v>
      </c>
      <c r="D24" s="1566"/>
      <c r="E24" s="1136">
        <v>40</v>
      </c>
      <c r="F24" s="652"/>
      <c r="G24" s="906">
        <f>+'Exhibit H'!AA47</f>
        <v>73.789999999999992</v>
      </c>
      <c r="H24" s="652"/>
      <c r="I24" s="652">
        <f t="shared" si="0"/>
        <v>33.789999999999992</v>
      </c>
      <c r="J24" s="954"/>
      <c r="K24" s="1566">
        <f>G24-E24</f>
        <v>33.789999999999992</v>
      </c>
      <c r="L24" s="982"/>
      <c r="M24" s="935"/>
      <c r="N24" s="958"/>
      <c r="O24" s="935"/>
      <c r="P24" s="958"/>
      <c r="Q24" s="959"/>
      <c r="R24" s="935"/>
      <c r="S24" s="935"/>
      <c r="T24" s="935"/>
      <c r="U24" s="935"/>
      <c r="V24" s="935"/>
      <c r="W24" s="935"/>
      <c r="X24" s="935"/>
    </row>
    <row r="25" spans="1:24">
      <c r="A25" s="830" t="s">
        <v>48</v>
      </c>
      <c r="B25" s="959" t="s">
        <v>15</v>
      </c>
      <c r="C25" s="1136">
        <v>2549</v>
      </c>
      <c r="D25" s="1566"/>
      <c r="E25" s="1136">
        <v>2595</v>
      </c>
      <c r="F25" s="652"/>
      <c r="G25" s="1514">
        <f>+'Exhibit H'!AA64</f>
        <v>2712.3</v>
      </c>
      <c r="H25" s="652"/>
      <c r="I25" s="652">
        <f t="shared" si="0"/>
        <v>163.30000000000018</v>
      </c>
      <c r="J25" s="954"/>
      <c r="K25" s="1566">
        <f t="shared" ref="K25" si="1">G25-E25</f>
        <v>117.30000000000018</v>
      </c>
      <c r="L25" s="982"/>
      <c r="M25" s="935"/>
      <c r="N25" s="958"/>
      <c r="O25" s="935"/>
      <c r="P25" s="958"/>
      <c r="Q25" s="959"/>
      <c r="R25" s="935"/>
      <c r="S25" s="935"/>
      <c r="T25" s="935"/>
      <c r="U25" s="935"/>
      <c r="V25" s="935"/>
      <c r="W25" s="935"/>
      <c r="X25" s="935"/>
    </row>
    <row r="26" spans="1:24" ht="18" customHeight="1">
      <c r="A26" s="974" t="s">
        <v>109</v>
      </c>
      <c r="B26" s="151" t="s">
        <v>15</v>
      </c>
      <c r="C26" s="215">
        <f>ROUND(SUM(C20:C25),1)</f>
        <v>35003</v>
      </c>
      <c r="D26" s="112"/>
      <c r="E26" s="215">
        <f>ROUND(SUM(E20:E25),1)</f>
        <v>35824</v>
      </c>
      <c r="F26" s="933"/>
      <c r="G26" s="1515">
        <f>ROUND(SUM(G20:G25),1)</f>
        <v>35933</v>
      </c>
      <c r="H26" s="933"/>
      <c r="I26" s="215">
        <f>ROUND(SUM(I20:I25),1)</f>
        <v>930</v>
      </c>
      <c r="J26" s="76"/>
      <c r="K26" s="215">
        <f>ROUND(SUM(K20:K25),1)</f>
        <v>109</v>
      </c>
      <c r="L26" s="982"/>
      <c r="M26" s="151"/>
      <c r="N26" s="151"/>
      <c r="O26" s="151"/>
      <c r="P26" s="151"/>
      <c r="Q26" s="151"/>
      <c r="R26" s="151"/>
      <c r="S26" s="151"/>
      <c r="T26" s="151"/>
      <c r="U26" s="151"/>
      <c r="V26" s="151"/>
      <c r="W26" s="151"/>
      <c r="X26" s="151"/>
    </row>
    <row r="27" spans="1:24">
      <c r="A27" s="699"/>
      <c r="B27" s="935"/>
      <c r="C27" s="697"/>
      <c r="D27" s="906"/>
      <c r="E27" s="697"/>
      <c r="F27" s="652"/>
      <c r="G27" s="1053"/>
      <c r="H27" s="652"/>
      <c r="I27" s="697"/>
      <c r="J27" s="954"/>
      <c r="K27" s="697"/>
      <c r="L27" s="982"/>
      <c r="M27" s="935"/>
      <c r="N27" s="935"/>
      <c r="O27" s="935"/>
      <c r="P27" s="935"/>
      <c r="Q27" s="935"/>
      <c r="R27" s="935"/>
      <c r="S27" s="935"/>
      <c r="T27" s="935"/>
      <c r="U27" s="935"/>
      <c r="V27" s="935"/>
      <c r="W27" s="935"/>
      <c r="X27" s="935"/>
    </row>
    <row r="28" spans="1:24" ht="15.75">
      <c r="A28" s="29" t="s">
        <v>23</v>
      </c>
      <c r="B28" s="935"/>
      <c r="C28" s="652"/>
      <c r="D28" s="906"/>
      <c r="E28" s="1566"/>
      <c r="F28" s="652"/>
      <c r="G28" s="906"/>
      <c r="H28" s="652"/>
      <c r="I28" s="652"/>
      <c r="J28" s="954"/>
      <c r="K28" s="652"/>
      <c r="L28" s="982"/>
      <c r="M28" s="935"/>
      <c r="N28" s="935"/>
      <c r="O28" s="935"/>
      <c r="P28" s="935"/>
      <c r="Q28" s="935"/>
      <c r="R28" s="935"/>
      <c r="S28" s="935"/>
      <c r="T28" s="935"/>
      <c r="U28" s="935"/>
      <c r="V28" s="935"/>
      <c r="W28" s="935"/>
      <c r="X28" s="935"/>
    </row>
    <row r="29" spans="1:24">
      <c r="A29" s="830" t="s">
        <v>95</v>
      </c>
      <c r="B29" s="956" t="s">
        <v>15</v>
      </c>
      <c r="C29" s="1136">
        <v>37</v>
      </c>
      <c r="D29" s="1566"/>
      <c r="E29" s="1136">
        <v>30</v>
      </c>
      <c r="F29" s="652"/>
      <c r="G29" s="693">
        <f>+'Exhibit H'!AA53</f>
        <v>28.6</v>
      </c>
      <c r="H29" s="652"/>
      <c r="I29" s="1566">
        <f t="shared" ref="I29:I31" si="2">G29-C29</f>
        <v>-8.3999999999999986</v>
      </c>
      <c r="J29" s="954"/>
      <c r="K29" s="1566">
        <f>G29-E29</f>
        <v>-1.3999999999999986</v>
      </c>
      <c r="L29" s="982"/>
      <c r="M29" s="935"/>
      <c r="N29" s="956"/>
      <c r="O29" s="935"/>
      <c r="P29" s="958"/>
      <c r="Q29" s="935"/>
      <c r="R29" s="935"/>
      <c r="S29" s="958"/>
      <c r="T29" s="958"/>
      <c r="U29" s="935"/>
      <c r="V29" s="958"/>
      <c r="W29" s="935"/>
      <c r="X29" s="958"/>
    </row>
    <row r="30" spans="1:24" ht="14.25" customHeight="1">
      <c r="A30" s="830" t="s">
        <v>96</v>
      </c>
      <c r="B30" s="959" t="s">
        <v>15</v>
      </c>
      <c r="C30" s="1136">
        <v>2317</v>
      </c>
      <c r="D30" s="1566"/>
      <c r="E30" s="1136">
        <v>2276</v>
      </c>
      <c r="F30" s="652"/>
      <c r="G30" s="1136">
        <f>+'Exhibit H'!AA55</f>
        <v>2276.6999999999998</v>
      </c>
      <c r="H30" s="652"/>
      <c r="I30" s="1566">
        <f t="shared" si="2"/>
        <v>-40.300000000000182</v>
      </c>
      <c r="J30" s="954"/>
      <c r="K30" s="1566">
        <f t="shared" ref="K30:K31" si="3">G30-E30</f>
        <v>0.6999999999998181</v>
      </c>
      <c r="L30" s="982"/>
      <c r="M30" s="935"/>
      <c r="N30" s="956"/>
      <c r="O30" s="935"/>
      <c r="P30" s="935"/>
      <c r="Q30" s="935"/>
      <c r="R30" s="935"/>
      <c r="S30" s="958"/>
      <c r="T30" s="958"/>
      <c r="U30" s="935"/>
      <c r="V30" s="958"/>
      <c r="W30" s="935"/>
      <c r="X30" s="958"/>
    </row>
    <row r="31" spans="1:24">
      <c r="A31" s="830" t="s">
        <v>99</v>
      </c>
      <c r="B31" s="959" t="s">
        <v>15</v>
      </c>
      <c r="C31" s="1136">
        <v>29775</v>
      </c>
      <c r="D31" s="1566"/>
      <c r="E31" s="1136">
        <v>32592</v>
      </c>
      <c r="F31" s="652"/>
      <c r="G31" s="693">
        <f>-'Exhibit H'!AA65</f>
        <v>30681.9</v>
      </c>
      <c r="H31" s="652"/>
      <c r="I31" s="1566">
        <f t="shared" si="2"/>
        <v>906.90000000000146</v>
      </c>
      <c r="J31" s="954"/>
      <c r="K31" s="1566">
        <f t="shared" si="3"/>
        <v>-1910.0999999999985</v>
      </c>
      <c r="L31" s="982"/>
      <c r="M31" s="935"/>
      <c r="N31" s="958"/>
      <c r="O31" s="935"/>
      <c r="P31" s="958"/>
      <c r="Q31" s="959"/>
      <c r="R31" s="935"/>
      <c r="S31" s="935"/>
      <c r="T31" s="935"/>
      <c r="U31" s="935"/>
      <c r="V31" s="935"/>
      <c r="W31" s="935"/>
      <c r="X31" s="935"/>
    </row>
    <row r="32" spans="1:24" ht="18" customHeight="1">
      <c r="A32" s="974" t="s">
        <v>118</v>
      </c>
      <c r="B32" s="151" t="s">
        <v>15</v>
      </c>
      <c r="C32" s="215">
        <f>ROUND(SUM(C29:C31),1)</f>
        <v>32129</v>
      </c>
      <c r="D32" s="112"/>
      <c r="E32" s="215">
        <f>ROUND(SUM(E29:E31),1)</f>
        <v>34898</v>
      </c>
      <c r="F32" s="933"/>
      <c r="G32" s="1515">
        <f>ROUND(SUM(G29:G31),1)</f>
        <v>32987.199999999997</v>
      </c>
      <c r="H32" s="933"/>
      <c r="I32" s="215">
        <f>ROUND(SUM(I29:I31),1)</f>
        <v>858.2</v>
      </c>
      <c r="J32" s="76"/>
      <c r="K32" s="215">
        <f>ROUND(SUM(K29:K31),1)</f>
        <v>-1910.8</v>
      </c>
      <c r="L32" s="982"/>
      <c r="M32" s="151"/>
      <c r="N32" s="151"/>
      <c r="O32" s="151"/>
      <c r="P32" s="151"/>
      <c r="Q32" s="151"/>
      <c r="R32" s="151"/>
      <c r="S32" s="151"/>
      <c r="T32" s="151"/>
      <c r="U32" s="151"/>
      <c r="V32" s="151"/>
      <c r="W32" s="151"/>
      <c r="X32" s="151"/>
    </row>
    <row r="33" spans="1:24">
      <c r="A33" s="699"/>
      <c r="B33" s="935"/>
      <c r="C33" s="697"/>
      <c r="D33" s="906"/>
      <c r="E33" s="697"/>
      <c r="F33" s="652"/>
      <c r="G33" s="1053"/>
      <c r="H33" s="652"/>
      <c r="I33" s="697"/>
      <c r="J33" s="954"/>
      <c r="K33" s="697"/>
      <c r="L33" s="982"/>
      <c r="M33" s="935"/>
      <c r="N33" s="935"/>
      <c r="O33" s="935"/>
      <c r="P33" s="935"/>
      <c r="Q33" s="935"/>
      <c r="R33" s="935"/>
      <c r="S33" s="935"/>
      <c r="T33" s="935"/>
      <c r="U33" s="935"/>
      <c r="V33" s="935"/>
      <c r="W33" s="935"/>
      <c r="X33" s="935"/>
    </row>
    <row r="34" spans="1:24" ht="15.75">
      <c r="A34" s="29" t="s">
        <v>119</v>
      </c>
      <c r="B34" s="935"/>
      <c r="C34" s="652"/>
      <c r="D34" s="906"/>
      <c r="E34" s="1566"/>
      <c r="F34" s="652"/>
      <c r="G34" s="906"/>
      <c r="H34" s="652"/>
      <c r="I34" s="652"/>
      <c r="J34" s="954"/>
      <c r="K34" s="652"/>
      <c r="L34" s="982"/>
      <c r="M34" s="935"/>
      <c r="N34" s="935"/>
      <c r="O34" s="935"/>
      <c r="P34" s="935"/>
      <c r="Q34" s="935"/>
      <c r="R34" s="935"/>
      <c r="S34" s="935"/>
      <c r="T34" s="935"/>
      <c r="U34" s="935"/>
      <c r="V34" s="935"/>
      <c r="W34" s="935"/>
      <c r="X34" s="935"/>
    </row>
    <row r="35" spans="1:24" ht="15.75">
      <c r="A35" s="29" t="s">
        <v>120</v>
      </c>
      <c r="B35" s="935"/>
      <c r="C35" s="652"/>
      <c r="D35" s="906"/>
      <c r="E35" s="1566"/>
      <c r="F35" s="652"/>
      <c r="G35" s="906"/>
      <c r="H35" s="652"/>
      <c r="I35" s="652"/>
      <c r="J35" s="954"/>
      <c r="K35" s="652"/>
      <c r="L35" s="982"/>
      <c r="M35" s="935"/>
      <c r="N35" s="935"/>
      <c r="O35" s="935"/>
      <c r="P35" s="935"/>
      <c r="Q35" s="935"/>
      <c r="R35" s="935"/>
      <c r="S35" s="935"/>
      <c r="T35" s="935"/>
      <c r="U35" s="935"/>
      <c r="V35" s="935"/>
      <c r="W35" s="935"/>
      <c r="X35" s="935"/>
    </row>
    <row r="36" spans="1:24" ht="15.75">
      <c r="A36" s="974" t="s">
        <v>103</v>
      </c>
      <c r="B36" s="973" t="s">
        <v>15</v>
      </c>
      <c r="C36" s="76">
        <f>C26-C32</f>
        <v>2874</v>
      </c>
      <c r="D36" s="1119"/>
      <c r="E36" s="1567">
        <f>E26-E32</f>
        <v>926</v>
      </c>
      <c r="F36" s="84"/>
      <c r="G36" s="115">
        <f>ROUND(SUM(G26)-SUM(G32),1)</f>
        <v>2945.8</v>
      </c>
      <c r="H36" s="84"/>
      <c r="I36" s="76">
        <f>ROUND(SUM(I26)-SUM(I32),1)</f>
        <v>71.8</v>
      </c>
      <c r="J36" s="399"/>
      <c r="K36" s="76">
        <f>ROUND(SUM(K26)-SUM(K32),1)</f>
        <v>2019.8</v>
      </c>
      <c r="L36" s="982"/>
      <c r="M36" s="174"/>
      <c r="N36" s="151"/>
      <c r="O36" s="174"/>
      <c r="P36" s="151"/>
      <c r="Q36" s="151"/>
      <c r="R36" s="174"/>
      <c r="S36" s="151"/>
      <c r="T36" s="151"/>
      <c r="U36" s="174"/>
      <c r="V36" s="151"/>
      <c r="W36" s="174"/>
      <c r="X36" s="151"/>
    </row>
    <row r="37" spans="1:24" ht="15" customHeight="1">
      <c r="C37" s="679"/>
      <c r="D37" s="1691"/>
      <c r="E37" s="679"/>
      <c r="F37" s="943"/>
      <c r="G37" s="1516"/>
      <c r="H37" s="943"/>
      <c r="I37" s="679"/>
      <c r="J37" s="679"/>
      <c r="K37" s="679"/>
      <c r="L37" s="982"/>
    </row>
    <row r="38" spans="1:24" ht="15.75">
      <c r="A38" s="989" t="str">
        <f>'Exh D-Governmental  '!A49</f>
        <v>Fund Balances (Deficits) at April 1</v>
      </c>
      <c r="B38" s="631" t="s">
        <v>15</v>
      </c>
      <c r="C38" s="115">
        <v>65</v>
      </c>
      <c r="D38" s="1691"/>
      <c r="E38" s="115">
        <v>65</v>
      </c>
      <c r="F38" s="943"/>
      <c r="G38" s="115">
        <f>'Exhibit H'!AA12</f>
        <v>64.8</v>
      </c>
      <c r="H38" s="943"/>
      <c r="I38" s="81">
        <f>G38-C38</f>
        <v>-0.20000000000000284</v>
      </c>
      <c r="J38" s="679"/>
      <c r="K38" s="933">
        <f>G38-E38</f>
        <v>-0.20000000000000284</v>
      </c>
      <c r="L38" s="982"/>
    </row>
    <row r="39" spans="1:24" ht="18" customHeight="1" thickBot="1">
      <c r="A39" s="1406" t="str">
        <f>+'Exh D-Governmental  '!A50</f>
        <v>Fund Balances (Deficits) at February 29, 2020</v>
      </c>
      <c r="B39" s="180" t="s">
        <v>15</v>
      </c>
      <c r="C39" s="98">
        <f>ROUND(SUM(C36:C38),1)</f>
        <v>2939</v>
      </c>
      <c r="D39" s="181"/>
      <c r="E39" s="98">
        <f>ROUND(SUM(E36:E38),1)</f>
        <v>991</v>
      </c>
      <c r="F39" s="181"/>
      <c r="G39" s="1517">
        <f>ROUND(SUM(G36:G38),1)</f>
        <v>3010.6</v>
      </c>
      <c r="H39" s="181"/>
      <c r="I39" s="98">
        <f>ROUND(SUM(I36:I38),1)</f>
        <v>71.599999999999994</v>
      </c>
      <c r="K39" s="98">
        <f>ROUND(SUM(K36:K38),1)</f>
        <v>2019.6</v>
      </c>
      <c r="L39" s="982"/>
    </row>
    <row r="40" spans="1:24" ht="15" customHeight="1" thickTop="1">
      <c r="A40" s="155"/>
      <c r="C40" s="698"/>
      <c r="D40" s="960"/>
      <c r="E40" s="698"/>
      <c r="F40" s="960"/>
      <c r="G40" s="960"/>
      <c r="H40" s="960"/>
      <c r="I40" s="960"/>
      <c r="K40" s="960"/>
    </row>
    <row r="41" spans="1:24">
      <c r="A41" s="947" t="str">
        <f>'Exh D-Governmental  '!A52</f>
        <v>(*)    Source: 2019-20 Enacted Financial Plan dated May 13, 2019.</v>
      </c>
    </row>
    <row r="42" spans="1:24">
      <c r="A42" s="654" t="str">
        <f>'Exh D Special Revenue State Fed'!A44</f>
        <v>(**)   Source: 2020-21 Executive Budget with 30-day amendments dated February 24, 2020.</v>
      </c>
    </row>
    <row r="43" spans="1:24">
      <c r="A43" s="961"/>
    </row>
    <row r="44" spans="1:24">
      <c r="A44" s="961"/>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88671875" defaultRowHeight="15"/>
  <cols>
    <col min="1" max="1" width="54" style="942" customWidth="1"/>
    <col min="2" max="2" width="2.109375" style="946" customWidth="1"/>
    <col min="3" max="3" width="18.109375" style="432" bestFit="1" customWidth="1"/>
    <col min="4" max="4" width="0.88671875" style="946" customWidth="1"/>
    <col min="5" max="5" width="15.44140625" style="432" customWidth="1"/>
    <col min="6" max="6" width="0.88671875" style="946" customWidth="1"/>
    <col min="7" max="7" width="14" style="946" customWidth="1"/>
    <col min="8" max="8" width="1.44140625" style="946" customWidth="1"/>
    <col min="9" max="9" width="15" style="946" customWidth="1"/>
    <col min="10" max="10" width="1.5546875" style="946" customWidth="1"/>
    <col min="11" max="11" width="15" style="946" customWidth="1"/>
    <col min="12" max="12" width="1" style="946" customWidth="1"/>
    <col min="13" max="13" width="15.109375" style="962" customWidth="1"/>
    <col min="14" max="14" width="1" style="946" customWidth="1"/>
    <col min="15" max="15" width="14" style="946" customWidth="1"/>
    <col min="16" max="19" width="8.88671875" style="946"/>
    <col min="20" max="16384" width="8.88671875" style="942"/>
  </cols>
  <sheetData>
    <row r="1" spans="1:34">
      <c r="A1" s="653" t="s">
        <v>979</v>
      </c>
    </row>
    <row r="2" spans="1:34" ht="16.5">
      <c r="A2" s="185"/>
      <c r="B2" s="187"/>
      <c r="C2" s="426"/>
      <c r="D2" s="187"/>
      <c r="E2" s="426"/>
      <c r="F2" s="187"/>
      <c r="G2" s="187"/>
      <c r="H2" s="187"/>
      <c r="I2" s="187"/>
      <c r="J2" s="187"/>
      <c r="K2" s="187"/>
      <c r="L2" s="187"/>
      <c r="M2" s="1680"/>
    </row>
    <row r="3" spans="1:34" ht="17.25" customHeight="1">
      <c r="A3" s="191" t="s">
        <v>0</v>
      </c>
      <c r="B3" s="148"/>
      <c r="C3" s="428"/>
      <c r="D3" s="143"/>
      <c r="E3" s="429"/>
      <c r="F3" s="143"/>
      <c r="G3" s="143"/>
      <c r="H3" s="143"/>
      <c r="I3" s="143"/>
      <c r="J3" s="143"/>
      <c r="K3" s="143"/>
      <c r="L3" s="143"/>
      <c r="M3" s="832"/>
      <c r="O3" s="832" t="s">
        <v>84</v>
      </c>
    </row>
    <row r="4" spans="1:34" ht="17.25" customHeight="1">
      <c r="A4" s="191" t="s">
        <v>83</v>
      </c>
      <c r="B4" s="148"/>
      <c r="C4" s="428"/>
      <c r="D4" s="143"/>
      <c r="E4" s="429"/>
      <c r="F4" s="143"/>
      <c r="G4" s="143"/>
      <c r="H4" s="143"/>
      <c r="I4" s="143"/>
      <c r="J4" s="143"/>
      <c r="K4" s="143"/>
      <c r="L4" s="143"/>
      <c r="M4" s="833"/>
      <c r="O4" s="833"/>
    </row>
    <row r="5" spans="1:34" ht="17.25" customHeight="1">
      <c r="A5" s="3918" t="str">
        <f>'Exh D-Governmental  '!A5:E5</f>
        <v>FISCAL YEAR 2019-2020</v>
      </c>
      <c r="B5" s="3919"/>
      <c r="C5" s="3919"/>
      <c r="D5" s="3919"/>
      <c r="E5" s="3919"/>
      <c r="F5" s="143"/>
      <c r="G5" s="143"/>
      <c r="H5" s="143"/>
      <c r="I5" s="143"/>
      <c r="J5" s="143"/>
      <c r="K5" s="143"/>
      <c r="L5" s="143"/>
      <c r="M5" s="148"/>
    </row>
    <row r="6" spans="1:34" ht="17.25" customHeight="1">
      <c r="A6" s="1504" t="str">
        <f>+'Exh D-Governmental  '!A6</f>
        <v>FOR ELEVEN MONTHS ENDED FEBRUARY 29, 2020</v>
      </c>
      <c r="B6" s="147"/>
      <c r="C6" s="428"/>
      <c r="D6" s="143"/>
      <c r="E6" s="429"/>
      <c r="F6" s="143"/>
      <c r="G6" s="143"/>
      <c r="H6" s="143"/>
      <c r="I6" s="143"/>
      <c r="J6" s="143"/>
      <c r="K6" s="143"/>
      <c r="L6" s="143"/>
      <c r="M6" s="148"/>
      <c r="N6" s="143"/>
      <c r="O6" s="156"/>
      <c r="P6" s="156"/>
      <c r="Q6" s="156"/>
      <c r="R6" s="156"/>
      <c r="S6" s="156"/>
      <c r="T6" s="156"/>
      <c r="U6" s="156"/>
      <c r="V6" s="156"/>
      <c r="W6" s="156"/>
      <c r="X6" s="156"/>
      <c r="Y6" s="156"/>
      <c r="Z6" s="156"/>
      <c r="AA6" s="156"/>
      <c r="AB6" s="156"/>
      <c r="AC6" s="631"/>
      <c r="AD6" s="631"/>
      <c r="AE6" s="631"/>
      <c r="AF6" s="631"/>
      <c r="AG6" s="631"/>
      <c r="AH6" s="946"/>
    </row>
    <row r="7" spans="1:34" ht="18">
      <c r="A7" s="191" t="s">
        <v>1417</v>
      </c>
      <c r="B7" s="148"/>
      <c r="C7" s="428"/>
      <c r="D7" s="143"/>
      <c r="E7" s="429"/>
      <c r="F7" s="143"/>
      <c r="G7" s="143"/>
      <c r="H7" s="143"/>
      <c r="I7" s="143"/>
      <c r="J7" s="143"/>
      <c r="K7" s="143"/>
      <c r="L7" s="143"/>
      <c r="M7" s="148"/>
    </row>
    <row r="8" spans="1:34" ht="18">
      <c r="A8" s="193"/>
      <c r="B8" s="148"/>
      <c r="C8" s="975"/>
      <c r="D8" s="156"/>
      <c r="E8" s="429"/>
      <c r="F8" s="143"/>
      <c r="G8" s="143"/>
      <c r="H8" s="143"/>
      <c r="I8" s="143"/>
      <c r="J8" s="143"/>
      <c r="K8" s="143"/>
      <c r="L8" s="143"/>
      <c r="M8" s="148"/>
    </row>
    <row r="9" spans="1:34">
      <c r="A9" s="150"/>
      <c r="B9" s="143"/>
      <c r="C9" s="1200"/>
      <c r="D9" s="156"/>
      <c r="E9" s="429"/>
      <c r="F9" s="143"/>
      <c r="G9" s="143"/>
      <c r="H9" s="143"/>
      <c r="I9" s="143"/>
      <c r="J9" s="143"/>
      <c r="K9" s="143"/>
      <c r="L9" s="143"/>
      <c r="M9" s="148"/>
    </row>
    <row r="10" spans="1:34">
      <c r="A10" s="150"/>
      <c r="B10" s="143"/>
      <c r="C10" s="975"/>
      <c r="D10" s="147"/>
      <c r="E10" s="428"/>
      <c r="F10" s="148"/>
      <c r="G10" s="148"/>
      <c r="H10" s="148"/>
      <c r="I10" s="148"/>
      <c r="J10" s="148"/>
      <c r="K10" s="148"/>
      <c r="L10" s="148"/>
      <c r="M10" s="148"/>
      <c r="N10" s="962"/>
    </row>
    <row r="11" spans="1:34" ht="15.75">
      <c r="A11" s="699"/>
      <c r="B11" s="151"/>
      <c r="C11" s="1195"/>
      <c r="D11" s="1206"/>
      <c r="E11" s="1195"/>
      <c r="F11" s="1204"/>
      <c r="G11" s="1214"/>
      <c r="H11" s="1204"/>
      <c r="I11" s="1444" t="s">
        <v>1151</v>
      </c>
      <c r="J11" s="1678"/>
      <c r="K11" s="1678"/>
      <c r="L11" s="1678"/>
      <c r="M11" s="1204"/>
      <c r="N11" s="1207"/>
      <c r="O11" s="1192"/>
    </row>
    <row r="12" spans="1:34" ht="15.75">
      <c r="A12" s="699"/>
      <c r="B12" s="151"/>
      <c r="C12" s="152"/>
      <c r="D12" s="152"/>
      <c r="E12" s="152"/>
      <c r="F12" s="152"/>
      <c r="G12" s="152"/>
      <c r="H12" s="152"/>
      <c r="I12" s="152"/>
      <c r="J12" s="152"/>
      <c r="K12" s="152"/>
      <c r="L12" s="152"/>
      <c r="M12" s="199" t="s">
        <v>85</v>
      </c>
      <c r="N12" s="153"/>
      <c r="O12" s="153" t="s">
        <v>85</v>
      </c>
    </row>
    <row r="13" spans="1:34" ht="15.75">
      <c r="A13" s="699"/>
      <c r="B13" s="151"/>
      <c r="C13" s="152"/>
      <c r="D13" s="152"/>
      <c r="E13" s="152"/>
      <c r="F13" s="152"/>
      <c r="G13" s="152"/>
      <c r="H13" s="152"/>
      <c r="I13" s="152"/>
      <c r="J13" s="152"/>
      <c r="K13" s="152"/>
      <c r="L13" s="152"/>
      <c r="M13" s="199" t="s">
        <v>885</v>
      </c>
      <c r="N13" s="153"/>
      <c r="O13" s="153" t="s">
        <v>885</v>
      </c>
    </row>
    <row r="14" spans="1:34" ht="15.75">
      <c r="A14" s="699"/>
      <c r="B14" s="151"/>
      <c r="C14" s="154" t="s">
        <v>1094</v>
      </c>
      <c r="D14" s="152"/>
      <c r="E14" s="153" t="s">
        <v>1095</v>
      </c>
      <c r="F14" s="152"/>
      <c r="G14" s="152"/>
      <c r="H14" s="152"/>
      <c r="I14" s="152"/>
      <c r="J14" s="152"/>
      <c r="K14" s="152"/>
      <c r="L14" s="152"/>
      <c r="M14" s="199" t="s">
        <v>86</v>
      </c>
      <c r="N14" s="153"/>
      <c r="O14" s="153" t="s">
        <v>86</v>
      </c>
    </row>
    <row r="15" spans="1:34" ht="15.75" customHeight="1">
      <c r="A15" s="699"/>
      <c r="B15" s="151"/>
      <c r="C15" s="153" t="s">
        <v>1133</v>
      </c>
      <c r="D15" s="152"/>
      <c r="E15" s="153" t="s">
        <v>1133</v>
      </c>
      <c r="F15" s="152"/>
      <c r="G15" s="152"/>
      <c r="H15" s="152"/>
      <c r="I15" s="152"/>
      <c r="J15" s="152"/>
      <c r="K15" s="152"/>
      <c r="L15" s="152"/>
      <c r="M15" s="199" t="s">
        <v>1094</v>
      </c>
      <c r="N15" s="153"/>
      <c r="O15" s="153" t="s">
        <v>1095</v>
      </c>
    </row>
    <row r="16" spans="1:34" ht="15.75">
      <c r="A16" s="699"/>
      <c r="B16" s="151"/>
      <c r="C16" s="153" t="s">
        <v>1134</v>
      </c>
      <c r="D16" s="152"/>
      <c r="E16" s="153" t="s">
        <v>1447</v>
      </c>
      <c r="F16" s="152"/>
      <c r="G16" s="154" t="s">
        <v>85</v>
      </c>
      <c r="H16" s="152"/>
      <c r="I16" s="1227" t="s">
        <v>1274</v>
      </c>
      <c r="J16" s="152"/>
      <c r="K16" s="1227" t="s">
        <v>811</v>
      </c>
      <c r="L16" s="152"/>
      <c r="M16" s="199" t="s">
        <v>87</v>
      </c>
      <c r="N16" s="153"/>
      <c r="O16" s="153" t="s">
        <v>87</v>
      </c>
    </row>
    <row r="17" spans="1:34">
      <c r="A17" s="155"/>
      <c r="B17" s="156"/>
      <c r="C17" s="157"/>
      <c r="D17" s="156"/>
      <c r="E17" s="157"/>
      <c r="F17" s="143"/>
      <c r="G17" s="157"/>
      <c r="H17" s="143"/>
      <c r="I17" s="143"/>
      <c r="J17" s="143"/>
      <c r="K17" s="143"/>
      <c r="L17" s="143"/>
      <c r="M17" s="1681"/>
      <c r="O17" s="157"/>
    </row>
    <row r="18" spans="1:34" ht="15.75">
      <c r="A18" s="29" t="s">
        <v>14</v>
      </c>
      <c r="B18" s="935"/>
      <c r="C18" s="666"/>
      <c r="D18" s="935"/>
      <c r="E18" s="666"/>
      <c r="F18" s="666"/>
      <c r="G18" s="666" t="s">
        <v>15</v>
      </c>
      <c r="H18" s="666"/>
      <c r="I18" s="666"/>
      <c r="J18" s="666"/>
      <c r="K18" s="666"/>
      <c r="L18" s="666"/>
      <c r="M18" s="1682"/>
      <c r="O18" s="666"/>
    </row>
    <row r="19" spans="1:34">
      <c r="A19" s="830" t="s">
        <v>88</v>
      </c>
      <c r="B19" s="936" t="s">
        <v>15</v>
      </c>
      <c r="C19" s="667"/>
      <c r="D19" s="982"/>
      <c r="E19" s="667"/>
      <c r="F19" s="667"/>
      <c r="G19" s="964"/>
      <c r="H19" s="669"/>
      <c r="I19" s="669"/>
      <c r="J19" s="669"/>
      <c r="K19" s="669"/>
      <c r="L19" s="669"/>
      <c r="M19" s="905"/>
      <c r="N19" s="935"/>
      <c r="O19" s="667"/>
      <c r="P19" s="935"/>
      <c r="Q19" s="935"/>
      <c r="R19" s="935"/>
      <c r="S19" s="935"/>
      <c r="T19" s="935"/>
      <c r="U19" s="935"/>
      <c r="V19" s="935"/>
      <c r="W19" s="935"/>
      <c r="X19" s="935"/>
      <c r="Y19" s="935"/>
      <c r="Z19" s="935"/>
      <c r="AA19" s="935"/>
      <c r="AB19" s="935"/>
      <c r="AC19" s="631"/>
      <c r="AD19" s="631"/>
      <c r="AE19" s="631"/>
      <c r="AF19" s="631"/>
      <c r="AG19" s="631"/>
      <c r="AH19" s="946"/>
    </row>
    <row r="20" spans="1:34">
      <c r="A20" s="830" t="s">
        <v>90</v>
      </c>
      <c r="B20" s="935" t="s">
        <v>15</v>
      </c>
      <c r="C20" s="952">
        <f>'Exh D Captl Projects State Fed'!C20+'Exh D Captl Projects State Fed'!M20</f>
        <v>582</v>
      </c>
      <c r="D20" s="954"/>
      <c r="E20" s="952">
        <f>'Exh D Captl Projects State Fed'!E20+'Exh D Captl Projects State Fed'!O20</f>
        <v>582</v>
      </c>
      <c r="F20" s="668"/>
      <c r="G20" s="952">
        <f>+'Exh D Captl Projects State Fed'!G20</f>
        <v>574.9</v>
      </c>
      <c r="H20" s="668"/>
      <c r="I20" s="952">
        <v>0</v>
      </c>
      <c r="J20" s="668"/>
      <c r="K20" s="1686">
        <f>+G20+I20</f>
        <v>574.9</v>
      </c>
      <c r="L20" s="668"/>
      <c r="M20" s="905">
        <f t="shared" ref="M20:M26" si="0">ROUND(SUM(K20)-SUM(C20),1)</f>
        <v>-7.1</v>
      </c>
      <c r="N20" s="935"/>
      <c r="O20" s="905">
        <f t="shared" ref="O20:O24" si="1">ROUND(SUM(K20)-SUM(E20),1)</f>
        <v>-7.1</v>
      </c>
      <c r="P20" s="935"/>
      <c r="Q20" s="935"/>
      <c r="R20" s="935"/>
      <c r="S20" s="935"/>
      <c r="T20" s="935"/>
      <c r="U20" s="935"/>
      <c r="V20" s="935"/>
      <c r="W20" s="935"/>
      <c r="X20" s="935"/>
      <c r="Y20" s="935"/>
      <c r="Z20" s="935"/>
      <c r="AA20" s="935"/>
      <c r="AB20" s="935"/>
      <c r="AC20" s="631"/>
      <c r="AD20" s="631"/>
      <c r="AE20" s="631"/>
      <c r="AF20" s="631"/>
      <c r="AG20" s="631"/>
      <c r="AH20" s="946"/>
    </row>
    <row r="21" spans="1:34">
      <c r="A21" s="830" t="s">
        <v>91</v>
      </c>
      <c r="B21" s="936" t="s">
        <v>15</v>
      </c>
      <c r="C21" s="695">
        <f>'Exh D Captl Projects State Fed'!C21+'Exh D Captl Projects State Fed'!M21</f>
        <v>612</v>
      </c>
      <c r="D21" s="954"/>
      <c r="E21" s="695">
        <f>'Exh D Captl Projects State Fed'!E21+'Exh D Captl Projects State Fed'!O21</f>
        <v>622</v>
      </c>
      <c r="F21" s="668"/>
      <c r="G21" s="695">
        <f>+'Exh D Captl Projects State Fed'!G21</f>
        <v>614.70000000000005</v>
      </c>
      <c r="H21" s="668"/>
      <c r="I21" s="668">
        <v>0</v>
      </c>
      <c r="J21" s="668"/>
      <c r="K21" s="3224">
        <f t="shared" ref="K21:K26" si="2">+G21+I21</f>
        <v>614.70000000000005</v>
      </c>
      <c r="L21" s="668"/>
      <c r="M21" s="906">
        <f t="shared" si="0"/>
        <v>2.7</v>
      </c>
      <c r="N21" s="956"/>
      <c r="O21" s="906">
        <f t="shared" si="1"/>
        <v>-7.3</v>
      </c>
      <c r="P21" s="935"/>
      <c r="Q21" s="956"/>
      <c r="R21" s="935"/>
      <c r="S21" s="956"/>
      <c r="T21" s="935"/>
      <c r="U21" s="935"/>
      <c r="V21" s="956"/>
      <c r="W21" s="935"/>
      <c r="X21" s="935"/>
      <c r="Y21" s="956"/>
      <c r="Z21" s="203"/>
      <c r="AA21" s="956"/>
      <c r="AB21" s="935"/>
      <c r="AC21" s="631"/>
      <c r="AD21" s="631"/>
      <c r="AE21" s="631"/>
      <c r="AF21" s="631"/>
      <c r="AG21" s="631"/>
      <c r="AH21" s="946"/>
    </row>
    <row r="22" spans="1:34">
      <c r="A22" s="830" t="s">
        <v>92</v>
      </c>
      <c r="B22" s="935" t="s">
        <v>15</v>
      </c>
      <c r="C22" s="695">
        <f>'Exh D Captl Projects State Fed'!C22+'Exh D Captl Projects State Fed'!M22</f>
        <v>108</v>
      </c>
      <c r="D22" s="954"/>
      <c r="E22" s="695">
        <f>'Exh D Captl Projects State Fed'!E22+'Exh D Captl Projects State Fed'!O22</f>
        <v>107</v>
      </c>
      <c r="F22" s="668"/>
      <c r="G22" s="695">
        <f>+'Exh D Captl Projects State Fed'!G22</f>
        <v>107.2</v>
      </c>
      <c r="H22" s="668"/>
      <c r="I22" s="668">
        <v>0</v>
      </c>
      <c r="J22" s="668"/>
      <c r="K22" s="1687">
        <f>+G22+I22</f>
        <v>107.2</v>
      </c>
      <c r="L22" s="668"/>
      <c r="M22" s="906">
        <f t="shared" si="0"/>
        <v>-0.8</v>
      </c>
      <c r="N22" s="935"/>
      <c r="O22" s="906">
        <f t="shared" si="1"/>
        <v>0.2</v>
      </c>
      <c r="P22" s="935"/>
      <c r="Q22" s="935"/>
      <c r="R22" s="935"/>
      <c r="S22" s="935"/>
      <c r="T22" s="935"/>
      <c r="U22" s="935"/>
      <c r="V22" s="935"/>
      <c r="W22" s="935"/>
      <c r="X22" s="935"/>
      <c r="Y22" s="935"/>
      <c r="Z22" s="935"/>
      <c r="AA22" s="935"/>
      <c r="AB22" s="935"/>
      <c r="AC22" s="631"/>
      <c r="AD22" s="631"/>
      <c r="AE22" s="631"/>
      <c r="AF22" s="631"/>
      <c r="AG22" s="631"/>
      <c r="AH22" s="946"/>
    </row>
    <row r="23" spans="1:34">
      <c r="A23" s="830" t="s">
        <v>20</v>
      </c>
      <c r="B23" s="935" t="s">
        <v>15</v>
      </c>
      <c r="C23" s="695">
        <f>'Exh D Captl Projects State Fed'!C23+'Exh D Captl Projects State Fed'!M23</f>
        <v>5619</v>
      </c>
      <c r="D23" s="954"/>
      <c r="E23" s="695">
        <f>'Exh D Captl Projects State Fed'!E23+'Exh D Captl Projects State Fed'!O23</f>
        <v>4603</v>
      </c>
      <c r="F23" s="652"/>
      <c r="G23" s="652">
        <f>+'Exh D Captl Projects State Fed'!G23+'Exh D Captl Projects State Fed'!Q23</f>
        <v>4617.2999999999993</v>
      </c>
      <c r="H23" s="652"/>
      <c r="I23" s="1566">
        <v>0</v>
      </c>
      <c r="J23" s="1566"/>
      <c r="K23" s="1687">
        <f t="shared" si="2"/>
        <v>4617.2999999999993</v>
      </c>
      <c r="L23" s="1566"/>
      <c r="M23" s="906">
        <f t="shared" si="0"/>
        <v>-1001.7</v>
      </c>
      <c r="O23" s="906">
        <f t="shared" si="1"/>
        <v>14.3</v>
      </c>
    </row>
    <row r="24" spans="1:34">
      <c r="A24" s="830" t="s">
        <v>21</v>
      </c>
      <c r="B24" s="935" t="s">
        <v>15</v>
      </c>
      <c r="C24" s="695">
        <f>'Exh D Captl Projects State Fed'!C24+'Exh D Captl Projects State Fed'!M24</f>
        <v>1824</v>
      </c>
      <c r="D24" s="954"/>
      <c r="E24" s="695">
        <f>'Exh D Captl Projects State Fed'!E24+'Exh D Captl Projects State Fed'!O24</f>
        <v>2010</v>
      </c>
      <c r="F24" s="652"/>
      <c r="G24" s="652">
        <f>+'Exh D Captl Projects State Fed'!G24+'Exh D Captl Projects State Fed'!Q24</f>
        <v>1970.9</v>
      </c>
      <c r="H24" s="652"/>
      <c r="I24" s="1566">
        <v>0</v>
      </c>
      <c r="J24" s="1566"/>
      <c r="K24" s="1687">
        <f t="shared" si="2"/>
        <v>1970.9</v>
      </c>
      <c r="L24" s="1566"/>
      <c r="M24" s="906">
        <f t="shared" si="0"/>
        <v>146.9</v>
      </c>
      <c r="O24" s="906">
        <f t="shared" si="1"/>
        <v>-39.1</v>
      </c>
    </row>
    <row r="25" spans="1:34">
      <c r="A25" s="830" t="s">
        <v>98</v>
      </c>
      <c r="B25" s="935" t="s">
        <v>15</v>
      </c>
      <c r="C25" s="695">
        <f>'Exh D Captl Projects State Fed'!C25+'Exh D Captl Projects State Fed'!M25</f>
        <v>0</v>
      </c>
      <c r="D25" s="1205"/>
      <c r="E25" s="695">
        <f>'Exh D Captl Projects State Fed'!E25+'Exh D Captl Projects State Fed'!O25</f>
        <v>0</v>
      </c>
      <c r="F25" s="652"/>
      <c r="G25" s="668">
        <f>+'Exh D Captl Projects State Fed'!G25+'Exh D Captl Projects State Fed'!Q25</f>
        <v>0</v>
      </c>
      <c r="H25" s="652"/>
      <c r="I25" s="1566">
        <v>0</v>
      </c>
      <c r="J25" s="1566"/>
      <c r="K25" s="668">
        <f t="shared" si="2"/>
        <v>0</v>
      </c>
      <c r="L25" s="1566"/>
      <c r="M25" s="906">
        <f t="shared" si="0"/>
        <v>0</v>
      </c>
      <c r="O25" s="906">
        <f t="shared" ref="O25:O26" si="3">ROUND(SUM(K25)-SUM(E25),1)</f>
        <v>0</v>
      </c>
    </row>
    <row r="26" spans="1:34">
      <c r="A26" s="830" t="s">
        <v>48</v>
      </c>
      <c r="B26" s="935" t="s">
        <v>15</v>
      </c>
      <c r="C26" s="695">
        <f>'Exh D Captl Projects State Fed'!C26+'Exh D Captl Projects State Fed'!M26</f>
        <v>2948</v>
      </c>
      <c r="D26" s="954"/>
      <c r="E26" s="695">
        <f>'Exh D Captl Projects State Fed'!E26+'Exh D Captl Projects State Fed'!O26</f>
        <v>4052</v>
      </c>
      <c r="F26" s="652"/>
      <c r="G26" s="690">
        <f>+'Exh D Captl Projects State Fed'!G26+'Exh D Captl Projects State Fed'!Q26</f>
        <v>4328.6000000000004</v>
      </c>
      <c r="H26" s="652"/>
      <c r="I26" s="906">
        <f>'Exhibit I'!AC93</f>
        <v>-278.00000000000045</v>
      </c>
      <c r="J26" s="1566"/>
      <c r="K26" s="1687">
        <f t="shared" si="2"/>
        <v>4050.6</v>
      </c>
      <c r="L26" s="1566"/>
      <c r="M26" s="906">
        <f t="shared" si="0"/>
        <v>1102.5999999999999</v>
      </c>
      <c r="O26" s="906">
        <f t="shared" si="3"/>
        <v>-1.4</v>
      </c>
    </row>
    <row r="27" spans="1:34" ht="18" customHeight="1">
      <c r="A27" s="1135" t="s">
        <v>109</v>
      </c>
      <c r="B27" s="151" t="s">
        <v>15</v>
      </c>
      <c r="C27" s="1917">
        <f>ROUND(SUM(C20:C26),1)</f>
        <v>11693</v>
      </c>
      <c r="D27" s="1567"/>
      <c r="E27" s="1917">
        <f>ROUND(SUM(E20:E26),1)</f>
        <v>11976</v>
      </c>
      <c r="F27" s="933"/>
      <c r="G27" s="215">
        <f>ROUND(SUM(G20:G26),1)</f>
        <v>12213.6</v>
      </c>
      <c r="H27" s="933"/>
      <c r="I27" s="1577">
        <f>ROUND(SUM(I20:I26),1)</f>
        <v>-278</v>
      </c>
      <c r="J27" s="933"/>
      <c r="K27" s="1577">
        <f>ROUND(SUM(K20:K26),1)</f>
        <v>11935.6</v>
      </c>
      <c r="L27" s="933"/>
      <c r="M27" s="1515">
        <f>ROUND(SUM(M20:M26),1)</f>
        <v>242.6</v>
      </c>
      <c r="O27" s="215">
        <f>ROUND(SUM(O20:O26),1)</f>
        <v>-40.4</v>
      </c>
    </row>
    <row r="28" spans="1:34">
      <c r="A28" s="699"/>
      <c r="B28" s="935" t="s">
        <v>15</v>
      </c>
      <c r="C28" s="1915"/>
      <c r="D28" s="954"/>
      <c r="E28" s="1915"/>
      <c r="F28" s="652"/>
      <c r="G28" s="697"/>
      <c r="H28" s="652"/>
      <c r="I28" s="1566"/>
      <c r="J28" s="1566"/>
      <c r="K28" s="1566"/>
      <c r="L28" s="1566"/>
      <c r="M28" s="1053" t="s">
        <v>15</v>
      </c>
      <c r="O28" s="697" t="s">
        <v>15</v>
      </c>
    </row>
    <row r="29" spans="1:34" ht="15.75">
      <c r="A29" s="29" t="s">
        <v>23</v>
      </c>
      <c r="B29" s="935" t="s">
        <v>15</v>
      </c>
      <c r="C29" s="1566"/>
      <c r="D29" s="954"/>
      <c r="E29" s="1566"/>
      <c r="F29" s="652"/>
      <c r="G29" s="652"/>
      <c r="H29" s="652"/>
      <c r="I29" s="1566"/>
      <c r="J29" s="1566"/>
      <c r="K29" s="1566"/>
      <c r="L29" s="1566"/>
      <c r="M29" s="906"/>
      <c r="O29" s="652"/>
    </row>
    <row r="30" spans="1:34">
      <c r="A30" s="830" t="s">
        <v>94</v>
      </c>
      <c r="B30" s="935" t="s">
        <v>15</v>
      </c>
      <c r="C30" s="695">
        <f>'Exh D Captl Projects State Fed'!C30+'Exh D Captl Projects State Fed'!M30</f>
        <v>4497</v>
      </c>
      <c r="D30" s="954"/>
      <c r="E30" s="695">
        <f>'Exh D Captl Projects State Fed'!E30+'Exh D Captl Projects State Fed'!O30</f>
        <v>4627</v>
      </c>
      <c r="F30" s="652"/>
      <c r="G30" s="652">
        <f>+'Exh D Captl Projects State Fed'!G30+'Exh D Captl Projects State Fed'!Q30</f>
        <v>4604.3999999999996</v>
      </c>
      <c r="H30" s="652"/>
      <c r="I30" s="1566">
        <v>0</v>
      </c>
      <c r="J30" s="1566"/>
      <c r="K30" s="1687">
        <f>+G30+I30</f>
        <v>4604.3999999999996</v>
      </c>
      <c r="L30" s="1566"/>
      <c r="M30" s="906">
        <f>ROUND(SUM(K30)-SUM(C30),1)</f>
        <v>107.4</v>
      </c>
      <c r="O30" s="906">
        <f t="shared" ref="O30:O32" si="4">ROUND(SUM(K30)-SUM(E30),1)</f>
        <v>-22.6</v>
      </c>
    </row>
    <row r="31" spans="1:34">
      <c r="A31" s="830" t="s">
        <v>42</v>
      </c>
      <c r="B31" s="935" t="s">
        <v>15</v>
      </c>
      <c r="C31" s="695">
        <f>'Exh D Captl Projects State Fed'!C31+'Exh D Captl Projects State Fed'!M31</f>
        <v>7906</v>
      </c>
      <c r="D31" s="1205"/>
      <c r="E31" s="695">
        <f>'Exh D Captl Projects State Fed'!E31+'Exh D Captl Projects State Fed'!O31</f>
        <v>6504</v>
      </c>
      <c r="F31" s="652"/>
      <c r="G31" s="652">
        <f>+'Exh D Captl Projects State Fed'!G31+'Exh D Captl Projects State Fed'!Q31</f>
        <v>6453.2000000000007</v>
      </c>
      <c r="H31" s="652"/>
      <c r="I31" s="1566">
        <v>0</v>
      </c>
      <c r="J31" s="1566"/>
      <c r="K31" s="1687">
        <f>+G31+I31</f>
        <v>6453.2000000000007</v>
      </c>
      <c r="L31" s="1566"/>
      <c r="M31" s="906">
        <f>ROUND(SUM(K31)-SUM(C31),1)</f>
        <v>-1452.8</v>
      </c>
      <c r="O31" s="906">
        <f t="shared" si="4"/>
        <v>-50.8</v>
      </c>
    </row>
    <row r="32" spans="1:34">
      <c r="A32" s="830" t="s">
        <v>99</v>
      </c>
      <c r="B32" s="935" t="s">
        <v>15</v>
      </c>
      <c r="C32" s="695">
        <f>'Exh D Captl Projects State Fed'!C32+'Exh D Captl Projects State Fed'!M32</f>
        <v>761</v>
      </c>
      <c r="D32" s="954"/>
      <c r="E32" s="695">
        <f>'Exh D Captl Projects State Fed'!E32+'Exh D Captl Projects State Fed'!O32</f>
        <v>741</v>
      </c>
      <c r="F32" s="652"/>
      <c r="G32" s="652">
        <f>+'Exh D Captl Projects State Fed'!G32+'Exh D Captl Projects State Fed'!Q32</f>
        <v>1085</v>
      </c>
      <c r="H32" s="652"/>
      <c r="I32" s="906">
        <f>-'Exhibit I'!AC94</f>
        <v>-278</v>
      </c>
      <c r="J32" s="1566"/>
      <c r="K32" s="1687">
        <f>+G32+I32</f>
        <v>807</v>
      </c>
      <c r="L32" s="1566"/>
      <c r="M32" s="906">
        <f>ROUND(SUM(K32)-SUM(C32),1)</f>
        <v>46</v>
      </c>
      <c r="O32" s="906">
        <f t="shared" si="4"/>
        <v>66</v>
      </c>
    </row>
    <row r="33" spans="1:34" ht="18" customHeight="1">
      <c r="A33" s="1135" t="s">
        <v>118</v>
      </c>
      <c r="B33" s="151" t="s">
        <v>15</v>
      </c>
      <c r="C33" s="1917">
        <f>ROUND(SUM(C30:C32),1)</f>
        <v>13164</v>
      </c>
      <c r="D33" s="1567"/>
      <c r="E33" s="1917">
        <f>ROUND(SUM(E30:E32),1)</f>
        <v>11872</v>
      </c>
      <c r="F33" s="933"/>
      <c r="G33" s="215">
        <f>ROUND(SUM(G30:G32),1)</f>
        <v>12142.6</v>
      </c>
      <c r="H33" s="933"/>
      <c r="I33" s="1577">
        <f>ROUND(SUM(I30:I32),1)</f>
        <v>-278</v>
      </c>
      <c r="J33" s="933"/>
      <c r="K33" s="1577">
        <f>ROUND(SUM(K30:K32),1)</f>
        <v>11864.6</v>
      </c>
      <c r="L33" s="933"/>
      <c r="M33" s="1515">
        <f>ROUND(SUM(M30:M32),1)</f>
        <v>-1299.4000000000001</v>
      </c>
      <c r="O33" s="215">
        <f>ROUND(SUM(O30:O32),1)</f>
        <v>-7.4</v>
      </c>
    </row>
    <row r="34" spans="1:34">
      <c r="A34" s="699"/>
      <c r="B34" s="935" t="s">
        <v>15</v>
      </c>
      <c r="C34" s="1915"/>
      <c r="D34" s="954"/>
      <c r="E34" s="1915"/>
      <c r="F34" s="652"/>
      <c r="G34" s="697"/>
      <c r="H34" s="652"/>
      <c r="I34" s="1566"/>
      <c r="J34" s="1566"/>
      <c r="K34" s="1566"/>
      <c r="L34" s="1566"/>
      <c r="M34" s="1053"/>
      <c r="O34" s="697"/>
    </row>
    <row r="35" spans="1:34" ht="15.75">
      <c r="A35" s="29" t="s">
        <v>101</v>
      </c>
      <c r="B35" s="935"/>
      <c r="C35" s="1566"/>
      <c r="D35" s="954"/>
      <c r="E35" s="1566"/>
      <c r="F35" s="652"/>
      <c r="G35" s="652"/>
      <c r="H35" s="652"/>
      <c r="I35" s="1566"/>
      <c r="J35" s="1566"/>
      <c r="K35" s="1566"/>
      <c r="L35" s="1566"/>
      <c r="M35" s="906"/>
      <c r="O35" s="652"/>
    </row>
    <row r="36" spans="1:34" ht="15.75">
      <c r="A36" s="29" t="s">
        <v>102</v>
      </c>
      <c r="B36" s="935"/>
      <c r="C36" s="1566"/>
      <c r="D36" s="954"/>
      <c r="E36" s="1566"/>
      <c r="F36" s="652"/>
      <c r="G36" s="652"/>
      <c r="H36" s="652"/>
      <c r="I36" s="1566"/>
      <c r="J36" s="1566"/>
      <c r="K36" s="1566"/>
      <c r="L36" s="1566"/>
      <c r="M36" s="906"/>
      <c r="O36" s="652"/>
    </row>
    <row r="37" spans="1:34" ht="15.75">
      <c r="A37" s="1135" t="s">
        <v>103</v>
      </c>
      <c r="B37" s="174" t="s">
        <v>15</v>
      </c>
      <c r="C37" s="1567">
        <f>ROUND(SUM(C27)-SUM(C33),1)</f>
        <v>-1471</v>
      </c>
      <c r="D37" s="1567"/>
      <c r="E37" s="1567">
        <f>ROUND(SUM(E27)-SUM(E33),1)</f>
        <v>104</v>
      </c>
      <c r="F37" s="84"/>
      <c r="G37" s="76">
        <f>ROUND(SUM(G27)-SUM(G33),1)</f>
        <v>71</v>
      </c>
      <c r="H37" s="84"/>
      <c r="I37" s="84">
        <v>0</v>
      </c>
      <c r="J37" s="84"/>
      <c r="K37" s="1567">
        <f>ROUND(SUM(K27)-SUM(K33),1)</f>
        <v>71</v>
      </c>
      <c r="L37" s="84"/>
      <c r="M37" s="115">
        <f>ROUND(SUM(M27)-SUM(M33),1)</f>
        <v>1542</v>
      </c>
      <c r="N37" s="631"/>
      <c r="O37" s="76">
        <f>ROUND(SUM(O27)-SUM(O33),1)</f>
        <v>-33</v>
      </c>
    </row>
    <row r="38" spans="1:34" ht="15.75">
      <c r="B38" s="631"/>
      <c r="C38" s="679"/>
      <c r="D38" s="1567"/>
      <c r="E38" s="679"/>
      <c r="F38" s="943"/>
      <c r="G38" s="679"/>
      <c r="H38" s="943"/>
      <c r="I38" s="943"/>
      <c r="J38" s="943"/>
      <c r="K38" s="679"/>
      <c r="L38" s="943"/>
      <c r="M38" s="1516"/>
      <c r="O38" s="679"/>
    </row>
    <row r="39" spans="1:34" ht="15.75">
      <c r="A39" s="1135" t="str">
        <f>+'Exh D-Governmental  '!A49</f>
        <v>Fund Balances (Deficits) at April 1</v>
      </c>
      <c r="B39" s="945" t="s">
        <v>15</v>
      </c>
      <c r="C39" s="1921">
        <f>'Exh D Captl Projects State Fed'!C39+'Exh D Captl Projects State Fed'!M39</f>
        <v>-1138</v>
      </c>
      <c r="D39" s="1567"/>
      <c r="E39" s="1921">
        <v>-1138</v>
      </c>
      <c r="F39" s="943"/>
      <c r="G39" s="76">
        <f>'Exhibit I'!E15</f>
        <v>-1137.9000000000001</v>
      </c>
      <c r="H39" s="943"/>
      <c r="I39" s="3190">
        <v>0</v>
      </c>
      <c r="J39" s="943"/>
      <c r="K39" s="1923">
        <f>+G39+I39</f>
        <v>-1137.9000000000001</v>
      </c>
      <c r="L39" s="943"/>
      <c r="M39" s="1683">
        <f>ROUND(SUM(K39-C39),1)</f>
        <v>0.1</v>
      </c>
      <c r="N39" s="631"/>
      <c r="O39" s="1683">
        <f>ROUND(SUM(K39-E39),1)</f>
        <v>0.1</v>
      </c>
      <c r="P39" s="631"/>
      <c r="Q39" s="631"/>
      <c r="R39" s="631"/>
      <c r="S39" s="631"/>
      <c r="T39" s="631"/>
      <c r="U39" s="631"/>
      <c r="V39" s="631"/>
      <c r="W39" s="631"/>
      <c r="X39" s="631"/>
      <c r="Y39" s="631"/>
      <c r="Z39" s="631"/>
      <c r="AA39" s="631"/>
      <c r="AB39" s="631"/>
      <c r="AC39" s="631"/>
      <c r="AD39" s="631"/>
      <c r="AE39" s="631"/>
      <c r="AF39" s="631"/>
      <c r="AG39" s="631"/>
      <c r="AH39" s="946"/>
    </row>
    <row r="40" spans="1:34" ht="16.5" thickBot="1">
      <c r="A40" s="1405" t="str">
        <f>+'Exh D-Governmental  '!A50</f>
        <v>Fund Balances (Deficits) at February 29, 2020</v>
      </c>
      <c r="B40" s="180" t="s">
        <v>15</v>
      </c>
      <c r="C40" s="98">
        <f>ROUND(SUM(C37:C39),1)</f>
        <v>-2609</v>
      </c>
      <c r="D40" s="219"/>
      <c r="E40" s="98">
        <f>ROUND(SUM(E37:E39),1)</f>
        <v>-1034</v>
      </c>
      <c r="F40" s="181"/>
      <c r="G40" s="98">
        <f>ROUND(SUM(G37:G39),1)</f>
        <v>-1066.9000000000001</v>
      </c>
      <c r="H40" s="181"/>
      <c r="I40" s="98">
        <f>ROUND(SUM(I37:I39),1)</f>
        <v>0</v>
      </c>
      <c r="J40" s="181"/>
      <c r="K40" s="98">
        <f>ROUND(SUM(K37:K39),1)</f>
        <v>-1066.9000000000001</v>
      </c>
      <c r="L40" s="181"/>
      <c r="M40" s="1517">
        <f>ROUND(SUM(M37:M39),1)</f>
        <v>1542.1</v>
      </c>
      <c r="N40" s="631"/>
      <c r="O40" s="98">
        <f>ROUND(SUM(O37:O39),1)</f>
        <v>-32.9</v>
      </c>
      <c r="P40" s="631"/>
      <c r="Q40" s="631"/>
      <c r="R40" s="631"/>
      <c r="S40" s="631"/>
      <c r="T40" s="631"/>
      <c r="U40" s="631"/>
      <c r="V40" s="631"/>
      <c r="W40" s="631"/>
      <c r="X40" s="631"/>
      <c r="Y40" s="631"/>
      <c r="Z40" s="631"/>
      <c r="AA40" s="631"/>
      <c r="AB40" s="631"/>
      <c r="AC40" s="631"/>
      <c r="AD40" s="631"/>
      <c r="AE40" s="631"/>
      <c r="AF40" s="631"/>
      <c r="AG40" s="631"/>
      <c r="AH40" s="946"/>
    </row>
    <row r="41" spans="1:34" ht="15.75" thickTop="1">
      <c r="B41" s="631"/>
      <c r="C41" s="631"/>
      <c r="D41" s="631"/>
      <c r="E41" s="631"/>
      <c r="G41" s="969"/>
    </row>
    <row r="42" spans="1:34">
      <c r="A42" s="2184" t="str">
        <f>'Exh D-Governmental  '!A52</f>
        <v>(*)    Source: 2019-20 Enacted Financial Plan dated May 13, 2019.</v>
      </c>
      <c r="B42" s="631"/>
      <c r="D42" s="631"/>
    </row>
    <row r="43" spans="1:34" s="1004" customFormat="1">
      <c r="A43" s="3840" t="str">
        <f>'Exh D Debt Service'!A42</f>
        <v>(**)   Source: 2020-21 Executive Budget with 30-day amendments dated February 24, 2020.</v>
      </c>
      <c r="B43" s="1985"/>
      <c r="C43" s="433"/>
      <c r="D43" s="1985"/>
      <c r="E43" s="433"/>
      <c r="F43" s="962"/>
      <c r="G43" s="1684"/>
      <c r="H43" s="1682"/>
      <c r="I43" s="1682"/>
      <c r="J43" s="1682"/>
      <c r="K43" s="1682"/>
      <c r="L43" s="1682"/>
      <c r="M43" s="1684"/>
      <c r="N43" s="1682"/>
      <c r="O43" s="3841"/>
      <c r="P43" s="962"/>
      <c r="Q43" s="962"/>
      <c r="R43" s="962"/>
      <c r="S43" s="962"/>
    </row>
    <row r="44" spans="1:34">
      <c r="A44" s="1530"/>
      <c r="B44" s="631"/>
      <c r="D44" s="631"/>
    </row>
    <row r="45" spans="1:34">
      <c r="A45" s="1530"/>
      <c r="B45" s="631"/>
      <c r="D45" s="631"/>
    </row>
    <row r="46" spans="1:34">
      <c r="A46" s="1062"/>
      <c r="B46" s="631"/>
      <c r="D46" s="631"/>
    </row>
    <row r="47" spans="1:34">
      <c r="A47" s="183"/>
      <c r="B47" s="631"/>
      <c r="D47" s="631"/>
    </row>
    <row r="48" spans="1:34">
      <c r="B48" s="631"/>
      <c r="D48" s="631"/>
    </row>
    <row r="49" spans="2:2">
      <c r="B49" s="631"/>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88671875" defaultRowHeight="15"/>
  <cols>
    <col min="1" max="1" width="51.88671875" style="942" customWidth="1"/>
    <col min="2" max="2" width="2.109375" style="946" customWidth="1"/>
    <col min="3" max="3" width="15.88671875" style="432" customWidth="1"/>
    <col min="4" max="4" width="1.109375" style="946" customWidth="1"/>
    <col min="5" max="5" width="15.88671875" style="432" customWidth="1"/>
    <col min="6" max="6" width="1.109375" style="946" customWidth="1"/>
    <col min="7" max="7" width="15.88671875" style="946" customWidth="1"/>
    <col min="8" max="8" width="0.88671875" style="946" customWidth="1"/>
    <col min="9" max="9" width="19.44140625" style="946" customWidth="1"/>
    <col min="10" max="10" width="1.109375" style="631" customWidth="1"/>
    <col min="11" max="11" width="19.44140625" style="946" customWidth="1"/>
    <col min="12" max="12" width="1.109375" style="946" customWidth="1"/>
    <col min="13" max="13" width="15.88671875" style="631" customWidth="1"/>
    <col min="14" max="14" width="1.109375" style="631" customWidth="1"/>
    <col min="15" max="15" width="15.88671875" style="631" customWidth="1"/>
    <col min="16" max="16" width="1.109375" style="631" customWidth="1"/>
    <col min="17" max="17" width="15.88671875" style="631" customWidth="1"/>
    <col min="18" max="18" width="1.109375" style="631" customWidth="1"/>
    <col min="19" max="19" width="15.88671875" style="631" customWidth="1"/>
    <col min="20" max="20" width="1.88671875" style="631" customWidth="1"/>
    <col min="21" max="21" width="15.88671875" style="432" customWidth="1"/>
    <col min="22" max="22" width="0.88671875" style="631" customWidth="1"/>
    <col min="23" max="23" width="15.88671875" style="432" customWidth="1"/>
    <col min="24" max="24" width="1.109375" style="631" customWidth="1"/>
    <col min="25" max="25" width="15.88671875" style="631" customWidth="1"/>
    <col min="26" max="26" width="1" style="631" customWidth="1"/>
    <col min="27" max="27" width="15.88671875" style="631" customWidth="1"/>
    <col min="28" max="28" width="3.88671875" style="946" bestFit="1" customWidth="1"/>
    <col min="29" max="33" width="8.88671875" style="946"/>
    <col min="34" max="16384" width="8.88671875" style="942"/>
  </cols>
  <sheetData>
    <row r="1" spans="1:48">
      <c r="A1" s="948" t="s">
        <v>979</v>
      </c>
    </row>
    <row r="2" spans="1:48" ht="16.5">
      <c r="A2" s="185"/>
      <c r="B2" s="187"/>
      <c r="C2" s="426"/>
      <c r="D2" s="187"/>
      <c r="E2" s="426"/>
      <c r="F2" s="187"/>
      <c r="G2" s="187"/>
      <c r="H2" s="187"/>
      <c r="I2" s="187"/>
      <c r="J2" s="186"/>
      <c r="K2" s="187"/>
      <c r="L2" s="187"/>
      <c r="M2" s="186"/>
      <c r="N2" s="186"/>
      <c r="O2" s="186"/>
      <c r="P2" s="186"/>
      <c r="Q2" s="186"/>
      <c r="R2" s="186"/>
      <c r="S2" s="186"/>
      <c r="T2" s="186"/>
      <c r="U2" s="1198"/>
      <c r="V2" s="186"/>
      <c r="W2" s="1198"/>
      <c r="X2" s="186"/>
      <c r="Y2" s="186"/>
      <c r="Z2" s="186"/>
      <c r="AA2" s="186"/>
    </row>
    <row r="3" spans="1:48" ht="17.25" customHeight="1">
      <c r="A3" s="191" t="s">
        <v>0</v>
      </c>
      <c r="B3" s="148"/>
      <c r="C3" s="428"/>
      <c r="D3" s="143"/>
      <c r="E3" s="428"/>
      <c r="F3" s="143"/>
      <c r="G3" s="143"/>
      <c r="H3" s="143"/>
      <c r="I3" s="143"/>
      <c r="J3" s="156"/>
      <c r="K3" s="143"/>
      <c r="L3" s="143"/>
      <c r="M3" s="156"/>
      <c r="N3" s="156"/>
      <c r="O3" s="156"/>
      <c r="P3" s="156"/>
      <c r="Q3" s="156"/>
      <c r="R3" s="156"/>
      <c r="S3" s="832"/>
      <c r="T3" s="156"/>
      <c r="U3" s="832" t="s">
        <v>84</v>
      </c>
      <c r="V3" s="156"/>
      <c r="W3" s="1200"/>
      <c r="X3" s="156"/>
      <c r="Y3" s="156"/>
      <c r="Z3" s="156"/>
      <c r="AA3" s="1201"/>
    </row>
    <row r="4" spans="1:48" ht="17.25" customHeight="1">
      <c r="A4" s="191" t="s">
        <v>1212</v>
      </c>
      <c r="B4" s="148"/>
      <c r="C4" s="428"/>
      <c r="D4" s="143"/>
      <c r="E4" s="428"/>
      <c r="F4" s="143"/>
      <c r="G4" s="143"/>
      <c r="H4" s="143"/>
      <c r="I4" s="143"/>
      <c r="J4" s="156"/>
      <c r="K4" s="143"/>
      <c r="L4" s="143"/>
      <c r="M4" s="156"/>
      <c r="N4" s="156"/>
      <c r="O4" s="156"/>
      <c r="P4" s="156"/>
      <c r="Q4" s="156"/>
      <c r="R4" s="156"/>
      <c r="S4" s="833"/>
      <c r="T4" s="156"/>
      <c r="U4" s="833"/>
      <c r="V4" s="156"/>
      <c r="W4" s="1200"/>
      <c r="X4" s="156"/>
      <c r="Y4" s="156"/>
      <c r="Z4" s="156"/>
      <c r="AA4" s="1202"/>
    </row>
    <row r="5" spans="1:48" ht="17.25" customHeight="1">
      <c r="A5" s="3918" t="str">
        <f>'Exh D-Governmental  '!A5:E5</f>
        <v>FISCAL YEAR 2019-2020</v>
      </c>
      <c r="B5" s="3919"/>
      <c r="C5" s="3919"/>
      <c r="D5" s="3919"/>
      <c r="E5" s="3919"/>
      <c r="F5" s="143"/>
      <c r="G5" s="143"/>
      <c r="H5" s="143"/>
      <c r="I5" s="143"/>
      <c r="J5" s="156"/>
      <c r="K5" s="143"/>
      <c r="L5" s="143"/>
      <c r="M5" s="156"/>
      <c r="N5" s="156"/>
      <c r="O5" s="156"/>
      <c r="P5" s="156"/>
      <c r="Q5" s="156"/>
      <c r="R5" s="156"/>
      <c r="S5" s="156"/>
      <c r="T5" s="156"/>
      <c r="U5" s="1200"/>
      <c r="V5" s="156"/>
      <c r="W5" s="1200"/>
      <c r="X5" s="156"/>
      <c r="Y5" s="156"/>
      <c r="Z5" s="156"/>
      <c r="AA5" s="156"/>
    </row>
    <row r="6" spans="1:48" ht="17.25" customHeight="1">
      <c r="A6" s="1504" t="str">
        <f>'Exh D-Governmental  '!A6</f>
        <v>FOR ELEVEN MONTHS ENDED FEBRUARY 29, 2020</v>
      </c>
      <c r="B6" s="147"/>
      <c r="C6" s="428"/>
      <c r="D6" s="143"/>
      <c r="E6" s="428"/>
      <c r="F6" s="143"/>
      <c r="G6" s="143"/>
      <c r="H6" s="143"/>
      <c r="I6" s="143"/>
      <c r="J6" s="156"/>
      <c r="K6" s="143"/>
      <c r="L6" s="143"/>
      <c r="M6" s="156"/>
      <c r="N6" s="156"/>
      <c r="O6" s="156"/>
      <c r="P6" s="156"/>
      <c r="Q6" s="156"/>
      <c r="R6" s="156"/>
      <c r="S6" s="156"/>
      <c r="T6" s="156"/>
      <c r="U6" s="1200"/>
      <c r="V6" s="156"/>
      <c r="W6" s="1200"/>
      <c r="X6" s="156"/>
      <c r="Y6" s="156"/>
      <c r="Z6" s="156"/>
      <c r="AA6" s="156"/>
      <c r="AB6" s="143"/>
      <c r="AC6" s="156"/>
      <c r="AD6" s="156"/>
      <c r="AE6" s="156"/>
      <c r="AF6" s="156"/>
      <c r="AG6" s="156"/>
      <c r="AH6" s="156"/>
      <c r="AI6" s="156"/>
      <c r="AJ6" s="156"/>
      <c r="AK6" s="156"/>
      <c r="AL6" s="156"/>
      <c r="AM6" s="156"/>
      <c r="AN6" s="156"/>
      <c r="AO6" s="156"/>
      <c r="AP6" s="156"/>
      <c r="AQ6" s="631"/>
      <c r="AR6" s="631"/>
      <c r="AS6" s="631"/>
      <c r="AT6" s="631"/>
      <c r="AU6" s="631"/>
      <c r="AV6" s="946"/>
    </row>
    <row r="7" spans="1:48" ht="18">
      <c r="A7" s="191" t="s">
        <v>1417</v>
      </c>
      <c r="B7" s="148"/>
      <c r="C7" s="428"/>
      <c r="D7" s="143"/>
      <c r="E7" s="428"/>
      <c r="F7" s="143"/>
      <c r="G7" s="143"/>
      <c r="H7" s="143"/>
      <c r="I7" s="143"/>
      <c r="J7" s="156"/>
      <c r="K7" s="143"/>
      <c r="L7" s="143"/>
      <c r="M7" s="156"/>
      <c r="N7" s="156"/>
      <c r="O7" s="156"/>
      <c r="P7" s="156"/>
      <c r="Q7" s="156"/>
      <c r="R7" s="156"/>
      <c r="S7" s="156"/>
      <c r="T7" s="156"/>
      <c r="U7" s="1200"/>
      <c r="V7" s="156"/>
      <c r="W7" s="1200"/>
      <c r="X7" s="156"/>
      <c r="Y7" s="156"/>
      <c r="Z7" s="156"/>
      <c r="AA7" s="156"/>
    </row>
    <row r="8" spans="1:48" ht="18">
      <c r="A8" s="193"/>
      <c r="B8" s="148"/>
      <c r="C8" s="428"/>
      <c r="D8" s="143"/>
      <c r="E8" s="428"/>
      <c r="F8" s="143"/>
      <c r="G8" s="143"/>
      <c r="H8" s="143"/>
      <c r="I8" s="143"/>
      <c r="J8" s="156"/>
      <c r="K8" s="143"/>
      <c r="L8" s="143"/>
      <c r="M8" s="156"/>
      <c r="N8" s="156"/>
      <c r="O8" s="156"/>
      <c r="P8" s="156"/>
      <c r="Q8" s="156"/>
      <c r="R8" s="156"/>
      <c r="S8" s="156"/>
      <c r="T8" s="156"/>
      <c r="U8" s="1200"/>
      <c r="V8" s="156"/>
      <c r="W8" s="1200"/>
      <c r="X8" s="156"/>
      <c r="Y8" s="156"/>
      <c r="Z8" s="156"/>
      <c r="AA8" s="156"/>
    </row>
    <row r="9" spans="1:48">
      <c r="A9" s="150"/>
      <c r="B9" s="143"/>
      <c r="C9" s="429"/>
      <c r="D9" s="143"/>
      <c r="E9" s="429"/>
      <c r="F9" s="143"/>
      <c r="G9" s="143"/>
      <c r="H9" s="143"/>
      <c r="I9" s="143"/>
      <c r="J9" s="156"/>
      <c r="K9" s="143"/>
      <c r="L9" s="143"/>
      <c r="M9" s="156"/>
      <c r="N9" s="156"/>
      <c r="O9" s="156"/>
      <c r="P9" s="156"/>
      <c r="Q9" s="156"/>
      <c r="R9" s="156"/>
      <c r="S9" s="156"/>
      <c r="T9" s="156"/>
      <c r="U9" s="1200"/>
      <c r="V9" s="156"/>
      <c r="W9" s="1200"/>
      <c r="X9" s="156"/>
      <c r="Y9" s="156"/>
      <c r="Z9" s="156"/>
      <c r="AA9" s="156"/>
    </row>
    <row r="10" spans="1:48">
      <c r="A10" s="150"/>
      <c r="B10" s="143"/>
      <c r="C10" s="428"/>
      <c r="D10" s="148"/>
      <c r="E10" s="428"/>
      <c r="F10" s="148"/>
      <c r="G10" s="148"/>
      <c r="H10" s="148"/>
      <c r="I10" s="148"/>
      <c r="J10" s="147"/>
      <c r="K10" s="148"/>
      <c r="L10" s="148"/>
      <c r="M10" s="428"/>
      <c r="N10" s="148"/>
      <c r="O10" s="428"/>
      <c r="P10" s="148"/>
      <c r="Q10" s="148"/>
      <c r="R10" s="148"/>
      <c r="S10" s="148"/>
      <c r="T10" s="147"/>
      <c r="U10" s="975"/>
      <c r="V10" s="147"/>
      <c r="W10" s="975"/>
      <c r="X10" s="147"/>
      <c r="Y10" s="147"/>
      <c r="Z10" s="147"/>
      <c r="AA10" s="147"/>
      <c r="AB10" s="962"/>
    </row>
    <row r="11" spans="1:48" ht="15.75">
      <c r="A11" s="699"/>
      <c r="B11" s="151"/>
      <c r="C11" s="3920" t="s">
        <v>1152</v>
      </c>
      <c r="D11" s="3920"/>
      <c r="E11" s="3920"/>
      <c r="F11" s="3920"/>
      <c r="G11" s="3920"/>
      <c r="H11" s="3920"/>
      <c r="I11" s="3920"/>
      <c r="J11" s="1194"/>
      <c r="K11" s="1194"/>
      <c r="L11" s="205"/>
      <c r="M11" s="3920" t="s">
        <v>1153</v>
      </c>
      <c r="N11" s="3920"/>
      <c r="O11" s="3920"/>
      <c r="P11" s="3920"/>
      <c r="Q11" s="3920"/>
      <c r="R11" s="3920"/>
      <c r="S11" s="3920"/>
      <c r="T11" s="1207"/>
      <c r="U11" s="1444"/>
      <c r="V11" s="1444"/>
      <c r="W11" s="196"/>
      <c r="X11" s="196"/>
      <c r="Y11" s="196"/>
      <c r="Z11" s="196"/>
      <c r="AA11" s="196"/>
      <c r="AB11" s="962"/>
    </row>
    <row r="12" spans="1:48" ht="15.75">
      <c r="A12" s="699"/>
      <c r="B12" s="151"/>
      <c r="C12" s="434"/>
      <c r="D12" s="152"/>
      <c r="E12" s="434"/>
      <c r="F12" s="152"/>
      <c r="G12" s="152"/>
      <c r="H12" s="152"/>
      <c r="I12" s="206" t="s">
        <v>85</v>
      </c>
      <c r="J12" s="206"/>
      <c r="K12" s="206" t="s">
        <v>85</v>
      </c>
      <c r="L12" s="949"/>
      <c r="M12" s="434"/>
      <c r="N12" s="152"/>
      <c r="O12" s="434"/>
      <c r="P12" s="152"/>
      <c r="Q12" s="152"/>
      <c r="R12" s="152"/>
      <c r="S12" s="206" t="s">
        <v>85</v>
      </c>
      <c r="T12" s="151"/>
      <c r="U12" s="206" t="s">
        <v>85</v>
      </c>
      <c r="V12" s="151"/>
      <c r="W12" s="991"/>
      <c r="X12" s="151"/>
      <c r="Y12" s="151"/>
      <c r="Z12" s="151"/>
      <c r="AA12" s="206"/>
    </row>
    <row r="13" spans="1:48" ht="15.75">
      <c r="A13" s="699"/>
      <c r="B13" s="151"/>
      <c r="C13" s="434"/>
      <c r="D13" s="152"/>
      <c r="E13" s="434"/>
      <c r="F13" s="152"/>
      <c r="G13" s="152"/>
      <c r="H13" s="152"/>
      <c r="I13" s="153" t="s">
        <v>885</v>
      </c>
      <c r="J13" s="201"/>
      <c r="K13" s="153" t="s">
        <v>885</v>
      </c>
      <c r="L13" s="949"/>
      <c r="M13" s="434"/>
      <c r="N13" s="152"/>
      <c r="O13" s="434"/>
      <c r="P13" s="152"/>
      <c r="Q13" s="152"/>
      <c r="R13" s="152"/>
      <c r="S13" s="153" t="s">
        <v>885</v>
      </c>
      <c r="T13" s="151"/>
      <c r="U13" s="153" t="s">
        <v>885</v>
      </c>
      <c r="V13" s="151"/>
      <c r="W13" s="991"/>
      <c r="X13" s="151"/>
      <c r="Y13" s="151"/>
      <c r="Z13" s="151"/>
      <c r="AA13" s="201"/>
    </row>
    <row r="14" spans="1:48" ht="15.75" customHeight="1">
      <c r="A14" s="699"/>
      <c r="B14" s="151"/>
      <c r="C14" s="154" t="s">
        <v>1094</v>
      </c>
      <c r="D14" s="942"/>
      <c r="E14" s="154" t="s">
        <v>1095</v>
      </c>
      <c r="F14" s="152"/>
      <c r="G14" s="152"/>
      <c r="H14" s="152"/>
      <c r="I14" s="153" t="s">
        <v>86</v>
      </c>
      <c r="J14" s="201"/>
      <c r="K14" s="153" t="s">
        <v>86</v>
      </c>
      <c r="L14" s="949"/>
      <c r="M14" s="154" t="s">
        <v>1094</v>
      </c>
      <c r="N14" s="942"/>
      <c r="O14" s="154" t="s">
        <v>1095</v>
      </c>
      <c r="P14" s="152"/>
      <c r="Q14" s="152"/>
      <c r="R14" s="152"/>
      <c r="S14" s="153" t="s">
        <v>86</v>
      </c>
      <c r="T14" s="202"/>
      <c r="U14" s="153" t="s">
        <v>86</v>
      </c>
      <c r="V14" s="700"/>
      <c r="W14" s="200"/>
      <c r="X14" s="151"/>
      <c r="Y14" s="151"/>
      <c r="Z14" s="151"/>
      <c r="AA14" s="201"/>
    </row>
    <row r="15" spans="1:48" ht="15.75" customHeight="1">
      <c r="A15" s="699"/>
      <c r="B15" s="151"/>
      <c r="C15" s="153" t="s">
        <v>1133</v>
      </c>
      <c r="D15" s="152"/>
      <c r="E15" s="153" t="s">
        <v>1133</v>
      </c>
      <c r="F15" s="152"/>
      <c r="G15" s="152"/>
      <c r="H15" s="152"/>
      <c r="I15" s="153" t="s">
        <v>1094</v>
      </c>
      <c r="J15" s="200"/>
      <c r="K15" s="154" t="s">
        <v>1095</v>
      </c>
      <c r="L15" s="992"/>
      <c r="M15" s="153" t="s">
        <v>1133</v>
      </c>
      <c r="N15" s="152"/>
      <c r="O15" s="153" t="s">
        <v>1133</v>
      </c>
      <c r="P15" s="152"/>
      <c r="Q15" s="152"/>
      <c r="R15" s="152"/>
      <c r="S15" s="153" t="s">
        <v>1094</v>
      </c>
      <c r="T15" s="202"/>
      <c r="U15" s="154" t="s">
        <v>1095</v>
      </c>
      <c r="V15" s="151"/>
      <c r="W15" s="201"/>
      <c r="X15" s="151"/>
      <c r="Y15" s="151"/>
      <c r="Z15" s="151"/>
      <c r="AA15" s="200"/>
    </row>
    <row r="16" spans="1:48" ht="15.75">
      <c r="A16" s="699"/>
      <c r="B16" s="151"/>
      <c r="C16" s="153" t="s">
        <v>1134</v>
      </c>
      <c r="D16" s="152"/>
      <c r="E16" s="153" t="s">
        <v>1447</v>
      </c>
      <c r="F16" s="152"/>
      <c r="G16" s="154" t="s">
        <v>85</v>
      </c>
      <c r="H16" s="152"/>
      <c r="I16" s="153" t="s">
        <v>87</v>
      </c>
      <c r="J16" s="201"/>
      <c r="K16" s="153" t="s">
        <v>87</v>
      </c>
      <c r="L16" s="949"/>
      <c r="M16" s="153" t="s">
        <v>1134</v>
      </c>
      <c r="N16" s="152"/>
      <c r="O16" s="153" t="s">
        <v>1447</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50"/>
      <c r="M17" s="157"/>
      <c r="N17" s="143"/>
      <c r="O17" s="157"/>
      <c r="P17" s="143"/>
      <c r="Q17" s="157"/>
      <c r="R17" s="143"/>
      <c r="S17" s="157"/>
      <c r="T17" s="156"/>
      <c r="U17" s="157"/>
      <c r="V17" s="156"/>
      <c r="W17" s="156"/>
      <c r="X17" s="156"/>
      <c r="Y17" s="156"/>
      <c r="Z17" s="156"/>
      <c r="AA17" s="156"/>
    </row>
    <row r="18" spans="1:48" ht="15.75">
      <c r="A18" s="29" t="s">
        <v>14</v>
      </c>
      <c r="B18" s="935"/>
      <c r="C18" s="666"/>
      <c r="D18" s="666"/>
      <c r="E18" s="666"/>
      <c r="F18" s="666"/>
      <c r="G18" s="825" t="s">
        <v>15</v>
      </c>
      <c r="H18" s="666"/>
      <c r="I18" s="666"/>
      <c r="J18" s="935"/>
      <c r="K18" s="666"/>
      <c r="L18" s="951"/>
      <c r="M18" s="666"/>
      <c r="N18" s="666"/>
      <c r="O18" s="666"/>
      <c r="P18" s="666"/>
      <c r="Q18" s="666" t="s">
        <v>15</v>
      </c>
      <c r="R18" s="666"/>
      <c r="S18" s="666"/>
      <c r="T18" s="935"/>
      <c r="U18" s="666"/>
      <c r="V18" s="935"/>
      <c r="W18" s="935"/>
      <c r="X18" s="935"/>
      <c r="Y18" s="935"/>
      <c r="Z18" s="935"/>
      <c r="AA18" s="935"/>
    </row>
    <row r="19" spans="1:48">
      <c r="A19" s="830" t="s">
        <v>88</v>
      </c>
      <c r="B19" s="936" t="s">
        <v>15</v>
      </c>
      <c r="C19" s="667"/>
      <c r="D19" s="669"/>
      <c r="E19" s="667"/>
      <c r="F19" s="669"/>
      <c r="G19" s="667"/>
      <c r="H19" s="669"/>
      <c r="I19" s="667"/>
      <c r="J19" s="982"/>
      <c r="K19" s="667"/>
      <c r="L19" s="963"/>
      <c r="M19" s="667"/>
      <c r="N19" s="667"/>
      <c r="O19" s="667"/>
      <c r="P19" s="667"/>
      <c r="Q19" s="964"/>
      <c r="R19" s="669"/>
      <c r="S19" s="667"/>
      <c r="T19" s="669"/>
      <c r="U19" s="667"/>
      <c r="V19" s="982"/>
      <c r="W19" s="982"/>
      <c r="X19" s="982"/>
      <c r="Y19" s="1208"/>
      <c r="Z19" s="980"/>
      <c r="AA19" s="982"/>
      <c r="AB19" s="935"/>
      <c r="AC19" s="935"/>
      <c r="AD19" s="935"/>
      <c r="AE19" s="935"/>
      <c r="AF19" s="935"/>
      <c r="AG19" s="935"/>
      <c r="AH19" s="935"/>
      <c r="AI19" s="935"/>
      <c r="AJ19" s="935"/>
      <c r="AK19" s="935"/>
      <c r="AL19" s="935"/>
      <c r="AM19" s="935"/>
      <c r="AN19" s="935"/>
      <c r="AO19" s="935"/>
      <c r="AP19" s="935"/>
      <c r="AQ19" s="631"/>
      <c r="AR19" s="631"/>
      <c r="AS19" s="631"/>
      <c r="AT19" s="631"/>
      <c r="AU19" s="631"/>
      <c r="AV19" s="946"/>
    </row>
    <row r="20" spans="1:48">
      <c r="A20" s="830" t="s">
        <v>90</v>
      </c>
      <c r="B20" s="935" t="s">
        <v>15</v>
      </c>
      <c r="C20" s="2100">
        <v>582</v>
      </c>
      <c r="D20" s="667"/>
      <c r="E20" s="2100">
        <v>582</v>
      </c>
      <c r="F20" s="667"/>
      <c r="G20" s="952">
        <f>+'Exhibit I State'!AD22</f>
        <v>574.9</v>
      </c>
      <c r="H20" s="667"/>
      <c r="I20" s="667">
        <f t="shared" ref="I20:I26" si="0">ROUND(SUM(G20)-SUM(C20),1)</f>
        <v>-7.1</v>
      </c>
      <c r="J20" s="982"/>
      <c r="K20" s="667">
        <f t="shared" ref="K20:K26" si="1">ROUND(SUM(G20)-SUM(E20),1)</f>
        <v>-7.1</v>
      </c>
      <c r="L20" s="963"/>
      <c r="M20" s="2100">
        <v>0</v>
      </c>
      <c r="N20" s="2100"/>
      <c r="O20" s="2100">
        <v>0</v>
      </c>
      <c r="P20" s="670"/>
      <c r="Q20" s="952">
        <v>0</v>
      </c>
      <c r="R20" s="670"/>
      <c r="S20" s="667">
        <f t="shared" ref="S20:S26" si="2">ROUND(SUM(Q20)-SUM(M20),1)</f>
        <v>0</v>
      </c>
      <c r="T20" s="982"/>
      <c r="U20" s="667">
        <f t="shared" ref="U20:U26" si="3">ROUND(SUM(Q20)-SUM(O20),1)</f>
        <v>0</v>
      </c>
      <c r="V20" s="1209"/>
      <c r="W20" s="981"/>
      <c r="X20" s="1209"/>
      <c r="Y20" s="981"/>
      <c r="Z20" s="1209"/>
      <c r="AA20" s="982"/>
      <c r="AB20" s="935"/>
      <c r="AC20" s="935"/>
      <c r="AD20" s="935"/>
      <c r="AE20" s="935"/>
      <c r="AF20" s="935"/>
      <c r="AG20" s="935"/>
      <c r="AH20" s="935"/>
      <c r="AI20" s="935"/>
      <c r="AJ20" s="935"/>
      <c r="AK20" s="935"/>
      <c r="AL20" s="935"/>
      <c r="AM20" s="935"/>
      <c r="AN20" s="935"/>
      <c r="AO20" s="935"/>
      <c r="AP20" s="935"/>
      <c r="AQ20" s="631"/>
      <c r="AR20" s="631"/>
      <c r="AS20" s="631"/>
      <c r="AT20" s="631"/>
      <c r="AU20" s="631"/>
      <c r="AV20" s="946"/>
    </row>
    <row r="21" spans="1:48">
      <c r="A21" s="830" t="s">
        <v>91</v>
      </c>
      <c r="B21" s="936" t="s">
        <v>15</v>
      </c>
      <c r="C21" s="1136">
        <v>612</v>
      </c>
      <c r="D21" s="690"/>
      <c r="E21" s="1136">
        <v>622</v>
      </c>
      <c r="F21" s="690"/>
      <c r="G21" s="695">
        <f>+'Exhibit I State'!AD27</f>
        <v>614.70000000000005</v>
      </c>
      <c r="H21" s="690"/>
      <c r="I21" s="652">
        <f t="shared" si="0"/>
        <v>2.7</v>
      </c>
      <c r="J21" s="954"/>
      <c r="K21" s="1566">
        <f t="shared" si="1"/>
        <v>-7.3</v>
      </c>
      <c r="L21" s="965"/>
      <c r="M21" s="1136">
        <v>0</v>
      </c>
      <c r="N21" s="1136"/>
      <c r="O21" s="1136">
        <v>0</v>
      </c>
      <c r="P21" s="668"/>
      <c r="Q21" s="695">
        <v>0</v>
      </c>
      <c r="R21" s="668"/>
      <c r="S21" s="652">
        <f t="shared" si="2"/>
        <v>0</v>
      </c>
      <c r="T21" s="690"/>
      <c r="U21" s="1566">
        <f t="shared" si="3"/>
        <v>0</v>
      </c>
      <c r="V21" s="957"/>
      <c r="W21" s="985"/>
      <c r="X21" s="957"/>
      <c r="Y21" s="985"/>
      <c r="Z21" s="957"/>
      <c r="AA21" s="954"/>
      <c r="AB21" s="956"/>
      <c r="AC21" s="935"/>
      <c r="AD21" s="935"/>
      <c r="AE21" s="956"/>
      <c r="AF21" s="935"/>
      <c r="AG21" s="956"/>
      <c r="AH21" s="935"/>
      <c r="AI21" s="935"/>
      <c r="AJ21" s="956"/>
      <c r="AK21" s="935"/>
      <c r="AL21" s="935"/>
      <c r="AM21" s="956"/>
      <c r="AN21" s="203"/>
      <c r="AO21" s="956"/>
      <c r="AP21" s="935"/>
      <c r="AQ21" s="631"/>
      <c r="AR21" s="631"/>
      <c r="AS21" s="631"/>
      <c r="AT21" s="631"/>
      <c r="AU21" s="631"/>
      <c r="AV21" s="946"/>
    </row>
    <row r="22" spans="1:48">
      <c r="A22" s="830" t="s">
        <v>92</v>
      </c>
      <c r="B22" s="935" t="s">
        <v>15</v>
      </c>
      <c r="C22" s="1136">
        <v>108</v>
      </c>
      <c r="D22" s="1566"/>
      <c r="E22" s="1136">
        <v>107</v>
      </c>
      <c r="F22" s="652"/>
      <c r="G22" s="695">
        <f>+'Exhibit I State'!AD30</f>
        <v>107.2</v>
      </c>
      <c r="H22" s="652"/>
      <c r="I22" s="652">
        <f t="shared" si="0"/>
        <v>-0.8</v>
      </c>
      <c r="J22" s="954"/>
      <c r="K22" s="1566">
        <f t="shared" si="1"/>
        <v>0.2</v>
      </c>
      <c r="L22" s="965"/>
      <c r="M22" s="1136">
        <v>0</v>
      </c>
      <c r="N22" s="1136"/>
      <c r="O22" s="1136">
        <v>0</v>
      </c>
      <c r="P22" s="668"/>
      <c r="Q22" s="695">
        <v>0</v>
      </c>
      <c r="R22" s="668"/>
      <c r="S22" s="652">
        <f t="shared" si="2"/>
        <v>0</v>
      </c>
      <c r="T22" s="954"/>
      <c r="U22" s="1566">
        <f t="shared" si="3"/>
        <v>0</v>
      </c>
      <c r="V22" s="957"/>
      <c r="W22" s="985"/>
      <c r="X22" s="957"/>
      <c r="Y22" s="985"/>
      <c r="Z22" s="957"/>
      <c r="AA22" s="954"/>
      <c r="AB22" s="935"/>
      <c r="AC22" s="935"/>
      <c r="AD22" s="935"/>
      <c r="AE22" s="935"/>
      <c r="AF22" s="935"/>
      <c r="AG22" s="935"/>
      <c r="AH22" s="935"/>
      <c r="AI22" s="935"/>
      <c r="AJ22" s="935"/>
      <c r="AK22" s="935"/>
      <c r="AL22" s="935"/>
      <c r="AM22" s="935"/>
      <c r="AN22" s="935"/>
      <c r="AO22" s="935"/>
      <c r="AP22" s="935"/>
      <c r="AQ22" s="631"/>
      <c r="AR22" s="631"/>
      <c r="AS22" s="631"/>
      <c r="AT22" s="631"/>
      <c r="AU22" s="631"/>
      <c r="AV22" s="946"/>
    </row>
    <row r="23" spans="1:48">
      <c r="A23" s="830" t="s">
        <v>20</v>
      </c>
      <c r="B23" s="935" t="s">
        <v>15</v>
      </c>
      <c r="C23" s="1136">
        <v>5619</v>
      </c>
      <c r="D23" s="1566"/>
      <c r="E23" s="1136">
        <v>4603</v>
      </c>
      <c r="F23" s="652"/>
      <c r="G23" s="695">
        <f>+'Exhibit I State'!AD60</f>
        <v>4616.3999999999996</v>
      </c>
      <c r="H23" s="652"/>
      <c r="I23" s="652">
        <f t="shared" si="0"/>
        <v>-1002.6</v>
      </c>
      <c r="J23" s="954"/>
      <c r="K23" s="1566">
        <f t="shared" si="1"/>
        <v>13.4</v>
      </c>
      <c r="L23" s="965"/>
      <c r="M23" s="1136">
        <v>0</v>
      </c>
      <c r="N23" s="1566"/>
      <c r="O23" s="1136">
        <v>0</v>
      </c>
      <c r="P23" s="652"/>
      <c r="Q23" s="652">
        <f>+'Exhibit I Federal'!AD42</f>
        <v>0.9</v>
      </c>
      <c r="R23" s="652"/>
      <c r="S23" s="652">
        <f t="shared" si="2"/>
        <v>0.9</v>
      </c>
      <c r="T23" s="954"/>
      <c r="U23" s="1566">
        <f>ROUND(SUM(Q23)-SUM(O23),1)</f>
        <v>0.9</v>
      </c>
      <c r="V23" s="954"/>
      <c r="W23" s="985"/>
      <c r="X23" s="954"/>
      <c r="Y23" s="985"/>
      <c r="Z23" s="954"/>
      <c r="AA23" s="954"/>
    </row>
    <row r="24" spans="1:48">
      <c r="A24" s="830" t="s">
        <v>21</v>
      </c>
      <c r="B24" s="935" t="s">
        <v>15</v>
      </c>
      <c r="C24" s="1136">
        <v>0</v>
      </c>
      <c r="D24" s="1566"/>
      <c r="E24" s="1136">
        <v>2</v>
      </c>
      <c r="F24" s="652"/>
      <c r="G24" s="695">
        <f>+'Exhibit I State'!AD62</f>
        <v>2.2999999999999998</v>
      </c>
      <c r="H24" s="652"/>
      <c r="I24" s="652">
        <f t="shared" si="0"/>
        <v>2.2999999999999998</v>
      </c>
      <c r="J24" s="954"/>
      <c r="K24" s="1566">
        <f t="shared" si="1"/>
        <v>0.3</v>
      </c>
      <c r="L24" s="965"/>
      <c r="M24" s="1136">
        <v>1824</v>
      </c>
      <c r="N24" s="1566"/>
      <c r="O24" s="1136">
        <v>2008</v>
      </c>
      <c r="P24" s="652"/>
      <c r="Q24" s="652">
        <f>+'Exhibit I Federal'!AD44</f>
        <v>1968.6000000000001</v>
      </c>
      <c r="R24" s="652"/>
      <c r="S24" s="652">
        <f t="shared" si="2"/>
        <v>144.6</v>
      </c>
      <c r="T24" s="954"/>
      <c r="U24" s="1566">
        <f t="shared" si="3"/>
        <v>-39.4</v>
      </c>
      <c r="V24" s="954"/>
      <c r="W24" s="985"/>
      <c r="X24" s="954"/>
      <c r="Y24" s="985"/>
      <c r="Z24" s="954"/>
      <c r="AA24" s="954"/>
    </row>
    <row r="25" spans="1:48">
      <c r="A25" s="830" t="s">
        <v>98</v>
      </c>
      <c r="B25" s="935" t="s">
        <v>15</v>
      </c>
      <c r="C25" s="1136">
        <v>0</v>
      </c>
      <c r="D25" s="1566"/>
      <c r="E25" s="1136">
        <v>0</v>
      </c>
      <c r="F25" s="652"/>
      <c r="G25" s="695">
        <f>+'Exhibit I State'!AA91</f>
        <v>0</v>
      </c>
      <c r="H25" s="652"/>
      <c r="I25" s="652">
        <f t="shared" si="0"/>
        <v>0</v>
      </c>
      <c r="J25" s="954"/>
      <c r="K25" s="1566">
        <f t="shared" si="1"/>
        <v>0</v>
      </c>
      <c r="L25" s="966"/>
      <c r="M25" s="1136">
        <v>0</v>
      </c>
      <c r="N25" s="906"/>
      <c r="O25" s="1136">
        <v>0</v>
      </c>
      <c r="P25" s="652"/>
      <c r="Q25" s="668">
        <v>0</v>
      </c>
      <c r="R25" s="652"/>
      <c r="S25" s="652">
        <f t="shared" si="2"/>
        <v>0</v>
      </c>
      <c r="T25" s="955"/>
      <c r="U25" s="1566">
        <f t="shared" si="3"/>
        <v>0</v>
      </c>
      <c r="V25" s="954"/>
      <c r="W25" s="985"/>
      <c r="X25" s="954"/>
      <c r="Y25" s="985"/>
      <c r="Z25" s="954"/>
      <c r="AA25" s="954"/>
    </row>
    <row r="26" spans="1:48">
      <c r="A26" s="830" t="s">
        <v>48</v>
      </c>
      <c r="B26" s="935" t="s">
        <v>15</v>
      </c>
      <c r="C26" s="1136">
        <v>3248</v>
      </c>
      <c r="D26" s="1566"/>
      <c r="E26" s="1136">
        <v>4228</v>
      </c>
      <c r="F26" s="652"/>
      <c r="G26" s="693">
        <f>+'Exhibit I State'!AD92</f>
        <v>4328.6000000000004</v>
      </c>
      <c r="H26" s="652"/>
      <c r="I26" s="652">
        <f t="shared" si="0"/>
        <v>1080.5999999999999</v>
      </c>
      <c r="J26" s="954"/>
      <c r="K26" s="1566">
        <f t="shared" si="1"/>
        <v>100.6</v>
      </c>
      <c r="L26" s="965"/>
      <c r="M26" s="1136">
        <v>-300</v>
      </c>
      <c r="N26" s="906"/>
      <c r="O26" s="1136">
        <v>-176</v>
      </c>
      <c r="P26" s="652"/>
      <c r="Q26" s="690">
        <f>+'Exhibit I Federal'!I73</f>
        <v>0</v>
      </c>
      <c r="R26" s="652"/>
      <c r="S26" s="652">
        <f t="shared" si="2"/>
        <v>300</v>
      </c>
      <c r="T26" s="955"/>
      <c r="U26" s="1566">
        <f t="shared" si="3"/>
        <v>176</v>
      </c>
      <c r="V26" s="954"/>
      <c r="W26" s="985"/>
      <c r="X26" s="954"/>
      <c r="Y26" s="985"/>
      <c r="Z26" s="954"/>
      <c r="AA26" s="954"/>
    </row>
    <row r="27" spans="1:48" ht="18" customHeight="1">
      <c r="A27" s="173" t="s">
        <v>109</v>
      </c>
      <c r="B27" s="151" t="s">
        <v>15</v>
      </c>
      <c r="C27" s="1918">
        <f>ROUND(SUM(C20:C26),1)</f>
        <v>10169</v>
      </c>
      <c r="D27" s="933"/>
      <c r="E27" s="1918">
        <f>ROUND(SUM(E20:E26),1)</f>
        <v>10144</v>
      </c>
      <c r="F27" s="933"/>
      <c r="G27" s="215">
        <f>ROUND(SUM(G20:G26),1)</f>
        <v>10244.1</v>
      </c>
      <c r="H27" s="933"/>
      <c r="I27" s="215">
        <f>ROUND(SUM(I20:I26),1)</f>
        <v>75.099999999999994</v>
      </c>
      <c r="J27" s="76"/>
      <c r="K27" s="215">
        <f>ROUND(SUM(K20:K26),1)</f>
        <v>100.1</v>
      </c>
      <c r="L27" s="967"/>
      <c r="M27" s="1918">
        <f>ROUND(SUM(M20:M26),1)</f>
        <v>1524</v>
      </c>
      <c r="N27" s="933"/>
      <c r="O27" s="1918">
        <f>ROUND(SUM(O20:O26),1)</f>
        <v>1832</v>
      </c>
      <c r="P27" s="933"/>
      <c r="Q27" s="215">
        <f>ROUND(SUM(Q20:Q26),1)</f>
        <v>1969.5</v>
      </c>
      <c r="R27" s="933"/>
      <c r="S27" s="215">
        <f>ROUND(SUM(S20:S26),1)</f>
        <v>445.5</v>
      </c>
      <c r="T27" s="76"/>
      <c r="U27" s="215">
        <f>ROUND(SUM(U20:U26),1)</f>
        <v>137.5</v>
      </c>
      <c r="V27" s="76"/>
      <c r="W27" s="76"/>
      <c r="X27" s="76"/>
      <c r="Y27" s="76"/>
      <c r="Z27" s="76"/>
      <c r="AA27" s="76"/>
    </row>
    <row r="28" spans="1:48">
      <c r="A28" s="699"/>
      <c r="B28" s="935" t="s">
        <v>15</v>
      </c>
      <c r="C28" s="1919"/>
      <c r="D28" s="1566"/>
      <c r="E28" s="1919"/>
      <c r="F28" s="652"/>
      <c r="G28" s="697"/>
      <c r="H28" s="652"/>
      <c r="I28" s="697"/>
      <c r="J28" s="954"/>
      <c r="K28" s="697"/>
      <c r="L28" s="965"/>
      <c r="M28" s="1919"/>
      <c r="N28" s="1566"/>
      <c r="O28" s="1919"/>
      <c r="P28" s="652"/>
      <c r="Q28" s="697"/>
      <c r="R28" s="652"/>
      <c r="S28" s="697" t="s">
        <v>15</v>
      </c>
      <c r="T28" s="954"/>
      <c r="U28" s="697"/>
      <c r="V28" s="954"/>
      <c r="W28" s="954"/>
      <c r="X28" s="954"/>
      <c r="Y28" s="954"/>
      <c r="Z28" s="954"/>
      <c r="AA28" s="954"/>
    </row>
    <row r="29" spans="1:48" ht="15.75">
      <c r="A29" s="29" t="s">
        <v>23</v>
      </c>
      <c r="B29" s="935" t="s">
        <v>15</v>
      </c>
      <c r="C29" s="906"/>
      <c r="D29" s="1566"/>
      <c r="E29" s="906"/>
      <c r="F29" s="652"/>
      <c r="G29" s="652" t="s">
        <v>15</v>
      </c>
      <c r="H29" s="652"/>
      <c r="I29" s="652"/>
      <c r="J29" s="954"/>
      <c r="K29" s="1566"/>
      <c r="L29" s="965"/>
      <c r="M29" s="906"/>
      <c r="N29" s="1566"/>
      <c r="O29" s="906"/>
      <c r="P29" s="652"/>
      <c r="Q29" s="652"/>
      <c r="R29" s="652"/>
      <c r="S29" s="652"/>
      <c r="T29" s="954"/>
      <c r="U29" s="1566"/>
      <c r="V29" s="954"/>
      <c r="W29" s="954"/>
      <c r="X29" s="954"/>
      <c r="Y29" s="954"/>
      <c r="Z29" s="954"/>
      <c r="AA29" s="954"/>
    </row>
    <row r="30" spans="1:48">
      <c r="A30" s="830" t="s">
        <v>94</v>
      </c>
      <c r="B30" s="935" t="s">
        <v>15</v>
      </c>
      <c r="C30" s="1136">
        <v>3850</v>
      </c>
      <c r="D30" s="1566"/>
      <c r="E30" s="1136">
        <v>3939</v>
      </c>
      <c r="F30" s="652"/>
      <c r="G30" s="668">
        <f>+'Exhibit I State'!AD78</f>
        <v>3877.5</v>
      </c>
      <c r="H30" s="652"/>
      <c r="I30" s="652">
        <f>ROUND(SUM(G30)-SUM(C30),1)</f>
        <v>27.5</v>
      </c>
      <c r="J30" s="954"/>
      <c r="K30" s="1566">
        <f t="shared" ref="K30:K32" si="4">ROUND(SUM(G30)-SUM(E30),1)</f>
        <v>-61.5</v>
      </c>
      <c r="L30" s="965"/>
      <c r="M30" s="1136">
        <v>647</v>
      </c>
      <c r="N30" s="1566"/>
      <c r="O30" s="1136">
        <v>688</v>
      </c>
      <c r="P30" s="652"/>
      <c r="Q30" s="652">
        <f>+'Exhibit I Federal'!AD60</f>
        <v>726.9</v>
      </c>
      <c r="R30" s="652"/>
      <c r="S30" s="652">
        <f>ROUND(SUM(Q30)-SUM(M30),1)</f>
        <v>79.900000000000006</v>
      </c>
      <c r="T30" s="954"/>
      <c r="U30" s="1566">
        <f t="shared" ref="U30:U32" si="5">ROUND(SUM(Q30)-SUM(O30),1)</f>
        <v>38.9</v>
      </c>
      <c r="V30" s="954"/>
      <c r="W30" s="985"/>
      <c r="X30" s="954"/>
      <c r="Y30" s="985"/>
      <c r="Z30" s="954"/>
      <c r="AA30" s="954"/>
    </row>
    <row r="31" spans="1:48">
      <c r="A31" s="830" t="s">
        <v>42</v>
      </c>
      <c r="B31" s="935" t="s">
        <v>15</v>
      </c>
      <c r="C31" s="1136">
        <v>6874</v>
      </c>
      <c r="D31" s="1566"/>
      <c r="E31" s="1136">
        <v>5471</v>
      </c>
      <c r="F31" s="652"/>
      <c r="G31" s="668">
        <f>+'Exhibit I State'!AD83</f>
        <v>5426.6</v>
      </c>
      <c r="H31" s="652"/>
      <c r="I31" s="652">
        <f>ROUND(SUM(G31)-SUM(C31),1)</f>
        <v>-1447.4</v>
      </c>
      <c r="J31" s="954"/>
      <c r="K31" s="1566">
        <f t="shared" si="4"/>
        <v>-44.4</v>
      </c>
      <c r="L31" s="966"/>
      <c r="M31" s="1136">
        <v>1032</v>
      </c>
      <c r="N31" s="1566"/>
      <c r="O31" s="1136">
        <v>1033</v>
      </c>
      <c r="P31" s="652"/>
      <c r="Q31" s="652">
        <f>+'Exhibit I Federal'!AD65</f>
        <v>1026.5999999999999</v>
      </c>
      <c r="R31" s="652"/>
      <c r="S31" s="652">
        <f>ROUND(SUM(Q31)-SUM(M31),1)</f>
        <v>-5.4</v>
      </c>
      <c r="T31" s="954"/>
      <c r="U31" s="1566">
        <f t="shared" si="5"/>
        <v>-6.4</v>
      </c>
      <c r="V31" s="954"/>
      <c r="W31" s="985"/>
      <c r="X31" s="954"/>
      <c r="Y31" s="985"/>
      <c r="Z31" s="954"/>
      <c r="AA31" s="954"/>
    </row>
    <row r="32" spans="1:48">
      <c r="A32" s="830" t="s">
        <v>99</v>
      </c>
      <c r="B32" s="935" t="s">
        <v>15</v>
      </c>
      <c r="C32" s="1136">
        <v>761</v>
      </c>
      <c r="D32" s="1566"/>
      <c r="E32" s="1136">
        <v>740</v>
      </c>
      <c r="F32" s="652"/>
      <c r="G32" s="690">
        <f>-'Exhibit I State'!AD93</f>
        <v>806.9</v>
      </c>
      <c r="H32" s="652"/>
      <c r="I32" s="652">
        <f>ROUND(SUM(G32)-SUM(C32),1)</f>
        <v>45.9</v>
      </c>
      <c r="J32" s="954"/>
      <c r="K32" s="1566">
        <f t="shared" si="4"/>
        <v>66.900000000000006</v>
      </c>
      <c r="L32" s="965"/>
      <c r="M32" s="1136">
        <v>0</v>
      </c>
      <c r="N32" s="1566"/>
      <c r="O32" s="1136">
        <v>1</v>
      </c>
      <c r="P32" s="652"/>
      <c r="Q32" s="690">
        <f>-'Exhibit I Federal'!AD74</f>
        <v>278.10000000000002</v>
      </c>
      <c r="R32" s="652"/>
      <c r="S32" s="652">
        <f>ROUND(SUM(Q32)-SUM(M32),1)</f>
        <v>278.10000000000002</v>
      </c>
      <c r="T32" s="955"/>
      <c r="U32" s="1566">
        <f t="shared" si="5"/>
        <v>277.10000000000002</v>
      </c>
      <c r="V32" s="954"/>
      <c r="W32" s="985"/>
      <c r="X32" s="954"/>
      <c r="Y32" s="985"/>
      <c r="Z32" s="954"/>
      <c r="AA32" s="954"/>
    </row>
    <row r="33" spans="1:48" ht="18" customHeight="1">
      <c r="A33" s="173" t="s">
        <v>118</v>
      </c>
      <c r="B33" s="151" t="s">
        <v>15</v>
      </c>
      <c r="C33" s="1918">
        <f>ROUND(SUM(C30:C32),1)</f>
        <v>11485</v>
      </c>
      <c r="D33" s="933"/>
      <c r="E33" s="1918">
        <f>ROUND(SUM(E30:E32),1)</f>
        <v>10150</v>
      </c>
      <c r="F33" s="933"/>
      <c r="G33" s="215">
        <f>ROUND(SUM(G30:G32),1)</f>
        <v>10111</v>
      </c>
      <c r="H33" s="933"/>
      <c r="I33" s="215">
        <f>ROUND(SUM(I30:I32),1)</f>
        <v>-1374</v>
      </c>
      <c r="J33" s="76"/>
      <c r="K33" s="215">
        <f>ROUND(SUM(K30:K32),1)</f>
        <v>-39</v>
      </c>
      <c r="L33" s="967"/>
      <c r="M33" s="1917">
        <f>ROUND(SUM(M30:M32),1)</f>
        <v>1679</v>
      </c>
      <c r="N33" s="933"/>
      <c r="O33" s="1917">
        <f>ROUND(SUM(O30:O32),1)</f>
        <v>1722</v>
      </c>
      <c r="P33" s="933"/>
      <c r="Q33" s="215">
        <f>ROUND(SUM(Q30:Q32),1)</f>
        <v>2031.6</v>
      </c>
      <c r="R33" s="933"/>
      <c r="S33" s="215">
        <f>ROUND(SUM(S30:S32),1)</f>
        <v>352.6</v>
      </c>
      <c r="T33" s="76"/>
      <c r="U33" s="215">
        <f>ROUND(SUM(U30:U32),1)</f>
        <v>309.60000000000002</v>
      </c>
      <c r="V33" s="76"/>
      <c r="W33" s="76"/>
      <c r="X33" s="76"/>
      <c r="Y33" s="76"/>
      <c r="Z33" s="76"/>
      <c r="AA33" s="76"/>
    </row>
    <row r="34" spans="1:48">
      <c r="A34" s="699"/>
      <c r="B34" s="935" t="s">
        <v>15</v>
      </c>
      <c r="C34" s="1919"/>
      <c r="D34" s="1566"/>
      <c r="E34" s="1919"/>
      <c r="F34" s="652"/>
      <c r="G34" s="697"/>
      <c r="H34" s="652"/>
      <c r="I34" s="697"/>
      <c r="J34" s="954"/>
      <c r="K34" s="697"/>
      <c r="L34" s="965"/>
      <c r="M34" s="1915"/>
      <c r="N34" s="1566"/>
      <c r="O34" s="1915"/>
      <c r="P34" s="652"/>
      <c r="Q34" s="697"/>
      <c r="R34" s="652"/>
      <c r="S34" s="697"/>
      <c r="T34" s="954"/>
      <c r="U34" s="697"/>
      <c r="V34" s="954"/>
      <c r="W34" s="954"/>
      <c r="X34" s="954"/>
      <c r="Y34" s="954"/>
      <c r="Z34" s="954"/>
      <c r="AA34" s="954"/>
    </row>
    <row r="35" spans="1:48" ht="15.75">
      <c r="A35" s="29" t="s">
        <v>101</v>
      </c>
      <c r="B35" s="935"/>
      <c r="C35" s="906"/>
      <c r="D35" s="1566"/>
      <c r="E35" s="906"/>
      <c r="F35" s="652"/>
      <c r="G35" s="652"/>
      <c r="H35" s="652"/>
      <c r="I35" s="652"/>
      <c r="J35" s="954"/>
      <c r="K35" s="1566"/>
      <c r="L35" s="965"/>
      <c r="M35" s="1566"/>
      <c r="N35" s="1566"/>
      <c r="O35" s="1566"/>
      <c r="P35" s="652"/>
      <c r="Q35" s="652"/>
      <c r="R35" s="652"/>
      <c r="S35" s="652"/>
      <c r="T35" s="954"/>
      <c r="U35" s="1566"/>
      <c r="V35" s="954"/>
      <c r="W35" s="954"/>
      <c r="X35" s="954"/>
      <c r="Y35" s="954"/>
      <c r="Z35" s="954"/>
      <c r="AA35" s="954"/>
    </row>
    <row r="36" spans="1:48" ht="15.75">
      <c r="A36" s="29" t="s">
        <v>102</v>
      </c>
      <c r="B36" s="935"/>
      <c r="C36" s="906"/>
      <c r="D36" s="1566"/>
      <c r="E36" s="906"/>
      <c r="F36" s="652"/>
      <c r="G36" s="652"/>
      <c r="H36" s="652"/>
      <c r="I36" s="652"/>
      <c r="J36" s="954"/>
      <c r="K36" s="1566"/>
      <c r="L36" s="965"/>
      <c r="M36" s="1566"/>
      <c r="N36" s="1566"/>
      <c r="O36" s="1566"/>
      <c r="P36" s="652"/>
      <c r="Q36" s="652"/>
      <c r="R36" s="652"/>
      <c r="S36" s="652"/>
      <c r="T36" s="954"/>
      <c r="U36" s="1566"/>
      <c r="V36" s="954"/>
      <c r="W36" s="954"/>
      <c r="X36" s="954"/>
      <c r="Y36" s="954"/>
      <c r="Z36" s="954"/>
      <c r="AA36" s="954"/>
    </row>
    <row r="37" spans="1:48" ht="15.75">
      <c r="A37" s="173" t="s">
        <v>103</v>
      </c>
      <c r="B37" s="174" t="s">
        <v>15</v>
      </c>
      <c r="C37" s="115">
        <f>ROUND(SUM(C27)-SUM(C33),1)</f>
        <v>-1316</v>
      </c>
      <c r="D37" s="84"/>
      <c r="E37" s="115">
        <f>ROUND(SUM(E27)-SUM(E33),1)</f>
        <v>-6</v>
      </c>
      <c r="F37" s="84"/>
      <c r="G37" s="76">
        <f>ROUND(SUM(G27)-SUM(G33),1)</f>
        <v>133.1</v>
      </c>
      <c r="H37" s="84"/>
      <c r="I37" s="76">
        <f>ROUND(SUM(I27)-SUM(I33),1)</f>
        <v>1449.1</v>
      </c>
      <c r="J37" s="76"/>
      <c r="K37" s="1567">
        <f>ROUND(SUM(K27)-SUM(K33),1)</f>
        <v>139.1</v>
      </c>
      <c r="L37" s="967"/>
      <c r="M37" s="1567">
        <f>ROUND(SUM(M27)-SUM(M33),1)</f>
        <v>-155</v>
      </c>
      <c r="N37" s="84"/>
      <c r="O37" s="1567">
        <f>ROUND(SUM(O27)-SUM(O33),1)</f>
        <v>110</v>
      </c>
      <c r="P37" s="84"/>
      <c r="Q37" s="76">
        <f>ROUND(SUM(Q27)-SUM(Q33),1)</f>
        <v>-62.1</v>
      </c>
      <c r="R37" s="84"/>
      <c r="S37" s="76">
        <f>ROUND(SUM(S27)-SUM(S33),1)</f>
        <v>92.9</v>
      </c>
      <c r="T37" s="1567"/>
      <c r="U37" s="1567">
        <f t="shared" ref="U37" si="6">ROUND(SUM(U27)-SUM(U33),1)</f>
        <v>-172.1</v>
      </c>
      <c r="V37" s="399"/>
      <c r="W37" s="76"/>
      <c r="X37" s="399"/>
      <c r="Y37" s="76"/>
      <c r="Z37" s="399"/>
      <c r="AA37" s="76"/>
      <c r="AB37" s="631"/>
    </row>
    <row r="38" spans="1:48" ht="15.75">
      <c r="B38" s="631"/>
      <c r="C38" s="1516"/>
      <c r="D38" s="943"/>
      <c r="E38" s="1516"/>
      <c r="F38" s="943"/>
      <c r="G38" s="679"/>
      <c r="H38" s="943"/>
      <c r="I38" s="679"/>
      <c r="J38" s="679"/>
      <c r="K38" s="679"/>
      <c r="L38" s="967"/>
      <c r="M38" s="679"/>
      <c r="N38" s="943"/>
      <c r="O38" s="679"/>
      <c r="P38" s="943"/>
      <c r="Q38" s="679"/>
      <c r="R38" s="943"/>
      <c r="S38" s="679"/>
      <c r="T38" s="679"/>
      <c r="U38" s="933"/>
      <c r="V38" s="679"/>
      <c r="W38" s="679"/>
      <c r="X38" s="679"/>
      <c r="Y38" s="679"/>
      <c r="Z38" s="679"/>
      <c r="AA38" s="679"/>
    </row>
    <row r="39" spans="1:48" ht="15.75">
      <c r="A39" s="173" t="s">
        <v>104</v>
      </c>
      <c r="B39" s="945" t="s">
        <v>15</v>
      </c>
      <c r="C39" s="115">
        <v>-633</v>
      </c>
      <c r="D39" s="1691"/>
      <c r="E39" s="115">
        <v>-633</v>
      </c>
      <c r="F39" s="943"/>
      <c r="G39" s="115">
        <f>'Exhibit I State'!E14</f>
        <v>-633.20000000000005</v>
      </c>
      <c r="H39" s="943"/>
      <c r="I39" s="81">
        <f>ROUND(SUM(G39-C39),1)</f>
        <v>-0.2</v>
      </c>
      <c r="J39" s="81"/>
      <c r="K39" s="81">
        <f>ROUND(SUM(G39-E39),1)</f>
        <v>-0.2</v>
      </c>
      <c r="L39" s="967"/>
      <c r="M39" s="115">
        <v>-505</v>
      </c>
      <c r="N39" s="1691"/>
      <c r="O39" s="115">
        <v>-505</v>
      </c>
      <c r="P39" s="943"/>
      <c r="Q39" s="115">
        <f>'Exhibit I Federal'!E14</f>
        <v>-504.7</v>
      </c>
      <c r="R39" s="943"/>
      <c r="S39" s="81">
        <f>ROUND(SUM(Q39-M39),1)</f>
        <v>0.3</v>
      </c>
      <c r="T39" s="679"/>
      <c r="U39" s="81">
        <f>ROUND(SUM(Q39-O39),1)</f>
        <v>0.3</v>
      </c>
      <c r="V39" s="679"/>
      <c r="W39" s="76"/>
      <c r="X39" s="679"/>
      <c r="Y39" s="76"/>
      <c r="Z39" s="679"/>
      <c r="AA39" s="81"/>
      <c r="AB39" s="631"/>
      <c r="AC39" s="631"/>
      <c r="AD39" s="631"/>
      <c r="AE39" s="631"/>
      <c r="AF39" s="631"/>
      <c r="AG39" s="631"/>
      <c r="AH39" s="631"/>
      <c r="AI39" s="631"/>
      <c r="AJ39" s="631"/>
      <c r="AK39" s="631"/>
      <c r="AL39" s="631"/>
      <c r="AM39" s="631"/>
      <c r="AN39" s="631"/>
      <c r="AO39" s="631"/>
      <c r="AP39" s="631"/>
      <c r="AQ39" s="631"/>
      <c r="AR39" s="631"/>
      <c r="AS39" s="631"/>
      <c r="AT39" s="631"/>
      <c r="AU39" s="631"/>
      <c r="AV39" s="946"/>
    </row>
    <row r="40" spans="1:48" ht="16.5" thickBot="1">
      <c r="A40" s="1406" t="str">
        <f>+'Exh D-Governmental  '!A50</f>
        <v>Fund Balances (Deficits) at February 29, 2020</v>
      </c>
      <c r="B40" s="180" t="s">
        <v>15</v>
      </c>
      <c r="C40" s="98">
        <f>ROUND(SUM(C37:C39),1)</f>
        <v>-1949</v>
      </c>
      <c r="D40" s="181"/>
      <c r="E40" s="98">
        <f>ROUND(SUM(E37:E39),1)</f>
        <v>-639</v>
      </c>
      <c r="F40" s="181"/>
      <c r="G40" s="98">
        <f>ROUND(SUM(G37:G39),1)</f>
        <v>-500.1</v>
      </c>
      <c r="H40" s="181"/>
      <c r="I40" s="98">
        <f>ROUND(SUM(I37:I39),1)</f>
        <v>1448.9</v>
      </c>
      <c r="J40" s="219"/>
      <c r="K40" s="98">
        <f>ROUND(SUM(K37:K39),1)</f>
        <v>138.9</v>
      </c>
      <c r="L40" s="968"/>
      <c r="M40" s="98">
        <f>ROUND(SUM(M37:M39),1)</f>
        <v>-660</v>
      </c>
      <c r="N40" s="181"/>
      <c r="O40" s="98">
        <f>ROUND(SUM(O37:O39),1)</f>
        <v>-395</v>
      </c>
      <c r="P40" s="181"/>
      <c r="Q40" s="98">
        <f>ROUND(SUM(Q37:Q39),1)</f>
        <v>-566.79999999999995</v>
      </c>
      <c r="R40" s="181"/>
      <c r="S40" s="98">
        <f>ROUND(SUM(S37:S39),1)</f>
        <v>93.2</v>
      </c>
      <c r="T40" s="181"/>
      <c r="U40" s="98">
        <f>ROUND(SUM(U37:U39),1)</f>
        <v>-171.8</v>
      </c>
      <c r="V40" s="986"/>
      <c r="W40" s="219"/>
      <c r="X40" s="986"/>
      <c r="Y40" s="219"/>
      <c r="Z40" s="986"/>
      <c r="AA40" s="219"/>
      <c r="AB40" s="631"/>
      <c r="AC40" s="631"/>
      <c r="AD40" s="631"/>
      <c r="AE40" s="631"/>
      <c r="AF40" s="631"/>
      <c r="AG40" s="631"/>
      <c r="AH40" s="631"/>
      <c r="AI40" s="631"/>
      <c r="AJ40" s="631"/>
      <c r="AK40" s="631"/>
      <c r="AL40" s="631"/>
      <c r="AM40" s="631"/>
      <c r="AN40" s="631"/>
      <c r="AO40" s="631"/>
      <c r="AP40" s="631"/>
      <c r="AQ40" s="631"/>
      <c r="AR40" s="631"/>
      <c r="AS40" s="631"/>
      <c r="AT40" s="631"/>
      <c r="AU40" s="631"/>
      <c r="AV40" s="946"/>
    </row>
    <row r="41" spans="1:48" ht="15.75" thickTop="1">
      <c r="B41" s="631"/>
      <c r="L41" s="631"/>
      <c r="N41" s="946"/>
      <c r="P41" s="946"/>
      <c r="Q41" s="969"/>
      <c r="R41" s="946"/>
      <c r="S41" s="946"/>
      <c r="U41" s="946"/>
      <c r="W41" s="631"/>
      <c r="Y41" s="944"/>
    </row>
    <row r="42" spans="1:48">
      <c r="A42" s="947" t="str">
        <f>'Exh D-Governmental  '!A52</f>
        <v>(*)    Source: 2019-20 Enacted Financial Plan dated May 13, 2019.</v>
      </c>
      <c r="B42" s="631"/>
      <c r="S42" s="1440"/>
    </row>
    <row r="43" spans="1:48" s="1004" customFormat="1">
      <c r="A43" s="3840" t="str">
        <f>'Exh D Capital Projects'!A43</f>
        <v>(**)   Source: 2020-21 Executive Budget with 30-day amendments dated February 24, 2020.</v>
      </c>
      <c r="B43" s="1985"/>
      <c r="C43" s="433"/>
      <c r="D43" s="962"/>
      <c r="E43" s="433"/>
      <c r="F43" s="962"/>
      <c r="G43" s="962"/>
      <c r="H43" s="962"/>
      <c r="I43" s="962"/>
      <c r="J43" s="962"/>
      <c r="K43" s="1985"/>
      <c r="L43" s="433"/>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962"/>
    </row>
    <row r="44" spans="1:48">
      <c r="A44" s="1530"/>
      <c r="B44" s="631"/>
      <c r="Y44" s="958"/>
      <c r="Z44" s="935"/>
      <c r="AA44" s="958"/>
      <c r="AB44" s="666"/>
      <c r="AC44" s="970"/>
    </row>
    <row r="45" spans="1:48">
      <c r="A45" s="1530"/>
      <c r="B45" s="631"/>
    </row>
    <row r="46" spans="1:48">
      <c r="A46" s="1062"/>
      <c r="B46" s="631"/>
    </row>
    <row r="47" spans="1:48">
      <c r="A47" s="183"/>
      <c r="B47" s="631"/>
    </row>
    <row r="48" spans="1:48">
      <c r="B48" s="631"/>
    </row>
    <row r="49" spans="2:7">
      <c r="B49" s="631"/>
    </row>
    <row r="52" spans="2:7">
      <c r="G52" s="969"/>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1"/>
  <sheetViews>
    <sheetView showGridLines="0" zoomScale="80" workbookViewId="0"/>
  </sheetViews>
  <sheetFormatPr defaultColWidth="9.88671875" defaultRowHeight="12.75"/>
  <cols>
    <col min="1" max="1" width="32.109375" style="2905" customWidth="1"/>
    <col min="2" max="2" width="10.88671875" style="2905" customWidth="1"/>
    <col min="3" max="3" width="3.44140625" style="2905" customWidth="1"/>
    <col min="4" max="4" width="12.109375" style="2905" customWidth="1"/>
    <col min="5" max="5" width="1.88671875" style="2905" customWidth="1"/>
    <col min="6" max="6" width="17" style="2905" bestFit="1" customWidth="1"/>
    <col min="7" max="7" width="1.88671875" style="2905" customWidth="1"/>
    <col min="8" max="8" width="12.109375" style="2905" customWidth="1"/>
    <col min="9" max="9" width="1.88671875" style="2905" customWidth="1"/>
    <col min="10" max="10" width="12.109375" style="2905" customWidth="1"/>
    <col min="11" max="11" width="1.88671875" style="2905" customWidth="1"/>
    <col min="12" max="12" width="12.109375" style="2905" customWidth="1"/>
    <col min="13" max="13" width="1.88671875" style="2905" customWidth="1"/>
    <col min="14" max="14" width="13" style="2905" customWidth="1"/>
    <col min="15" max="15" width="1.88671875" style="2905" customWidth="1"/>
    <col min="16" max="16" width="12.109375" style="2905" customWidth="1"/>
    <col min="17" max="17" width="1.88671875" style="2905" customWidth="1"/>
    <col min="18" max="18" width="12.109375" style="2905" customWidth="1"/>
    <col min="19" max="19" width="1.88671875" style="2905" customWidth="1"/>
    <col min="20" max="20" width="1" style="2905" customWidth="1"/>
    <col min="21" max="21" width="1.88671875" style="2905" customWidth="1"/>
    <col min="22" max="22" width="12.109375" style="2905" customWidth="1"/>
    <col min="23" max="23" width="1.88671875" style="2905" customWidth="1"/>
    <col min="24" max="24" width="17" style="2905" bestFit="1" customWidth="1"/>
    <col min="25" max="25" width="1.88671875" style="2905" customWidth="1"/>
    <col min="26" max="26" width="1" style="2905" customWidth="1"/>
    <col min="27" max="27" width="1.88671875" style="2905" customWidth="1"/>
    <col min="28" max="28" width="12.109375" style="2931" customWidth="1"/>
    <col min="29" max="29" width="1.88671875" style="2931" customWidth="1"/>
    <col min="30" max="30" width="16.109375" style="2931" customWidth="1"/>
    <col min="31" max="31" width="1.5546875" style="2931" customWidth="1"/>
    <col min="32" max="32" width="0.44140625" style="2931" customWidth="1"/>
    <col min="33" max="33" width="1.5546875" style="2931" customWidth="1"/>
    <col min="34" max="34" width="14.5546875" style="2931" bestFit="1" customWidth="1"/>
    <col min="35" max="35" width="1.88671875" style="2905" customWidth="1"/>
    <col min="36" max="36" width="13.109375" style="2905" customWidth="1"/>
    <col min="37" max="37" width="2.109375" style="2905" customWidth="1"/>
    <col min="38" max="38" width="1.88671875" style="2905" customWidth="1"/>
    <col min="39" max="16384" width="9.88671875" style="2905"/>
  </cols>
  <sheetData>
    <row r="1" spans="1:38" s="2897" customFormat="1" ht="15">
      <c r="A1" s="2285" t="s">
        <v>979</v>
      </c>
      <c r="AB1" s="3236"/>
      <c r="AC1" s="3236"/>
      <c r="AD1" s="3236"/>
      <c r="AE1" s="3236"/>
      <c r="AF1" s="3236"/>
      <c r="AG1" s="3236"/>
      <c r="AH1" s="3236"/>
    </row>
    <row r="2" spans="1:38" s="2900" customFormat="1">
      <c r="A2" s="2898"/>
      <c r="B2" s="2899"/>
      <c r="C2" s="2899"/>
      <c r="D2" s="2897"/>
      <c r="E2" s="2899"/>
      <c r="F2" s="2899"/>
      <c r="G2" s="2899"/>
      <c r="H2" s="2899"/>
      <c r="I2" s="2899"/>
      <c r="J2" s="2899"/>
      <c r="K2" s="2899"/>
      <c r="L2" s="2899"/>
      <c r="M2" s="2899"/>
      <c r="N2" s="2899"/>
      <c r="O2" s="2899"/>
      <c r="P2" s="2899"/>
      <c r="Q2" s="2899"/>
      <c r="R2" s="2899"/>
      <c r="S2" s="2899"/>
      <c r="T2" s="2899"/>
      <c r="U2" s="2899"/>
      <c r="V2" s="2899"/>
      <c r="W2" s="2899"/>
      <c r="X2" s="2899"/>
      <c r="Y2" s="2899"/>
      <c r="Z2" s="2899"/>
      <c r="AA2" s="2899"/>
      <c r="AB2" s="3237"/>
      <c r="AC2" s="3237"/>
      <c r="AD2" s="3237"/>
      <c r="AE2" s="3237"/>
      <c r="AF2" s="3237"/>
      <c r="AG2" s="3237"/>
      <c r="AH2" s="3237"/>
    </row>
    <row r="3" spans="1:38" ht="18">
      <c r="A3" s="2901" t="s">
        <v>0</v>
      </c>
      <c r="B3" s="2902"/>
      <c r="C3" s="2902"/>
      <c r="D3" s="2897"/>
      <c r="E3" s="2902"/>
      <c r="F3" s="2902"/>
      <c r="G3" s="2902"/>
      <c r="H3" s="2902"/>
      <c r="I3" s="2902"/>
      <c r="J3" s="2902"/>
      <c r="K3" s="2902"/>
      <c r="L3" s="2903"/>
      <c r="M3" s="2903"/>
      <c r="N3" s="2903"/>
      <c r="O3" s="2903"/>
      <c r="P3" s="2902"/>
      <c r="Q3" s="2902"/>
      <c r="R3" s="2902"/>
      <c r="S3" s="2903"/>
      <c r="T3" s="2902"/>
      <c r="U3" s="2903"/>
      <c r="V3" s="2903"/>
      <c r="W3" s="2903"/>
      <c r="X3" s="2903"/>
      <c r="Y3" s="2903"/>
      <c r="Z3" s="2903"/>
      <c r="AA3" s="2903"/>
      <c r="AB3" s="3238"/>
      <c r="AC3" s="3238"/>
      <c r="AD3" s="3238"/>
      <c r="AE3" s="3238"/>
      <c r="AF3" s="3518"/>
      <c r="AG3" s="3518"/>
      <c r="AH3" s="2930"/>
      <c r="AI3" s="2904"/>
    </row>
    <row r="4" spans="1:38" ht="18">
      <c r="A4" s="2906" t="s">
        <v>1</v>
      </c>
      <c r="B4" s="2902"/>
      <c r="C4" s="2902"/>
      <c r="D4" s="2897"/>
      <c r="E4" s="2902"/>
      <c r="F4" s="2902"/>
      <c r="G4" s="2902"/>
      <c r="H4" s="2902"/>
      <c r="I4" s="2902"/>
      <c r="J4" s="2902"/>
      <c r="K4" s="2902"/>
      <c r="L4" s="2903"/>
      <c r="M4" s="2903"/>
      <c r="N4" s="2903"/>
      <c r="O4" s="2903"/>
      <c r="P4" s="2902"/>
      <c r="Q4" s="2902"/>
      <c r="R4" s="2902"/>
      <c r="S4" s="2903"/>
      <c r="T4" s="2902"/>
      <c r="U4" s="2903"/>
      <c r="V4" s="2903"/>
      <c r="W4" s="2903"/>
      <c r="X4" s="2903"/>
      <c r="Y4" s="2903"/>
      <c r="Z4" s="2903"/>
      <c r="AA4" s="2903"/>
      <c r="AB4" s="3238"/>
      <c r="AC4" s="3238"/>
      <c r="AD4" s="3238"/>
      <c r="AE4" s="3238"/>
      <c r="AF4" s="3518"/>
      <c r="AG4" s="3518"/>
      <c r="AH4" s="2930"/>
      <c r="AI4" s="2904"/>
    </row>
    <row r="5" spans="1:38" ht="18">
      <c r="A5" s="2901" t="s">
        <v>1629</v>
      </c>
      <c r="B5" s="2902"/>
      <c r="C5" s="2902"/>
      <c r="D5" s="2897"/>
      <c r="E5" s="2902"/>
      <c r="F5" s="2902"/>
      <c r="G5" s="2902"/>
      <c r="H5" s="2903"/>
      <c r="I5" s="2903"/>
      <c r="J5" s="2903"/>
      <c r="K5" s="2902"/>
      <c r="L5" s="2903"/>
      <c r="M5" s="2903"/>
      <c r="N5" s="2903"/>
      <c r="O5" s="2903"/>
      <c r="P5" s="2902"/>
      <c r="Q5" s="2902"/>
      <c r="R5" s="2902"/>
      <c r="S5" s="2903"/>
      <c r="T5" s="2902"/>
      <c r="U5" s="2903"/>
      <c r="V5" s="2903"/>
      <c r="W5" s="2903"/>
      <c r="X5" s="2903"/>
      <c r="Y5" s="2903"/>
      <c r="Z5" s="2903"/>
      <c r="AA5" s="2903"/>
      <c r="AB5" s="3238"/>
      <c r="AC5" s="3238"/>
      <c r="AD5" s="3238"/>
      <c r="AE5" s="3238"/>
      <c r="AF5" s="3518"/>
      <c r="AG5" s="3518"/>
      <c r="AH5" s="2930"/>
      <c r="AI5" s="2904"/>
    </row>
    <row r="6" spans="1:38" ht="18">
      <c r="A6" s="2901" t="s">
        <v>1416</v>
      </c>
      <c r="B6" s="2902"/>
      <c r="C6" s="2902"/>
      <c r="D6" s="2897"/>
      <c r="E6" s="2902"/>
      <c r="F6" s="2902"/>
      <c r="G6" s="2902"/>
      <c r="H6" s="2902"/>
      <c r="I6" s="2902"/>
      <c r="J6" s="2902"/>
      <c r="K6" s="2902"/>
      <c r="L6" s="2903"/>
      <c r="M6" s="2903"/>
      <c r="N6" s="2903"/>
      <c r="O6" s="2903"/>
      <c r="P6" s="2902"/>
      <c r="Q6" s="2902"/>
      <c r="R6" s="2902"/>
      <c r="S6" s="2903"/>
      <c r="T6" s="2902"/>
      <c r="U6" s="2903"/>
      <c r="V6" s="2903"/>
      <c r="W6" s="2903"/>
      <c r="X6" s="2903"/>
      <c r="Y6" s="2903"/>
      <c r="Z6" s="2903"/>
      <c r="AA6" s="2903"/>
      <c r="AB6" s="3238"/>
      <c r="AC6" s="3238"/>
      <c r="AD6" s="3238"/>
      <c r="AE6" s="3238"/>
      <c r="AF6" s="3518"/>
      <c r="AG6" s="3518"/>
      <c r="AH6" s="2930"/>
      <c r="AI6" s="2904"/>
    </row>
    <row r="7" spans="1:38" ht="18">
      <c r="A7" s="2902"/>
      <c r="B7" s="2902"/>
      <c r="C7" s="2902"/>
      <c r="D7" s="2897"/>
      <c r="E7" s="2902"/>
      <c r="F7" s="2902"/>
      <c r="G7" s="2902"/>
      <c r="H7" s="2902"/>
      <c r="I7" s="2902"/>
      <c r="J7" s="2902"/>
      <c r="K7" s="2902"/>
      <c r="L7" s="2903"/>
      <c r="M7" s="2903"/>
      <c r="N7" s="2903"/>
      <c r="O7" s="2903"/>
      <c r="P7" s="2903"/>
      <c r="Q7" s="2903"/>
      <c r="R7" s="2903"/>
      <c r="S7" s="2903"/>
      <c r="T7" s="2903"/>
      <c r="U7" s="2903"/>
      <c r="V7" s="2903"/>
      <c r="W7" s="2903"/>
      <c r="X7" s="2903"/>
      <c r="Y7" s="2903"/>
      <c r="Z7" s="2903"/>
      <c r="AA7" s="2903"/>
      <c r="AB7" s="3239"/>
      <c r="AC7" s="3239"/>
      <c r="AD7" s="3239"/>
      <c r="AE7" s="3239"/>
      <c r="AF7" s="3518"/>
      <c r="AG7" s="3518"/>
      <c r="AH7" s="2930"/>
      <c r="AI7" s="2904"/>
      <c r="AJ7" s="2907" t="s">
        <v>902</v>
      </c>
    </row>
    <row r="8" spans="1:38" ht="15.75">
      <c r="A8" s="2285"/>
      <c r="B8" s="2285"/>
      <c r="C8" s="2285"/>
      <c r="D8" s="2897"/>
      <c r="E8" s="2285"/>
      <c r="F8" s="2285"/>
      <c r="G8" s="2285"/>
      <c r="H8" s="2285"/>
      <c r="I8" s="2285"/>
      <c r="J8" s="2285"/>
      <c r="K8" s="2285"/>
      <c r="L8" s="2367"/>
      <c r="M8" s="2367"/>
      <c r="N8" s="2367"/>
      <c r="O8" s="2367"/>
      <c r="P8" s="2367"/>
      <c r="Q8" s="2367"/>
      <c r="R8" s="2367"/>
      <c r="S8" s="2367"/>
      <c r="T8" s="2367"/>
      <c r="U8" s="2367"/>
      <c r="V8" s="2367"/>
      <c r="W8" s="2367"/>
      <c r="X8" s="2367"/>
      <c r="Y8" s="2367"/>
      <c r="Z8" s="2367"/>
      <c r="AA8" s="2367"/>
      <c r="AB8" s="3195"/>
      <c r="AC8" s="3195"/>
      <c r="AD8" s="3195"/>
      <c r="AE8" s="3195"/>
      <c r="AF8" s="2386"/>
      <c r="AG8" s="2386"/>
      <c r="AH8" s="2930"/>
      <c r="AI8" s="2904"/>
    </row>
    <row r="9" spans="1:38" ht="15.75">
      <c r="A9" s="2285"/>
      <c r="B9" s="2285"/>
      <c r="C9" s="2285"/>
      <c r="D9" s="2897"/>
      <c r="E9" s="2367"/>
      <c r="F9" s="2367"/>
      <c r="G9" s="2367"/>
      <c r="H9" s="2367"/>
      <c r="I9" s="2367"/>
      <c r="J9" s="2367"/>
      <c r="K9" s="2367"/>
      <c r="L9" s="2367"/>
      <c r="M9" s="2367"/>
      <c r="N9" s="2367"/>
      <c r="O9" s="2367"/>
      <c r="P9" s="2367"/>
      <c r="Q9" s="2367"/>
      <c r="R9" s="2367"/>
      <c r="S9" s="2367"/>
      <c r="T9" s="2367"/>
      <c r="U9" s="2367"/>
      <c r="V9" s="2908"/>
      <c r="W9" s="2908"/>
      <c r="X9" s="2908"/>
      <c r="Y9" s="2908"/>
      <c r="Z9" s="2908"/>
      <c r="AA9" s="2908"/>
      <c r="AB9" s="3240"/>
      <c r="AC9" s="3240"/>
      <c r="AD9" s="3240"/>
      <c r="AE9" s="3240"/>
      <c r="AF9" s="3195"/>
      <c r="AG9" s="3195"/>
      <c r="AH9" s="3519"/>
      <c r="AI9" s="2909"/>
    </row>
    <row r="10" spans="1:38" ht="4.3499999999999996" customHeight="1">
      <c r="A10" s="2285"/>
      <c r="B10" s="2285"/>
      <c r="C10" s="2285"/>
      <c r="D10" s="2285"/>
      <c r="E10" s="2285"/>
      <c r="F10" s="2285"/>
      <c r="G10" s="2285"/>
      <c r="H10" s="2285"/>
      <c r="I10" s="2285"/>
      <c r="J10" s="2285"/>
      <c r="K10" s="2285"/>
      <c r="L10" s="2285"/>
      <c r="M10" s="2285"/>
      <c r="N10" s="2285"/>
      <c r="O10" s="2285"/>
      <c r="P10" s="2285"/>
      <c r="Q10" s="2285"/>
      <c r="R10" s="2285"/>
      <c r="S10" s="2285"/>
      <c r="T10" s="2308"/>
      <c r="U10" s="2308"/>
      <c r="V10" s="2285"/>
      <c r="W10" s="2285"/>
      <c r="X10" s="2285"/>
      <c r="Y10" s="2285"/>
      <c r="Z10" s="2285"/>
      <c r="AA10" s="2285"/>
      <c r="AB10" s="2386"/>
      <c r="AC10" s="2386"/>
      <c r="AD10" s="2386"/>
      <c r="AE10" s="2386"/>
      <c r="AF10" s="2386"/>
      <c r="AG10" s="2386"/>
      <c r="AH10" s="2930"/>
      <c r="AI10" s="2904"/>
    </row>
    <row r="11" spans="1:38" ht="15" customHeight="1">
      <c r="A11" s="2285"/>
      <c r="B11" s="2285"/>
      <c r="C11" s="2285"/>
      <c r="D11" s="2910" t="s">
        <v>3</v>
      </c>
      <c r="E11" s="2910"/>
      <c r="F11" s="2910"/>
      <c r="G11" s="2308"/>
      <c r="H11" s="2910" t="s">
        <v>57</v>
      </c>
      <c r="I11" s="2910"/>
      <c r="J11" s="2910"/>
      <c r="K11" s="2308"/>
      <c r="L11" s="2910" t="s">
        <v>5</v>
      </c>
      <c r="M11" s="2910"/>
      <c r="N11" s="2910"/>
      <c r="O11" s="2308"/>
      <c r="P11" s="2910" t="s">
        <v>121</v>
      </c>
      <c r="Q11" s="2910"/>
      <c r="R11" s="2910"/>
      <c r="S11" s="2285"/>
      <c r="T11" s="2308"/>
      <c r="U11" s="2308"/>
      <c r="V11" s="2911" t="s">
        <v>903</v>
      </c>
      <c r="W11" s="2910"/>
      <c r="X11" s="2910"/>
      <c r="Y11" s="2910"/>
      <c r="Z11" s="2912"/>
      <c r="AA11" s="2912"/>
      <c r="AB11" s="3644"/>
      <c r="AC11" s="3644"/>
      <c r="AD11" s="3644"/>
      <c r="AE11" s="3520"/>
      <c r="AF11" s="3521"/>
      <c r="AG11" s="3522"/>
      <c r="AH11" s="3523" t="s">
        <v>904</v>
      </c>
      <c r="AI11" s="2910"/>
      <c r="AJ11" s="2910"/>
    </row>
    <row r="12" spans="1:38" ht="15.75">
      <c r="A12" s="2285"/>
      <c r="B12" s="2285"/>
      <c r="C12" s="2285"/>
      <c r="D12" s="1535" t="s">
        <v>7</v>
      </c>
      <c r="E12" s="1535"/>
      <c r="F12" s="2913" t="str">
        <f>'Exhibit A'!F11</f>
        <v>11 MOS. ENDED</v>
      </c>
      <c r="G12" s="2383"/>
      <c r="H12" s="1535" t="s">
        <v>7</v>
      </c>
      <c r="I12" s="1536"/>
      <c r="J12" s="1535" t="str">
        <f>F12</f>
        <v>11 MOS. ENDED</v>
      </c>
      <c r="K12" s="2383"/>
      <c r="L12" s="1535" t="s">
        <v>7</v>
      </c>
      <c r="M12" s="1536"/>
      <c r="N12" s="1535" t="str">
        <f>F12</f>
        <v>11 MOS. ENDED</v>
      </c>
      <c r="O12" s="2383"/>
      <c r="P12" s="1535" t="s">
        <v>7</v>
      </c>
      <c r="Q12" s="1536"/>
      <c r="R12" s="1535" t="str">
        <f>F12</f>
        <v>11 MOS. ENDED</v>
      </c>
      <c r="S12" s="2367"/>
      <c r="T12" s="2383"/>
      <c r="U12" s="2383"/>
      <c r="V12" s="1535" t="s">
        <v>7</v>
      </c>
      <c r="W12" s="1535"/>
      <c r="X12" s="1535" t="str">
        <f>F12</f>
        <v>11 MOS. ENDED</v>
      </c>
      <c r="Y12" s="1535"/>
      <c r="Z12" s="1537"/>
      <c r="AA12" s="1537"/>
      <c r="AB12" s="3645" t="s">
        <v>7</v>
      </c>
      <c r="AC12" s="3645"/>
      <c r="AD12" s="3645" t="str">
        <f>F12</f>
        <v>11 MOS. ENDED</v>
      </c>
      <c r="AE12" s="3524"/>
      <c r="AF12" s="3524"/>
      <c r="AG12" s="3525"/>
      <c r="AH12" s="3526" t="s">
        <v>8</v>
      </c>
      <c r="AI12" s="1536"/>
      <c r="AJ12" s="2913" t="s">
        <v>9</v>
      </c>
      <c r="AK12" s="2914"/>
      <c r="AL12" s="2904"/>
    </row>
    <row r="13" spans="1:38" ht="15.75">
      <c r="A13" s="2285"/>
      <c r="B13" s="2285"/>
      <c r="C13" s="2285"/>
      <c r="D13" s="1538" t="str">
        <f>'Exhibit A'!D12</f>
        <v>FEB. 2020</v>
      </c>
      <c r="E13" s="1541"/>
      <c r="F13" s="1538" t="str">
        <f>'Exhibit A'!F12</f>
        <v>FEB. 29, 2020</v>
      </c>
      <c r="G13" s="2367"/>
      <c r="H13" s="1538" t="str">
        <f>D13</f>
        <v>FEB. 2020</v>
      </c>
      <c r="I13" s="1541"/>
      <c r="J13" s="1538" t="str">
        <f>F13</f>
        <v>FEB. 29, 2020</v>
      </c>
      <c r="K13" s="2367"/>
      <c r="L13" s="1538" t="str">
        <f>D13</f>
        <v>FEB. 2020</v>
      </c>
      <c r="M13" s="1541"/>
      <c r="N13" s="1538" t="str">
        <f>F13</f>
        <v>FEB. 29, 2020</v>
      </c>
      <c r="O13" s="2367"/>
      <c r="P13" s="1538" t="str">
        <f>D13</f>
        <v>FEB. 2020</v>
      </c>
      <c r="Q13" s="1541"/>
      <c r="R13" s="1538" t="str">
        <f>F13</f>
        <v>FEB. 29, 2020</v>
      </c>
      <c r="S13" s="2367"/>
      <c r="T13" s="2383"/>
      <c r="U13" s="2383"/>
      <c r="V13" s="1539" t="str">
        <f>D13</f>
        <v>FEB. 2020</v>
      </c>
      <c r="W13" s="1540"/>
      <c r="X13" s="1539" t="str">
        <f>F13</f>
        <v>FEB. 29, 2020</v>
      </c>
      <c r="Y13" s="1540"/>
      <c r="Z13" s="2915"/>
      <c r="AA13" s="2915"/>
      <c r="AB13" s="3646" t="str">
        <f>'Exhibit A'!AB12</f>
        <v>FEB. 2019</v>
      </c>
      <c r="AC13" s="3241"/>
      <c r="AD13" s="3646" t="str">
        <f>'Exhibit A'!AD12</f>
        <v>FEB. 28, 2019</v>
      </c>
      <c r="AE13" s="3241"/>
      <c r="AF13" s="3527"/>
      <c r="AG13" s="3528"/>
      <c r="AH13" s="3529" t="s">
        <v>12</v>
      </c>
      <c r="AI13" s="1541"/>
      <c r="AJ13" s="1538" t="s">
        <v>13</v>
      </c>
      <c r="AK13" s="2914"/>
      <c r="AL13" s="2916"/>
    </row>
    <row r="14" spans="1:38" ht="15">
      <c r="A14" s="2285"/>
      <c r="B14" s="2285"/>
      <c r="C14" s="2285"/>
      <c r="D14" s="2308"/>
      <c r="E14" s="2308"/>
      <c r="F14" s="2308"/>
      <c r="G14" s="2285"/>
      <c r="H14" s="2308"/>
      <c r="I14" s="2308"/>
      <c r="J14" s="2308"/>
      <c r="K14" s="2285"/>
      <c r="L14" s="2308"/>
      <c r="M14" s="2308"/>
      <c r="N14" s="2308"/>
      <c r="O14" s="2285"/>
      <c r="P14" s="2308"/>
      <c r="Q14" s="2308"/>
      <c r="R14" s="2308"/>
      <c r="S14" s="2285"/>
      <c r="T14" s="2917"/>
      <c r="U14" s="2917"/>
      <c r="V14" s="2918"/>
      <c r="W14" s="2308"/>
      <c r="X14" s="2918"/>
      <c r="Y14" s="2308"/>
      <c r="Z14" s="2919"/>
      <c r="AA14" s="2308"/>
      <c r="AB14" s="3647"/>
      <c r="AC14" s="3242"/>
      <c r="AD14" s="3647"/>
      <c r="AE14" s="3242"/>
      <c r="AF14" s="3698"/>
      <c r="AG14" s="3242"/>
      <c r="AH14" s="3242"/>
      <c r="AI14" s="2308"/>
      <c r="AJ14" s="2920"/>
      <c r="AK14" s="2904"/>
      <c r="AL14" s="2904"/>
    </row>
    <row r="15" spans="1:38" ht="18" customHeight="1">
      <c r="A15" s="2921" t="s">
        <v>1191</v>
      </c>
      <c r="B15" s="2922"/>
      <c r="C15" s="2922"/>
      <c r="D15" s="2285"/>
      <c r="E15" s="2285"/>
      <c r="F15" s="2285"/>
      <c r="G15" s="2285"/>
      <c r="H15" s="2285"/>
      <c r="I15" s="2285"/>
      <c r="J15" s="2285"/>
      <c r="K15" s="2285"/>
      <c r="L15" s="2285"/>
      <c r="M15" s="2285"/>
      <c r="N15" s="2285"/>
      <c r="O15" s="2285"/>
      <c r="P15" s="2285"/>
      <c r="Q15" s="2285"/>
      <c r="R15" s="2285"/>
      <c r="S15" s="2285"/>
      <c r="T15" s="2917"/>
      <c r="U15" s="2917"/>
      <c r="V15" s="2285"/>
      <c r="W15" s="2285"/>
      <c r="X15" s="2285"/>
      <c r="Y15" s="2285"/>
      <c r="Z15" s="2919"/>
      <c r="AA15" s="2308"/>
      <c r="AB15" s="2386"/>
      <c r="AC15" s="2386"/>
      <c r="AD15" s="2386"/>
      <c r="AE15" s="2386"/>
      <c r="AF15" s="3698"/>
      <c r="AG15" s="2386"/>
      <c r="AH15" s="2386"/>
      <c r="AI15" s="2285"/>
      <c r="AJ15" s="2920"/>
      <c r="AK15" s="2904"/>
      <c r="AL15" s="2904"/>
    </row>
    <row r="16" spans="1:38" s="2931" customFormat="1" ht="18" customHeight="1">
      <c r="A16" s="2923" t="s">
        <v>905</v>
      </c>
      <c r="B16" s="2923"/>
      <c r="C16" s="2924"/>
      <c r="D16" s="1829">
        <f>'Exhibit F'!X17</f>
        <v>4686.5999999999967</v>
      </c>
      <c r="E16" s="2925"/>
      <c r="F16" s="1829">
        <f>'Exhibit F'!AC17</f>
        <v>38569</v>
      </c>
      <c r="G16" s="2925"/>
      <c r="H16" s="1840">
        <v>0</v>
      </c>
      <c r="I16" s="2925"/>
      <c r="J16" s="1840">
        <v>0</v>
      </c>
      <c r="K16" s="2925"/>
      <c r="L16" s="1840">
        <v>0</v>
      </c>
      <c r="M16" s="2925"/>
      <c r="N16" s="1840">
        <v>0</v>
      </c>
      <c r="O16" s="2925"/>
      <c r="P16" s="1840">
        <v>0</v>
      </c>
      <c r="Q16" s="2925"/>
      <c r="R16" s="1840">
        <v>0</v>
      </c>
      <c r="S16" s="1829"/>
      <c r="T16" s="2926"/>
      <c r="U16" s="2927"/>
      <c r="V16" s="1871">
        <f t="shared" ref="V16:V20" si="0">SUM(D16)+SUM(H16)+SUM(L16)+SUM(P16)</f>
        <v>4686.5999999999967</v>
      </c>
      <c r="W16" s="2925"/>
      <c r="X16" s="1871">
        <f>SUM(F16)+SUM(J16)+SUM(N16)+SUM(R16)</f>
        <v>38569</v>
      </c>
      <c r="Y16" s="2928"/>
      <c r="Z16" s="2929"/>
      <c r="AA16" s="2925"/>
      <c r="AB16" s="3648">
        <v>4355</v>
      </c>
      <c r="AC16" s="2925"/>
      <c r="AD16" s="1871">
        <f>'Cashflow Governmental'!AE21</f>
        <v>36762.199999999997</v>
      </c>
      <c r="AE16" s="1871"/>
      <c r="AF16" s="3698"/>
      <c r="AG16" s="2928"/>
      <c r="AH16" s="1871">
        <f>ROUND(SUM(X16)-SUM(AD16),1)</f>
        <v>1806.8</v>
      </c>
      <c r="AI16" s="2458"/>
      <c r="AJ16" s="1872">
        <f>ROUND(AH16/AD16,3)</f>
        <v>4.9000000000000002E-2</v>
      </c>
      <c r="AK16" s="1873"/>
      <c r="AL16" s="2930"/>
    </row>
    <row r="17" spans="1:38" s="2931" customFormat="1" ht="18" customHeight="1">
      <c r="A17" s="2932" t="s">
        <v>976</v>
      </c>
      <c r="B17" s="2923"/>
      <c r="C17" s="2933"/>
      <c r="D17" s="630">
        <f>'Exhibit F'!X18</f>
        <v>101.79999999999927</v>
      </c>
      <c r="E17" s="630"/>
      <c r="F17" s="630">
        <f>'Exhibit F'!AC18</f>
        <v>16899.8</v>
      </c>
      <c r="G17" s="630"/>
      <c r="H17" s="1831">
        <v>0</v>
      </c>
      <c r="I17" s="1833"/>
      <c r="J17" s="1832">
        <v>0</v>
      </c>
      <c r="K17" s="630"/>
      <c r="L17" s="1831">
        <v>0</v>
      </c>
      <c r="M17" s="1833"/>
      <c r="N17" s="1832">
        <v>0</v>
      </c>
      <c r="O17" s="630"/>
      <c r="P17" s="1831">
        <v>0</v>
      </c>
      <c r="Q17" s="1833"/>
      <c r="R17" s="1832">
        <v>0</v>
      </c>
      <c r="S17" s="630"/>
      <c r="T17" s="2934"/>
      <c r="U17" s="2934"/>
      <c r="V17" s="1833">
        <f t="shared" si="0"/>
        <v>101.79999999999927</v>
      </c>
      <c r="W17" s="1447"/>
      <c r="X17" s="1833">
        <f t="shared" ref="X17:X24" si="1">SUM(F17)+SUM(J17)+SUM(N17)+SUM(R17)</f>
        <v>16899.8</v>
      </c>
      <c r="Y17" s="2935"/>
      <c r="Z17" s="2936"/>
      <c r="AA17" s="1447"/>
      <c r="AB17" s="1830">
        <v>101.8</v>
      </c>
      <c r="AC17" s="630"/>
      <c r="AD17" s="1833">
        <f>'Cashflow Governmental'!AE22</f>
        <v>13886.4</v>
      </c>
      <c r="AE17" s="1833"/>
      <c r="AF17" s="3698"/>
      <c r="AG17" s="2935"/>
      <c r="AH17" s="1833">
        <f>ROUND(SUM(X17)-SUM(AD17),1)</f>
        <v>3013.4</v>
      </c>
      <c r="AI17" s="2937"/>
      <c r="AJ17" s="1873">
        <f>ROUND(AH17/AD17,3)</f>
        <v>0.217</v>
      </c>
      <c r="AK17" s="1873"/>
      <c r="AL17" s="2930"/>
    </row>
    <row r="18" spans="1:38" s="2931" customFormat="1" ht="18" customHeight="1">
      <c r="A18" s="2923" t="s">
        <v>906</v>
      </c>
      <c r="B18" s="2923" t="s">
        <v>15</v>
      </c>
      <c r="C18" s="2923"/>
      <c r="D18" s="630">
        <f>'Exhibit F'!X19</f>
        <v>63.300000000000182</v>
      </c>
      <c r="E18" s="630"/>
      <c r="F18" s="630">
        <f>'Exhibit F'!AC19</f>
        <v>3287.8</v>
      </c>
      <c r="G18" s="630"/>
      <c r="H18" s="1831">
        <v>0</v>
      </c>
      <c r="I18" s="1833"/>
      <c r="J18" s="1832">
        <v>0</v>
      </c>
      <c r="K18" s="630"/>
      <c r="L18" s="1831">
        <v>0</v>
      </c>
      <c r="M18" s="1833"/>
      <c r="N18" s="1832">
        <v>0</v>
      </c>
      <c r="O18" s="630"/>
      <c r="P18" s="1831">
        <v>0</v>
      </c>
      <c r="Q18" s="1833"/>
      <c r="R18" s="1832">
        <v>0</v>
      </c>
      <c r="S18" s="630"/>
      <c r="T18" s="2934"/>
      <c r="U18" s="2934"/>
      <c r="V18" s="1833">
        <f t="shared" si="0"/>
        <v>63.300000000000182</v>
      </c>
      <c r="W18" s="1447"/>
      <c r="X18" s="1833">
        <f t="shared" si="1"/>
        <v>3287.8</v>
      </c>
      <c r="Y18" s="2935"/>
      <c r="Z18" s="2936"/>
      <c r="AA18" s="1447"/>
      <c r="AB18" s="1830">
        <v>86.3</v>
      </c>
      <c r="AC18" s="630"/>
      <c r="AD18" s="1833">
        <f>'Cashflow Governmental'!AE23</f>
        <v>2525.1999999999998</v>
      </c>
      <c r="AE18" s="1833"/>
      <c r="AF18" s="3698"/>
      <c r="AG18" s="2935"/>
      <c r="AH18" s="1833">
        <f>ROUND(SUM(X18)-SUM(AD18),1)</f>
        <v>762.6</v>
      </c>
      <c r="AI18" s="2937"/>
      <c r="AJ18" s="1873">
        <f>ROUND(AH18/AD18,3)</f>
        <v>0.30199999999999999</v>
      </c>
      <c r="AK18" s="1873"/>
      <c r="AL18" s="2930"/>
    </row>
    <row r="19" spans="1:38" s="2931" customFormat="1" ht="18" customHeight="1">
      <c r="A19" s="2932" t="s">
        <v>907</v>
      </c>
      <c r="B19" s="2923"/>
      <c r="C19" s="2923"/>
      <c r="D19" s="630">
        <f>'Exhibit F'!X20</f>
        <v>-40.700000000000045</v>
      </c>
      <c r="E19" s="630"/>
      <c r="F19" s="630">
        <f>'Exhibit F'!AC20</f>
        <v>-1045.9000000000001</v>
      </c>
      <c r="G19" s="630"/>
      <c r="H19" s="1831">
        <v>0</v>
      </c>
      <c r="I19" s="1833"/>
      <c r="J19" s="1832">
        <v>0</v>
      </c>
      <c r="K19" s="630"/>
      <c r="L19" s="1831">
        <v>0</v>
      </c>
      <c r="M19" s="1833"/>
      <c r="N19" s="1832">
        <v>0</v>
      </c>
      <c r="O19" s="630"/>
      <c r="P19" s="1831">
        <v>0</v>
      </c>
      <c r="Q19" s="1833"/>
      <c r="R19" s="1832">
        <v>0</v>
      </c>
      <c r="S19" s="630"/>
      <c r="T19" s="2934"/>
      <c r="U19" s="2934"/>
      <c r="V19" s="1833">
        <f t="shared" si="0"/>
        <v>-40.700000000000045</v>
      </c>
      <c r="W19" s="1447"/>
      <c r="X19" s="1833">
        <f t="shared" si="1"/>
        <v>-1045.9000000000001</v>
      </c>
      <c r="Y19" s="2935"/>
      <c r="Z19" s="2936"/>
      <c r="AA19" s="1447"/>
      <c r="AB19" s="1830">
        <v>-39.4</v>
      </c>
      <c r="AC19" s="630"/>
      <c r="AD19" s="1833">
        <f>'Cashflow Governmental'!AE24</f>
        <v>-1064.5</v>
      </c>
      <c r="AE19" s="1833"/>
      <c r="AF19" s="3698"/>
      <c r="AG19" s="2935"/>
      <c r="AH19" s="1833">
        <f>-ROUND(SUM(X19)-SUM(AD19),1)</f>
        <v>-18.600000000000001</v>
      </c>
      <c r="AI19" s="2937"/>
      <c r="AJ19" s="1873">
        <f>-ROUND(AH19/AD19,3)</f>
        <v>-1.7000000000000001E-2</v>
      </c>
      <c r="AK19" s="1873"/>
      <c r="AL19" s="2930"/>
    </row>
    <row r="20" spans="1:38" s="2931" customFormat="1" ht="18" customHeight="1">
      <c r="A20" s="2932" t="s">
        <v>908</v>
      </c>
      <c r="B20" s="2923" t="s">
        <v>15</v>
      </c>
      <c r="C20" s="2923"/>
      <c r="D20" s="630">
        <f>'Exhibit F'!X21</f>
        <v>116.59999999999991</v>
      </c>
      <c r="E20" s="630"/>
      <c r="F20" s="630">
        <f>'Exhibit F'!AC21</f>
        <v>1212.7</v>
      </c>
      <c r="G20" s="630"/>
      <c r="H20" s="1831">
        <v>0</v>
      </c>
      <c r="I20" s="1833"/>
      <c r="J20" s="1832">
        <v>0</v>
      </c>
      <c r="K20" s="630"/>
      <c r="L20" s="1831">
        <v>0</v>
      </c>
      <c r="M20" s="1833"/>
      <c r="N20" s="1832">
        <v>0</v>
      </c>
      <c r="O20" s="630"/>
      <c r="P20" s="1831">
        <v>0</v>
      </c>
      <c r="Q20" s="1833"/>
      <c r="R20" s="1832">
        <v>0</v>
      </c>
      <c r="S20" s="630"/>
      <c r="T20" s="2934"/>
      <c r="U20" s="2934"/>
      <c r="V20" s="1833">
        <f t="shared" si="0"/>
        <v>116.59999999999991</v>
      </c>
      <c r="W20" s="1447"/>
      <c r="X20" s="1833">
        <f t="shared" si="1"/>
        <v>1212.7</v>
      </c>
      <c r="Y20" s="2935"/>
      <c r="Z20" s="2936"/>
      <c r="AA20" s="1447"/>
      <c r="AB20" s="1830">
        <v>126.5</v>
      </c>
      <c r="AC20" s="630"/>
      <c r="AD20" s="1833">
        <f>'Cashflow Governmental'!AE25</f>
        <v>1181.5999999999999</v>
      </c>
      <c r="AE20" s="1833"/>
      <c r="AF20" s="3698"/>
      <c r="AG20" s="2935"/>
      <c r="AH20" s="1833">
        <f>ROUND(SUM(X20)-SUM(AD20),1)</f>
        <v>31.1</v>
      </c>
      <c r="AI20" s="2937"/>
      <c r="AJ20" s="3672">
        <f>ROUND(AH20/AD20,3)</f>
        <v>2.5999999999999999E-2</v>
      </c>
      <c r="AK20" s="1873"/>
      <c r="AL20" s="2930"/>
    </row>
    <row r="21" spans="1:38" s="2946" customFormat="1" ht="18" customHeight="1">
      <c r="A21" s="2938" t="s">
        <v>909</v>
      </c>
      <c r="B21" s="2938"/>
      <c r="C21" s="2938"/>
      <c r="D21" s="1841">
        <f>ROUND(SUM(D16:D20),1)</f>
        <v>4927.6000000000004</v>
      </c>
      <c r="E21" s="1508"/>
      <c r="F21" s="1841">
        <f>ROUND(SUM(F16:F20),1)</f>
        <v>58923.4</v>
      </c>
      <c r="G21" s="23"/>
      <c r="H21" s="1841">
        <f>ROUND(SUM(H16:H20),1)</f>
        <v>0</v>
      </c>
      <c r="I21" s="2939"/>
      <c r="J21" s="1841">
        <f>ROUND(SUM(J16:J20),1)</f>
        <v>0</v>
      </c>
      <c r="K21" s="23"/>
      <c r="L21" s="1841">
        <f>ROUND(SUM(L16:L20),1)</f>
        <v>0</v>
      </c>
      <c r="M21" s="2939"/>
      <c r="N21" s="1841">
        <f>ROUND(SUM(N16:N20),1)</f>
        <v>0</v>
      </c>
      <c r="O21" s="23"/>
      <c r="P21" s="1841">
        <f>ROUND(SUM(P16:P20),1)</f>
        <v>0</v>
      </c>
      <c r="Q21" s="2939"/>
      <c r="R21" s="1841">
        <f>ROUND(SUM(R16:R20),1)</f>
        <v>0</v>
      </c>
      <c r="S21" s="23"/>
      <c r="T21" s="2940"/>
      <c r="U21" s="2940"/>
      <c r="V21" s="2941">
        <f>ROUND(SUM(V16:V20),1)</f>
        <v>4927.6000000000004</v>
      </c>
      <c r="W21" s="1508"/>
      <c r="X21" s="2941">
        <f>ROUND(SUM(X16:X20),1)</f>
        <v>58923.4</v>
      </c>
      <c r="Y21" s="2942"/>
      <c r="Z21" s="2365"/>
      <c r="AA21" s="1508"/>
      <c r="AB21" s="1488">
        <f>ROUND(SUM(AB16:AB20),1)</f>
        <v>4630.2</v>
      </c>
      <c r="AC21" s="23"/>
      <c r="AD21" s="3653">
        <f>ROUND(SUM(AD16:AD20),1)</f>
        <v>53290.9</v>
      </c>
      <c r="AE21" s="2939"/>
      <c r="AF21" s="3698"/>
      <c r="AG21" s="2942"/>
      <c r="AH21" s="3723">
        <f>ROUND(SUM(X21)-SUM(AD21),1)</f>
        <v>5632.5</v>
      </c>
      <c r="AI21" s="2943"/>
      <c r="AJ21" s="3674">
        <f>ROUND(AH21/AD21,3)</f>
        <v>0.106</v>
      </c>
      <c r="AK21" s="2944"/>
      <c r="AL21" s="2945"/>
    </row>
    <row r="22" spans="1:38" s="2931" customFormat="1" ht="18" customHeight="1">
      <c r="A22" s="2932" t="s">
        <v>910</v>
      </c>
      <c r="B22" s="2923"/>
      <c r="C22" s="2923"/>
      <c r="D22" s="1830">
        <f>'Exhibit F'!X23</f>
        <v>0</v>
      </c>
      <c r="E22" s="1833"/>
      <c r="F22" s="1830">
        <f>'Exhibit F'!AC23</f>
        <v>-2149.1</v>
      </c>
      <c r="G22" s="630"/>
      <c r="H22" s="630">
        <f>'Exhibit G'!X17</f>
        <v>0</v>
      </c>
      <c r="I22" s="1833"/>
      <c r="J22" s="1846">
        <f>'Exhibit G'!AD17</f>
        <v>2149.1</v>
      </c>
      <c r="K22" s="630"/>
      <c r="L22" s="1842">
        <v>0</v>
      </c>
      <c r="M22" s="1833"/>
      <c r="N22" s="1842">
        <v>0</v>
      </c>
      <c r="O22" s="630"/>
      <c r="P22" s="1842">
        <v>0</v>
      </c>
      <c r="Q22" s="1833"/>
      <c r="R22" s="1842">
        <v>0</v>
      </c>
      <c r="S22" s="630"/>
      <c r="T22" s="2934"/>
      <c r="U22" s="2934"/>
      <c r="V22" s="2947">
        <f>SUM(D22)+SUM(H22)+SUM(L22)+SUM(P22)</f>
        <v>0</v>
      </c>
      <c r="W22" s="1447"/>
      <c r="X22" s="2947">
        <f t="shared" si="1"/>
        <v>0</v>
      </c>
      <c r="Y22" s="2935"/>
      <c r="Z22" s="2936"/>
      <c r="AA22" s="1447"/>
      <c r="AB22" s="1830">
        <v>0</v>
      </c>
      <c r="AC22" s="1447"/>
      <c r="AD22" s="1833">
        <f>'Cashflow Governmental'!AE27</f>
        <v>0</v>
      </c>
      <c r="AE22" s="1831"/>
      <c r="AF22" s="3698"/>
      <c r="AG22" s="2935"/>
      <c r="AH22" s="1832">
        <f>ROUND(SUM(X22)-SUM(AD22),1)</f>
        <v>0</v>
      </c>
      <c r="AI22" s="2937"/>
      <c r="AJ22" s="1765">
        <f>ROUND(IF(AD22=0,0,AH22/(AD22)),3)</f>
        <v>0</v>
      </c>
      <c r="AK22" s="2948"/>
      <c r="AL22" s="2930"/>
    </row>
    <row r="23" spans="1:38" s="2931" customFormat="1" ht="18" customHeight="1">
      <c r="A23" s="2932" t="s">
        <v>911</v>
      </c>
      <c r="B23" s="2923"/>
      <c r="C23" s="2923"/>
      <c r="D23" s="1830">
        <f>'Exhibit F'!X24</f>
        <v>-1848.3999999999987</v>
      </c>
      <c r="E23" s="630"/>
      <c r="F23" s="1830">
        <f>'Exhibit F'!AC24</f>
        <v>-24956.6</v>
      </c>
      <c r="G23" s="630"/>
      <c r="H23" s="1831">
        <v>0</v>
      </c>
      <c r="I23" s="1833"/>
      <c r="J23" s="1832">
        <v>0</v>
      </c>
      <c r="K23" s="630"/>
      <c r="L23" s="1833">
        <f>'Exhibit H'!V16</f>
        <v>1848.3999999999987</v>
      </c>
      <c r="M23" s="1833"/>
      <c r="N23" s="1833">
        <f>'Exhibit H'!AA16</f>
        <v>24956.6</v>
      </c>
      <c r="O23" s="630"/>
      <c r="P23" s="1831">
        <v>0</v>
      </c>
      <c r="Q23" s="1833"/>
      <c r="R23" s="1832">
        <v>0</v>
      </c>
      <c r="S23" s="630"/>
      <c r="T23" s="2934"/>
      <c r="U23" s="2934"/>
      <c r="V23" s="1833">
        <f>ROUND(SUM(D23)+SUM(H23)+SUM(L23)+SUM(P23),1)</f>
        <v>0</v>
      </c>
      <c r="W23" s="1447"/>
      <c r="X23" s="1833">
        <f t="shared" si="1"/>
        <v>0</v>
      </c>
      <c r="Y23" s="2935"/>
      <c r="Z23" s="2936"/>
      <c r="AA23" s="1447"/>
      <c r="AB23" s="1830">
        <v>0</v>
      </c>
      <c r="AC23" s="1447"/>
      <c r="AD23" s="1833">
        <f>'Cashflow Governmental'!AE28</f>
        <v>0</v>
      </c>
      <c r="AE23" s="1831"/>
      <c r="AF23" s="3698"/>
      <c r="AG23" s="2935"/>
      <c r="AH23" s="1832">
        <f>ROUND(SUM(X23)-SUM(AD23),1)</f>
        <v>0</v>
      </c>
      <c r="AI23" s="2937"/>
      <c r="AJ23" s="1765">
        <f>ROUND(IF(AD23=0,0,AH23/(AD23)),3)</f>
        <v>0</v>
      </c>
      <c r="AK23" s="2948"/>
      <c r="AL23" s="2930"/>
    </row>
    <row r="24" spans="1:38" s="2931" customFormat="1" ht="18" customHeight="1">
      <c r="A24" s="2923" t="s">
        <v>912</v>
      </c>
      <c r="B24" s="2923"/>
      <c r="C24" s="2923"/>
      <c r="D24" s="1830">
        <f>'Exhibit F'!X25</f>
        <v>-1230.8000000000011</v>
      </c>
      <c r="E24" s="1447"/>
      <c r="F24" s="1830">
        <f>'Exhibit F'!AC25</f>
        <v>-9010.2000000000007</v>
      </c>
      <c r="G24" s="630"/>
      <c r="H24" s="1831">
        <v>0</v>
      </c>
      <c r="I24" s="1833"/>
      <c r="J24" s="1832">
        <v>0</v>
      </c>
      <c r="K24" s="630"/>
      <c r="L24" s="1831">
        <v>0</v>
      </c>
      <c r="M24" s="1833"/>
      <c r="N24" s="1832">
        <v>0</v>
      </c>
      <c r="O24" s="630"/>
      <c r="P24" s="1831">
        <v>0</v>
      </c>
      <c r="Q24" s="1833"/>
      <c r="R24" s="1832">
        <v>0</v>
      </c>
      <c r="S24" s="630"/>
      <c r="T24" s="2934"/>
      <c r="U24" s="2934"/>
      <c r="V24" s="1833">
        <f>SUM(D24)+SUM(H24)+SUM(L24)+SUM(P24)</f>
        <v>-1230.8000000000011</v>
      </c>
      <c r="W24" s="1447"/>
      <c r="X24" s="1833">
        <f t="shared" si="1"/>
        <v>-9010.2000000000007</v>
      </c>
      <c r="Y24" s="2935"/>
      <c r="Z24" s="2936"/>
      <c r="AA24" s="1447"/>
      <c r="AB24" s="1830">
        <v>-1244.4000000000001</v>
      </c>
      <c r="AC24" s="630"/>
      <c r="AD24" s="1833">
        <f>'Cashflow Governmental'!AE29</f>
        <v>-8762.6</v>
      </c>
      <c r="AE24" s="1833"/>
      <c r="AF24" s="3698"/>
      <c r="AG24" s="2935"/>
      <c r="AH24" s="1833">
        <f>-ROUND(SUM(X24)-SUM(AD24),1)</f>
        <v>247.6</v>
      </c>
      <c r="AI24" s="2937"/>
      <c r="AJ24" s="1875">
        <f>-ROUND(AH24/AD24,3)</f>
        <v>2.8000000000000001E-2</v>
      </c>
      <c r="AK24" s="1873"/>
      <c r="AL24" s="2930"/>
    </row>
    <row r="25" spans="1:38" s="2931" customFormat="1" ht="18" customHeight="1">
      <c r="A25" s="2949" t="s">
        <v>913</v>
      </c>
      <c r="B25" s="2923"/>
      <c r="C25" s="2923"/>
      <c r="D25" s="1843">
        <f>ROUND(SUM(D21:D24),1)</f>
        <v>1848.4</v>
      </c>
      <c r="E25" s="1508"/>
      <c r="F25" s="1843">
        <f>ROUND(SUM(F21:F24),1)</f>
        <v>22807.5</v>
      </c>
      <c r="G25" s="23"/>
      <c r="H25" s="1843">
        <f>ROUND(SUM(H21:H24),1)</f>
        <v>0</v>
      </c>
      <c r="I25" s="2939"/>
      <c r="J25" s="1843">
        <f>ROUND(SUM(J21:J24),1)</f>
        <v>2149.1</v>
      </c>
      <c r="K25" s="23"/>
      <c r="L25" s="1843">
        <f>ROUND(SUM(L21:L24),1)</f>
        <v>1848.4</v>
      </c>
      <c r="M25" s="2939"/>
      <c r="N25" s="1843">
        <f>ROUND(SUM(N21:N24),1)</f>
        <v>24956.6</v>
      </c>
      <c r="O25" s="23"/>
      <c r="P25" s="1843">
        <f>ROUND(SUM(P21:P24),1)</f>
        <v>0</v>
      </c>
      <c r="Q25" s="2939"/>
      <c r="R25" s="1843">
        <f>ROUND(SUM(R21:R24),1)</f>
        <v>0</v>
      </c>
      <c r="S25" s="23"/>
      <c r="T25" s="2940"/>
      <c r="U25" s="2940"/>
      <c r="V25" s="2941">
        <f>ROUND(SUM(V21:V24),1)</f>
        <v>3696.8</v>
      </c>
      <c r="W25" s="1508"/>
      <c r="X25" s="2941">
        <f>ROUND(SUM(X21:X24),1)</f>
        <v>49913.2</v>
      </c>
      <c r="Y25" s="2950"/>
      <c r="Z25" s="2365"/>
      <c r="AA25" s="1508"/>
      <c r="AB25" s="3649">
        <f>ROUND(SUM(AB21:AB24),1)</f>
        <v>3385.8</v>
      </c>
      <c r="AC25" s="23"/>
      <c r="AD25" s="2941">
        <f>ROUND(SUM(AD21:AD24),1)</f>
        <v>44528.3</v>
      </c>
      <c r="AE25" s="1508" t="s">
        <v>15</v>
      </c>
      <c r="AF25" s="3698"/>
      <c r="AG25" s="2942"/>
      <c r="AH25" s="1876">
        <f>ROUND(SUM(X25)-SUM(AD25),1)</f>
        <v>5384.9</v>
      </c>
      <c r="AI25" s="2943"/>
      <c r="AJ25" s="1877">
        <f>ROUND(AH25/AD25,3)</f>
        <v>0.121</v>
      </c>
      <c r="AK25" s="2944"/>
      <c r="AL25" s="2945"/>
    </row>
    <row r="26" spans="1:38" ht="18" customHeight="1">
      <c r="A26" s="2922"/>
      <c r="B26" s="2922"/>
      <c r="C26" s="2922"/>
      <c r="D26" s="1547"/>
      <c r="E26" s="626"/>
      <c r="F26" s="1547"/>
      <c r="G26" s="625"/>
      <c r="H26" s="1547"/>
      <c r="I26" s="626"/>
      <c r="J26" s="1547"/>
      <c r="K26" s="625"/>
      <c r="L26" s="1547"/>
      <c r="M26" s="626"/>
      <c r="N26" s="1547"/>
      <c r="O26" s="625"/>
      <c r="P26" s="1547"/>
      <c r="Q26" s="626"/>
      <c r="R26" s="1547"/>
      <c r="S26" s="625"/>
      <c r="T26" s="2951"/>
      <c r="U26" s="2951"/>
      <c r="V26" s="1547"/>
      <c r="W26" s="626"/>
      <c r="X26" s="1547"/>
      <c r="Y26" s="626"/>
      <c r="Z26" s="2952"/>
      <c r="AA26" s="626"/>
      <c r="AB26" s="1844"/>
      <c r="AC26" s="630"/>
      <c r="AD26" s="1844"/>
      <c r="AE26" s="1447"/>
      <c r="AF26" s="3698"/>
      <c r="AG26" s="1447"/>
      <c r="AH26" s="1447"/>
      <c r="AI26" s="623"/>
      <c r="AJ26" s="2953"/>
      <c r="AK26" s="2954"/>
      <c r="AL26" s="2904"/>
    </row>
    <row r="27" spans="1:38" ht="18" customHeight="1">
      <c r="A27" s="2955" t="s">
        <v>1192</v>
      </c>
      <c r="B27" s="2922"/>
      <c r="C27" s="2956"/>
      <c r="D27" s="625"/>
      <c r="E27" s="625"/>
      <c r="F27" s="625"/>
      <c r="G27" s="625"/>
      <c r="H27" s="625"/>
      <c r="I27" s="625"/>
      <c r="J27" s="625"/>
      <c r="K27" s="625"/>
      <c r="L27" s="625"/>
      <c r="M27" s="625"/>
      <c r="N27" s="625"/>
      <c r="O27" s="625"/>
      <c r="P27" s="625"/>
      <c r="Q27" s="625"/>
      <c r="R27" s="625"/>
      <c r="S27" s="625"/>
      <c r="T27" s="2951"/>
      <c r="U27" s="2951"/>
      <c r="V27" s="626"/>
      <c r="W27" s="626"/>
      <c r="X27" s="625"/>
      <c r="Y27" s="625"/>
      <c r="Z27" s="2952"/>
      <c r="AA27" s="626"/>
      <c r="AB27" s="630"/>
      <c r="AC27" s="630"/>
      <c r="AD27" s="630"/>
      <c r="AE27" s="630"/>
      <c r="AF27" s="3698"/>
      <c r="AG27" s="630"/>
      <c r="AH27" s="630"/>
      <c r="AI27" s="2311"/>
      <c r="AJ27" s="2953"/>
      <c r="AK27" s="2954"/>
      <c r="AL27" s="2904"/>
    </row>
    <row r="28" spans="1:38" s="2931" customFormat="1" ht="18" customHeight="1">
      <c r="A28" s="2923" t="s">
        <v>914</v>
      </c>
      <c r="B28" s="2923"/>
      <c r="C28" s="2923"/>
      <c r="D28" s="630">
        <f>'Exhibit F'!X28</f>
        <v>522.39999999999964</v>
      </c>
      <c r="E28" s="630"/>
      <c r="F28" s="630">
        <f>'Exhibit F'!AC28</f>
        <v>6821.2</v>
      </c>
      <c r="G28" s="630"/>
      <c r="H28" s="630">
        <f>'Exhibit G'!X20</f>
        <v>74.100000000000165</v>
      </c>
      <c r="I28" s="630"/>
      <c r="J28" s="630">
        <f>'Exhibit G'!AD20</f>
        <v>998</v>
      </c>
      <c r="K28" s="630"/>
      <c r="L28" s="1833">
        <f>'Exhibit H'!V19</f>
        <v>522.19999999999982</v>
      </c>
      <c r="M28" s="1833"/>
      <c r="N28" s="1833">
        <f>'Exhibit H'!AA19</f>
        <v>6816</v>
      </c>
      <c r="O28" s="630"/>
      <c r="P28" s="1831">
        <v>0</v>
      </c>
      <c r="Q28" s="1833"/>
      <c r="R28" s="1832">
        <v>0</v>
      </c>
      <c r="S28" s="630"/>
      <c r="T28" s="2934"/>
      <c r="U28" s="2934"/>
      <c r="V28" s="1833">
        <f t="shared" ref="V28:V37" si="2">SUM(D28)+SUM(H28)+SUM(L28)+SUM(P28)</f>
        <v>1118.6999999999996</v>
      </c>
      <c r="W28" s="1447"/>
      <c r="X28" s="1833">
        <f t="shared" ref="X28:X37" si="3">SUM(F28)+SUM(J28)+SUM(N28)+SUM(R28)</f>
        <v>14635.2</v>
      </c>
      <c r="Y28" s="630"/>
      <c r="Z28" s="2936"/>
      <c r="AA28" s="1447"/>
      <c r="AB28" s="1830">
        <v>1040.2</v>
      </c>
      <c r="AC28" s="630"/>
      <c r="AD28" s="1833">
        <f>'Cashflow Governmental'!AE32</f>
        <v>13792.5</v>
      </c>
      <c r="AE28" s="1833"/>
      <c r="AF28" s="3698"/>
      <c r="AG28" s="630"/>
      <c r="AH28" s="630">
        <f t="shared" ref="AH28:AH38" si="4">ROUND(SUM(X28)-SUM(AD28),1)</f>
        <v>842.7</v>
      </c>
      <c r="AI28" s="2937"/>
      <c r="AJ28" s="1873">
        <f t="shared" ref="AJ28:AJ38" si="5">ROUND(AH28/AD28,3)</f>
        <v>6.0999999999999999E-2</v>
      </c>
      <c r="AK28" s="1873"/>
      <c r="AL28" s="2930"/>
    </row>
    <row r="29" spans="1:38" s="2931" customFormat="1" ht="18" customHeight="1">
      <c r="A29" s="2932" t="s">
        <v>915</v>
      </c>
      <c r="B29" s="2923"/>
      <c r="C29" s="2957"/>
      <c r="D29" s="630">
        <f>'Exhibit F'!X29</f>
        <v>0</v>
      </c>
      <c r="E29" s="1833"/>
      <c r="F29" s="630">
        <f>'Exhibit F'!AC29</f>
        <v>0</v>
      </c>
      <c r="G29" s="630"/>
      <c r="H29" s="630">
        <f>'Exhibit G'!X21</f>
        <v>0</v>
      </c>
      <c r="I29" s="1833"/>
      <c r="J29" s="630">
        <f>'Exhibit G'!AD21</f>
        <v>12.9</v>
      </c>
      <c r="K29" s="630"/>
      <c r="L29" s="1831">
        <v>0</v>
      </c>
      <c r="M29" s="1833"/>
      <c r="N29" s="1832">
        <v>0</v>
      </c>
      <c r="O29" s="630"/>
      <c r="P29" s="1830">
        <f>'Exhibit I'!Y20</f>
        <v>0.10000000000000853</v>
      </c>
      <c r="Q29" s="630"/>
      <c r="R29" s="1830">
        <f>'Exhibit I'!AF20</f>
        <v>70.7</v>
      </c>
      <c r="S29" s="630"/>
      <c r="T29" s="2934"/>
      <c r="U29" s="2934"/>
      <c r="V29" s="1833">
        <f t="shared" si="2"/>
        <v>0.10000000000000853</v>
      </c>
      <c r="W29" s="1447"/>
      <c r="X29" s="1833">
        <f t="shared" si="3"/>
        <v>83.600000000000009</v>
      </c>
      <c r="Y29" s="2935"/>
      <c r="Z29" s="2936"/>
      <c r="AA29" s="1447"/>
      <c r="AB29" s="1830">
        <v>-0.2</v>
      </c>
      <c r="AC29" s="630"/>
      <c r="AD29" s="1833">
        <f>'Cashflow Governmental'!AE33</f>
        <v>108.60000000000001</v>
      </c>
      <c r="AE29" s="1833"/>
      <c r="AF29" s="3698"/>
      <c r="AG29" s="2935"/>
      <c r="AH29" s="1833">
        <f t="shared" si="4"/>
        <v>-25</v>
      </c>
      <c r="AI29" s="2958"/>
      <c r="AJ29" s="1873">
        <f t="shared" si="5"/>
        <v>-0.23</v>
      </c>
      <c r="AK29" s="1873"/>
      <c r="AL29" s="2930"/>
    </row>
    <row r="30" spans="1:38" ht="18" customHeight="1">
      <c r="A30" s="2922" t="s">
        <v>916</v>
      </c>
      <c r="B30" s="2922"/>
      <c r="C30" s="2922"/>
      <c r="D30" s="630">
        <f>'Exhibit F'!X30</f>
        <v>20.5</v>
      </c>
      <c r="E30" s="630"/>
      <c r="F30" s="630">
        <f>'Exhibit F'!AC30</f>
        <v>292.7</v>
      </c>
      <c r="G30" s="630"/>
      <c r="H30" s="630">
        <f>'Exhibit G'!X22</f>
        <v>45.299999999999955</v>
      </c>
      <c r="I30" s="1833"/>
      <c r="J30" s="630">
        <f>'Exhibit G'!AD22</f>
        <v>671.4</v>
      </c>
      <c r="K30" s="630"/>
      <c r="L30" s="1831">
        <v>0</v>
      </c>
      <c r="M30" s="1833"/>
      <c r="N30" s="1832">
        <v>0</v>
      </c>
      <c r="O30" s="630"/>
      <c r="P30" s="1831">
        <v>0</v>
      </c>
      <c r="Q30" s="1833"/>
      <c r="R30" s="1832">
        <v>0</v>
      </c>
      <c r="S30" s="625"/>
      <c r="T30" s="2951"/>
      <c r="U30" s="2951"/>
      <c r="V30" s="1542">
        <f t="shared" si="2"/>
        <v>65.799999999999955</v>
      </c>
      <c r="W30" s="626"/>
      <c r="X30" s="1542">
        <f t="shared" si="3"/>
        <v>964.09999999999991</v>
      </c>
      <c r="Y30" s="2959"/>
      <c r="Z30" s="2952"/>
      <c r="AA30" s="626"/>
      <c r="AB30" s="1830">
        <v>67</v>
      </c>
      <c r="AC30" s="630"/>
      <c r="AD30" s="1833">
        <f>'Cashflow Governmental'!AE34</f>
        <v>1033.5</v>
      </c>
      <c r="AE30" s="1846"/>
      <c r="AF30" s="3699"/>
      <c r="AG30" s="2935"/>
      <c r="AH30" s="1833">
        <f t="shared" si="4"/>
        <v>-69.400000000000006</v>
      </c>
      <c r="AI30" s="2960"/>
      <c r="AJ30" s="1543">
        <f t="shared" si="5"/>
        <v>-6.7000000000000004E-2</v>
      </c>
      <c r="AK30" s="1543"/>
      <c r="AL30" s="2904"/>
    </row>
    <row r="31" spans="1:38" ht="18" customHeight="1">
      <c r="A31" s="2922" t="s">
        <v>1277</v>
      </c>
      <c r="B31" s="2922"/>
      <c r="C31" s="2922"/>
      <c r="D31" s="630">
        <v>0</v>
      </c>
      <c r="E31" s="630"/>
      <c r="F31" s="630">
        <v>0</v>
      </c>
      <c r="G31" s="630"/>
      <c r="H31" s="630">
        <f>'Exhibit G'!X23</f>
        <v>0.49999999999999956</v>
      </c>
      <c r="I31" s="1833"/>
      <c r="J31" s="630">
        <f>'Exhibit G'!AD23</f>
        <v>5.3</v>
      </c>
      <c r="K31" s="630"/>
      <c r="L31" s="1831">
        <v>0</v>
      </c>
      <c r="M31" s="1833"/>
      <c r="N31" s="1832">
        <v>0</v>
      </c>
      <c r="O31" s="630"/>
      <c r="P31" s="1831">
        <v>0</v>
      </c>
      <c r="Q31" s="1833"/>
      <c r="R31" s="1832">
        <v>0</v>
      </c>
      <c r="S31" s="625"/>
      <c r="T31" s="2951"/>
      <c r="U31" s="2951"/>
      <c r="V31" s="1542">
        <f>SUM(D31)+SUM(H31)+SUM(L31)+SUM(P31)</f>
        <v>0.49999999999999956</v>
      </c>
      <c r="W31" s="626"/>
      <c r="X31" s="1542">
        <f>SUM(F31)+SUM(J31)+SUM(N31)+SUM(R31)</f>
        <v>5.3</v>
      </c>
      <c r="Y31" s="2959"/>
      <c r="Z31" s="2952"/>
      <c r="AA31" s="626"/>
      <c r="AB31" s="1830">
        <v>0.5</v>
      </c>
      <c r="AC31" s="630"/>
      <c r="AD31" s="1833">
        <f>'Cashflow Governmental'!AE35</f>
        <v>3.6</v>
      </c>
      <c r="AE31" s="1846"/>
      <c r="AF31" s="3699"/>
      <c r="AG31" s="2935"/>
      <c r="AH31" s="1833">
        <f>ROUND(SUM(X31)-SUM(AD31),1)</f>
        <v>1.7</v>
      </c>
      <c r="AI31" s="2960"/>
      <c r="AJ31" s="1466">
        <f>ROUND(IF(AD31=0,0,AH31/(AD31)),3)</f>
        <v>0.47199999999999998</v>
      </c>
      <c r="AK31" s="1543"/>
      <c r="AL31" s="2904"/>
    </row>
    <row r="32" spans="1:38" ht="18" customHeight="1">
      <c r="A32" s="2922" t="s">
        <v>917</v>
      </c>
      <c r="B32" s="2922"/>
      <c r="C32" s="2922"/>
      <c r="D32" s="630">
        <f>'Exhibit F'!X31</f>
        <v>0</v>
      </c>
      <c r="E32" s="1833"/>
      <c r="F32" s="630">
        <f>'Exhibit F'!AC31</f>
        <v>0</v>
      </c>
      <c r="G32" s="630"/>
      <c r="H32" s="630">
        <f>'Exhibit G'!X24</f>
        <v>7.5999999999999925</v>
      </c>
      <c r="I32" s="1833"/>
      <c r="J32" s="630">
        <f>'Exhibit G'!AD24</f>
        <v>100.1</v>
      </c>
      <c r="K32" s="630"/>
      <c r="L32" s="1831">
        <v>0</v>
      </c>
      <c r="M32" s="1833"/>
      <c r="N32" s="1832">
        <v>0</v>
      </c>
      <c r="O32" s="630"/>
      <c r="P32" s="630">
        <f>'Exhibit I'!Y21</f>
        <v>28.099999999999994</v>
      </c>
      <c r="Q32" s="1833"/>
      <c r="R32" s="630">
        <f>'Exhibit I'!AF21</f>
        <v>373.3</v>
      </c>
      <c r="S32" s="625"/>
      <c r="T32" s="2951"/>
      <c r="U32" s="2951"/>
      <c r="V32" s="1542">
        <f t="shared" si="2"/>
        <v>35.699999999999989</v>
      </c>
      <c r="W32" s="626"/>
      <c r="X32" s="1542">
        <f t="shared" si="3"/>
        <v>473.4</v>
      </c>
      <c r="Y32" s="625"/>
      <c r="Z32" s="2952"/>
      <c r="AA32" s="626"/>
      <c r="AB32" s="1830">
        <v>41</v>
      </c>
      <c r="AC32" s="630"/>
      <c r="AD32" s="1833">
        <f>'Cashflow Governmental'!AE36</f>
        <v>486.6</v>
      </c>
      <c r="AE32" s="1833"/>
      <c r="AF32" s="3699"/>
      <c r="AG32" s="630"/>
      <c r="AH32" s="1833">
        <f t="shared" si="4"/>
        <v>-13.2</v>
      </c>
      <c r="AI32" s="2311"/>
      <c r="AJ32" s="1543">
        <f t="shared" si="5"/>
        <v>-2.7E-2</v>
      </c>
      <c r="AK32" s="1543"/>
      <c r="AL32" s="2904"/>
    </row>
    <row r="33" spans="1:38" ht="18" customHeight="1">
      <c r="A33" s="2922" t="s">
        <v>918</v>
      </c>
      <c r="B33" s="2922"/>
      <c r="C33" s="2922"/>
      <c r="D33" s="630">
        <f>'Exhibit F'!X32</f>
        <v>12.300000000000004</v>
      </c>
      <c r="E33" s="630"/>
      <c r="F33" s="630">
        <f>'Exhibit F'!AC32</f>
        <v>246.4</v>
      </c>
      <c r="G33" s="630"/>
      <c r="H33" s="630">
        <f>'Exhibit G'!X25</f>
        <v>0</v>
      </c>
      <c r="I33" s="1833"/>
      <c r="J33" s="630">
        <f>'Exhibit G'!AD25</f>
        <v>0</v>
      </c>
      <c r="K33" s="630"/>
      <c r="L33" s="1831">
        <v>0</v>
      </c>
      <c r="M33" s="1833"/>
      <c r="N33" s="1832">
        <v>0</v>
      </c>
      <c r="O33" s="630"/>
      <c r="P33" s="1831">
        <v>0</v>
      </c>
      <c r="Q33" s="1833"/>
      <c r="R33" s="1832">
        <v>0</v>
      </c>
      <c r="S33" s="625"/>
      <c r="T33" s="2951"/>
      <c r="U33" s="2951"/>
      <c r="V33" s="1542">
        <f t="shared" si="2"/>
        <v>12.300000000000004</v>
      </c>
      <c r="W33" s="626"/>
      <c r="X33" s="1542">
        <f t="shared" si="3"/>
        <v>246.4</v>
      </c>
      <c r="Y33" s="2959"/>
      <c r="Z33" s="2952"/>
      <c r="AA33" s="626"/>
      <c r="AB33" s="1830">
        <v>13.3</v>
      </c>
      <c r="AC33" s="630"/>
      <c r="AD33" s="1833">
        <f>'Cashflow Governmental'!AE37</f>
        <v>243.5</v>
      </c>
      <c r="AE33" s="1833"/>
      <c r="AF33" s="3699"/>
      <c r="AG33" s="2935"/>
      <c r="AH33" s="1833">
        <f t="shared" si="4"/>
        <v>2.9</v>
      </c>
      <c r="AI33" s="2960"/>
      <c r="AJ33" s="1543">
        <f t="shared" si="5"/>
        <v>1.2E-2</v>
      </c>
      <c r="AK33" s="1543"/>
      <c r="AL33" s="2904"/>
    </row>
    <row r="34" spans="1:38" ht="18" customHeight="1">
      <c r="A34" s="2922" t="s">
        <v>919</v>
      </c>
      <c r="B34" s="2922"/>
      <c r="C34" s="2922"/>
      <c r="D34" s="630">
        <f>'Exhibit F'!X33</f>
        <v>0</v>
      </c>
      <c r="E34" s="1833"/>
      <c r="F34" s="630">
        <f>'Exhibit F'!AC33</f>
        <v>0</v>
      </c>
      <c r="G34" s="630"/>
      <c r="H34" s="630">
        <f>'Exhibit G'!X26</f>
        <v>0.1</v>
      </c>
      <c r="I34" s="1833"/>
      <c r="J34" s="630">
        <f>'Exhibit G'!AD26</f>
        <v>0.5</v>
      </c>
      <c r="K34" s="630"/>
      <c r="L34" s="1831">
        <v>0</v>
      </c>
      <c r="M34" s="1833"/>
      <c r="N34" s="1832">
        <v>0</v>
      </c>
      <c r="O34" s="630"/>
      <c r="P34" s="630">
        <f>'Exhibit I'!Y22</f>
        <v>8.9000000000000057</v>
      </c>
      <c r="Q34" s="1833"/>
      <c r="R34" s="630">
        <f>'Exhibit I'!AF22</f>
        <v>130.9</v>
      </c>
      <c r="S34" s="625"/>
      <c r="T34" s="2951"/>
      <c r="U34" s="2951"/>
      <c r="V34" s="1542">
        <f>SUM(D34)+SUM(H34)+SUM(L34)+SUM(P34)</f>
        <v>9.0000000000000053</v>
      </c>
      <c r="W34" s="626"/>
      <c r="X34" s="1542">
        <f t="shared" si="3"/>
        <v>131.4</v>
      </c>
      <c r="Y34" s="2959"/>
      <c r="Z34" s="2952"/>
      <c r="AA34" s="626"/>
      <c r="AB34" s="1830">
        <v>9.4</v>
      </c>
      <c r="AC34" s="630"/>
      <c r="AD34" s="1833">
        <f>'Cashflow Governmental'!AE38</f>
        <v>137.20000000000002</v>
      </c>
      <c r="AE34" s="1846"/>
      <c r="AF34" s="3699"/>
      <c r="AG34" s="2935"/>
      <c r="AH34" s="1832">
        <f t="shared" si="4"/>
        <v>-5.8</v>
      </c>
      <c r="AI34" s="2961"/>
      <c r="AJ34" s="1543">
        <f>ROUND(AH34/AD34,3)</f>
        <v>-4.2000000000000003E-2</v>
      </c>
      <c r="AK34" s="1543"/>
      <c r="AL34" s="2904"/>
    </row>
    <row r="35" spans="1:38" ht="18" customHeight="1">
      <c r="A35" s="2922" t="s">
        <v>1566</v>
      </c>
      <c r="B35" s="2922"/>
      <c r="C35" s="2922"/>
      <c r="D35" s="630">
        <f>'Exhibit F'!X34</f>
        <v>0</v>
      </c>
      <c r="E35" s="1833"/>
      <c r="F35" s="630">
        <f>'Exhibit F'!AC34</f>
        <v>0</v>
      </c>
      <c r="G35" s="630"/>
      <c r="H35" s="630">
        <v>0</v>
      </c>
      <c r="I35" s="1833"/>
      <c r="J35" s="630">
        <v>0</v>
      </c>
      <c r="K35" s="630"/>
      <c r="L35" s="1831">
        <v>0</v>
      </c>
      <c r="M35" s="1833"/>
      <c r="N35" s="1832">
        <v>0</v>
      </c>
      <c r="O35" s="630"/>
      <c r="P35" s="630">
        <v>0</v>
      </c>
      <c r="Q35" s="1833"/>
      <c r="R35" s="630">
        <v>0</v>
      </c>
      <c r="S35" s="625"/>
      <c r="T35" s="2951"/>
      <c r="U35" s="2951"/>
      <c r="V35" s="1542">
        <f>SUM(D35)+SUM(H35)+SUM(L35)+SUM(P35)</f>
        <v>0</v>
      </c>
      <c r="W35" s="626"/>
      <c r="X35" s="1542">
        <f>SUM(F35)+SUM(J35)+SUM(N35)+SUM(R35)</f>
        <v>0</v>
      </c>
      <c r="Y35" s="2959"/>
      <c r="Z35" s="2952"/>
      <c r="AA35" s="626"/>
      <c r="AB35" s="1830">
        <v>0</v>
      </c>
      <c r="AC35" s="630"/>
      <c r="AD35" s="1833">
        <f>'Cashflow Governmental'!AE39</f>
        <v>0</v>
      </c>
      <c r="AE35" s="1846"/>
      <c r="AF35" s="3699"/>
      <c r="AG35" s="2935"/>
      <c r="AH35" s="1832">
        <f>ROUND(SUM(X35)-SUM(AD35),1)</f>
        <v>0</v>
      </c>
      <c r="AI35" s="2961"/>
      <c r="AJ35" s="1543">
        <f>ROUND(IF(AD35=0,0,-AH35/(AD35)),3)</f>
        <v>0</v>
      </c>
      <c r="AK35" s="1543"/>
      <c r="AL35" s="2904"/>
    </row>
    <row r="36" spans="1:38" ht="18" customHeight="1">
      <c r="A36" s="2922" t="s">
        <v>1567</v>
      </c>
      <c r="B36" s="2922"/>
      <c r="C36" s="2922"/>
      <c r="D36" s="630">
        <f>'Exhibit F'!X35</f>
        <v>2.5</v>
      </c>
      <c r="E36" s="1833"/>
      <c r="F36" s="630">
        <f>'Exhibit F'!AC35</f>
        <v>19.399999999999999</v>
      </c>
      <c r="G36" s="630"/>
      <c r="H36" s="630">
        <v>0</v>
      </c>
      <c r="I36" s="1833"/>
      <c r="J36" s="630">
        <v>0</v>
      </c>
      <c r="K36" s="630"/>
      <c r="L36" s="1831">
        <v>0</v>
      </c>
      <c r="M36" s="1833"/>
      <c r="N36" s="1832">
        <v>0</v>
      </c>
      <c r="O36" s="630"/>
      <c r="P36" s="630">
        <v>0</v>
      </c>
      <c r="Q36" s="1833"/>
      <c r="R36" s="630">
        <v>0</v>
      </c>
      <c r="S36" s="625"/>
      <c r="T36" s="2951"/>
      <c r="U36" s="2951"/>
      <c r="V36" s="1542">
        <f>SUM(D36)+SUM(H36)+SUM(L36)+SUM(P36)</f>
        <v>2.5</v>
      </c>
      <c r="W36" s="626"/>
      <c r="X36" s="1542">
        <f t="shared" ref="X36" si="6">SUM(F36)+SUM(J36)+SUM(N36)+SUM(R36)</f>
        <v>19.399999999999999</v>
      </c>
      <c r="Y36" s="2959"/>
      <c r="Z36" s="2952"/>
      <c r="AA36" s="626"/>
      <c r="AB36" s="1830">
        <v>0</v>
      </c>
      <c r="AC36" s="630"/>
      <c r="AD36" s="1833">
        <v>0</v>
      </c>
      <c r="AE36" s="1846"/>
      <c r="AF36" s="3699"/>
      <c r="AG36" s="2935"/>
      <c r="AH36" s="1832">
        <f t="shared" ref="AH36" si="7">ROUND(SUM(X36)-SUM(AD36),1)</f>
        <v>19.399999999999999</v>
      </c>
      <c r="AI36" s="2961"/>
      <c r="AJ36" s="1466">
        <f>ROUND(IF(AD36=0,1,-AH36/(AD36)),3)</f>
        <v>1</v>
      </c>
      <c r="AK36" s="1543"/>
      <c r="AL36" s="2904"/>
    </row>
    <row r="37" spans="1:38" ht="18" customHeight="1">
      <c r="A37" s="2962" t="s">
        <v>920</v>
      </c>
      <c r="B37" s="2922"/>
      <c r="C37" s="2922"/>
      <c r="D37" s="630">
        <f>'Exhibit F'!X36</f>
        <v>0</v>
      </c>
      <c r="E37" s="1447"/>
      <c r="F37" s="630">
        <f>'Exhibit F'!AC36</f>
        <v>0</v>
      </c>
      <c r="G37" s="630"/>
      <c r="H37" s="630">
        <f>'Exhibit G'!X28</f>
        <v>0</v>
      </c>
      <c r="I37" s="1833"/>
      <c r="J37" s="630">
        <f>'Exhibit G'!AD28</f>
        <v>0</v>
      </c>
      <c r="K37" s="630"/>
      <c r="L37" s="1831">
        <v>0</v>
      </c>
      <c r="M37" s="1833"/>
      <c r="N37" s="1832">
        <v>0</v>
      </c>
      <c r="O37" s="630"/>
      <c r="P37" s="1831">
        <v>0</v>
      </c>
      <c r="Q37" s="1447"/>
      <c r="R37" s="1832">
        <v>0</v>
      </c>
      <c r="S37" s="625"/>
      <c r="T37" s="2951"/>
      <c r="U37" s="2951"/>
      <c r="V37" s="1542">
        <f t="shared" si="2"/>
        <v>0</v>
      </c>
      <c r="W37" s="626"/>
      <c r="X37" s="1542">
        <f t="shared" si="3"/>
        <v>0</v>
      </c>
      <c r="Y37" s="2963"/>
      <c r="Z37" s="2952"/>
      <c r="AA37" s="626"/>
      <c r="AB37" s="1830">
        <v>1.1000000000000001</v>
      </c>
      <c r="AC37" s="630"/>
      <c r="AD37" s="1833">
        <f>'Cashflow Governmental'!AE41</f>
        <v>50.8</v>
      </c>
      <c r="AE37" s="1846"/>
      <c r="AF37" s="3699"/>
      <c r="AG37" s="2935"/>
      <c r="AH37" s="1874">
        <f t="shared" si="4"/>
        <v>-50.8</v>
      </c>
      <c r="AI37" s="2960"/>
      <c r="AJ37" s="1544">
        <f t="shared" si="5"/>
        <v>-1</v>
      </c>
      <c r="AK37" s="1543"/>
      <c r="AL37" s="2904"/>
    </row>
    <row r="38" spans="1:38" ht="18" customHeight="1">
      <c r="A38" s="2921" t="s">
        <v>921</v>
      </c>
      <c r="B38" s="2922"/>
      <c r="C38" s="2922"/>
      <c r="D38" s="1545">
        <f>ROUND(SUM(D28:D37),1)</f>
        <v>557.70000000000005</v>
      </c>
      <c r="E38" s="2335"/>
      <c r="F38" s="1545">
        <f>ROUND(SUM(F28:F37),1)</f>
        <v>7379.7</v>
      </c>
      <c r="G38" s="23"/>
      <c r="H38" s="1545">
        <f>ROUND(SUM(H28:H37),1)</f>
        <v>127.6</v>
      </c>
      <c r="I38" s="2335"/>
      <c r="J38" s="1545">
        <f>ROUND(SUM(J28:J37),1)</f>
        <v>1788.2</v>
      </c>
      <c r="K38" s="1390"/>
      <c r="L38" s="1843">
        <f>ROUND(SUM(L28:L37),1)</f>
        <v>522.20000000000005</v>
      </c>
      <c r="M38" s="1508"/>
      <c r="N38" s="1843">
        <f>ROUND(SUM(N28:N37),1)</f>
        <v>6816</v>
      </c>
      <c r="O38" s="1390"/>
      <c r="P38" s="1545">
        <f>ROUND(SUM(P28:P37),1)</f>
        <v>37.1</v>
      </c>
      <c r="Q38" s="2335"/>
      <c r="R38" s="1545">
        <f>ROUND(SUM(R28:R37),1)</f>
        <v>574.9</v>
      </c>
      <c r="S38" s="1390"/>
      <c r="T38" s="2964"/>
      <c r="U38" s="2964"/>
      <c r="V38" s="1545">
        <f>ROUND(SUM(V28:V37),1)</f>
        <v>1244.5999999999999</v>
      </c>
      <c r="W38" s="2335"/>
      <c r="X38" s="1545">
        <f>ROUND(SUM(X28:X37),1)</f>
        <v>16558.8</v>
      </c>
      <c r="Y38" s="2965"/>
      <c r="Z38" s="2336"/>
      <c r="AA38" s="2335"/>
      <c r="AB38" s="1843">
        <f>ROUND(SUM(AB28:AB37),1)</f>
        <v>1172.3</v>
      </c>
      <c r="AC38" s="23"/>
      <c r="AD38" s="1843">
        <f>ROUND(SUM(AD28:AD37),1)</f>
        <v>15856.3</v>
      </c>
      <c r="AE38" s="1508"/>
      <c r="AF38" s="3700"/>
      <c r="AG38" s="1508"/>
      <c r="AH38" s="1876">
        <f t="shared" si="4"/>
        <v>702.5</v>
      </c>
      <c r="AI38" s="2305"/>
      <c r="AJ38" s="1546">
        <f t="shared" si="5"/>
        <v>4.3999999999999997E-2</v>
      </c>
      <c r="AK38" s="2966"/>
      <c r="AL38" s="2967"/>
    </row>
    <row r="39" spans="1:38" ht="18" customHeight="1">
      <c r="A39" s="2922"/>
      <c r="B39" s="2922"/>
      <c r="C39" s="2922"/>
      <c r="D39" s="1547"/>
      <c r="E39" s="626"/>
      <c r="F39" s="1547"/>
      <c r="G39" s="630"/>
      <c r="H39" s="1547"/>
      <c r="I39" s="626"/>
      <c r="J39" s="1547"/>
      <c r="K39" s="625"/>
      <c r="L39" s="1844"/>
      <c r="M39" s="1447"/>
      <c r="N39" s="1844"/>
      <c r="O39" s="625"/>
      <c r="P39" s="1547"/>
      <c r="Q39" s="626"/>
      <c r="R39" s="1547"/>
      <c r="S39" s="625"/>
      <c r="T39" s="2951"/>
      <c r="U39" s="2951"/>
      <c r="V39" s="1547"/>
      <c r="W39" s="626"/>
      <c r="X39" s="1547"/>
      <c r="Y39" s="626"/>
      <c r="Z39" s="2952"/>
      <c r="AA39" s="626"/>
      <c r="AB39" s="1844"/>
      <c r="AC39" s="630"/>
      <c r="AD39" s="1844"/>
      <c r="AE39" s="1447"/>
      <c r="AF39" s="3699"/>
      <c r="AG39" s="1447"/>
      <c r="AH39" s="1447"/>
      <c r="AI39" s="623"/>
      <c r="AJ39" s="2953"/>
      <c r="AK39" s="2954"/>
      <c r="AL39" s="2904"/>
    </row>
    <row r="40" spans="1:38" ht="18" customHeight="1">
      <c r="A40" s="2921" t="s">
        <v>1193</v>
      </c>
      <c r="B40" s="2922"/>
      <c r="C40" s="2922"/>
      <c r="D40" s="625"/>
      <c r="E40" s="625"/>
      <c r="F40" s="625"/>
      <c r="G40" s="630"/>
      <c r="H40" s="625"/>
      <c r="I40" s="625"/>
      <c r="J40" s="625"/>
      <c r="K40" s="625"/>
      <c r="L40" s="630"/>
      <c r="M40" s="630"/>
      <c r="N40" s="630"/>
      <c r="O40" s="625"/>
      <c r="P40" s="625"/>
      <c r="Q40" s="625"/>
      <c r="R40" s="625"/>
      <c r="S40" s="625"/>
      <c r="T40" s="2951"/>
      <c r="U40" s="2951"/>
      <c r="V40" s="626"/>
      <c r="W40" s="626"/>
      <c r="X40" s="625"/>
      <c r="Y40" s="625"/>
      <c r="Z40" s="2952"/>
      <c r="AA40" s="626"/>
      <c r="AB40" s="3650"/>
      <c r="AC40" s="630"/>
      <c r="AD40" s="3650"/>
      <c r="AE40" s="630"/>
      <c r="AF40" s="3699"/>
      <c r="AG40" s="630"/>
      <c r="AH40" s="630"/>
      <c r="AI40" s="2311"/>
      <c r="AJ40" s="1543"/>
      <c r="AK40" s="2954"/>
      <c r="AL40" s="2904"/>
    </row>
    <row r="41" spans="1:38" ht="18" customHeight="1">
      <c r="A41" s="2922" t="s">
        <v>922</v>
      </c>
      <c r="B41" s="2922"/>
      <c r="C41" s="2922"/>
      <c r="D41" s="630">
        <f>'Exhibit F'!X39</f>
        <v>-122.69999999999982</v>
      </c>
      <c r="E41" s="630"/>
      <c r="F41" s="630">
        <f>'Exhibit F'!AC39</f>
        <v>2801.1</v>
      </c>
      <c r="G41" s="630"/>
      <c r="H41" s="630">
        <f>'Exhibit G'!X31</f>
        <v>52.5</v>
      </c>
      <c r="I41" s="630"/>
      <c r="J41" s="630">
        <f>'Exhibit G'!AD31</f>
        <v>817.3</v>
      </c>
      <c r="K41" s="630"/>
      <c r="L41" s="1831">
        <v>0</v>
      </c>
      <c r="M41" s="1833"/>
      <c r="N41" s="1832">
        <v>0</v>
      </c>
      <c r="O41" s="630"/>
      <c r="P41" s="1831">
        <f>'Exhibit I'!Y25</f>
        <v>0</v>
      </c>
      <c r="Q41" s="1833"/>
      <c r="R41" s="1831">
        <f>'Exhibit I'!AF25</f>
        <v>0</v>
      </c>
      <c r="S41" s="625"/>
      <c r="T41" s="2951"/>
      <c r="U41" s="2951"/>
      <c r="V41" s="1542">
        <f>SUM(D41)+SUM(H41)+SUM(L41)+SUM(P41)</f>
        <v>-70.199999999999818</v>
      </c>
      <c r="W41" s="626"/>
      <c r="X41" s="1542">
        <f>SUM(F41)+SUM(J41)+SUM(N41)+SUM(R41)</f>
        <v>3618.3999999999996</v>
      </c>
      <c r="Y41" s="625"/>
      <c r="Z41" s="2952"/>
      <c r="AA41" s="626"/>
      <c r="AB41" s="1830">
        <v>27</v>
      </c>
      <c r="AC41" s="630"/>
      <c r="AD41" s="1846">
        <f>'Cashflow Governmental'!AE44</f>
        <v>3273.1</v>
      </c>
      <c r="AE41" s="1833"/>
      <c r="AF41" s="3699"/>
      <c r="AG41" s="630"/>
      <c r="AH41" s="1833">
        <f t="shared" ref="AH41:AH46" si="8">ROUND(SUM(X41)-SUM(AD41),1)</f>
        <v>345.3</v>
      </c>
      <c r="AI41" s="2960"/>
      <c r="AJ41" s="1543">
        <f t="shared" ref="AJ41:AJ46" si="9">ROUND(AH41/AD41,3)</f>
        <v>0.105</v>
      </c>
      <c r="AK41" s="1543"/>
      <c r="AL41" s="2904"/>
    </row>
    <row r="42" spans="1:38" ht="18" customHeight="1">
      <c r="A42" s="2922" t="s">
        <v>923</v>
      </c>
      <c r="B42" s="2922"/>
      <c r="C42" s="2922"/>
      <c r="D42" s="630">
        <f>'Exhibit F'!X40</f>
        <v>0.69999999999998863</v>
      </c>
      <c r="E42" s="630"/>
      <c r="F42" s="630">
        <f>'Exhibit F'!AC40</f>
        <v>294</v>
      </c>
      <c r="G42" s="630"/>
      <c r="H42" s="1847">
        <f>'Exhibit G'!X32</f>
        <v>0.19999999999998863</v>
      </c>
      <c r="I42" s="630"/>
      <c r="J42" s="1847">
        <f>'Exhibit G'!AD32</f>
        <v>109.6</v>
      </c>
      <c r="K42" s="630"/>
      <c r="L42" s="1831">
        <v>0</v>
      </c>
      <c r="M42" s="1833"/>
      <c r="N42" s="1832">
        <v>0</v>
      </c>
      <c r="O42" s="630"/>
      <c r="P42" s="630">
        <f>'Exhibit I'!Y26</f>
        <v>0</v>
      </c>
      <c r="Q42" s="1833"/>
      <c r="R42" s="630">
        <f>'Exhibit I'!AF26</f>
        <v>11.1</v>
      </c>
      <c r="S42" s="625"/>
      <c r="T42" s="2951"/>
      <c r="U42" s="2951"/>
      <c r="V42" s="1542">
        <f>SUM(D42)+SUM(H42)+SUM(L42)+SUM(P42)</f>
        <v>0.89999999999997726</v>
      </c>
      <c r="W42" s="626"/>
      <c r="X42" s="1542">
        <f>SUM(F42)+SUM(J42)+SUM(N42)+SUM(R42)</f>
        <v>414.70000000000005</v>
      </c>
      <c r="Y42" s="625"/>
      <c r="Z42" s="2952"/>
      <c r="AA42" s="626"/>
      <c r="AB42" s="1830">
        <v>-0.1</v>
      </c>
      <c r="AC42" s="630"/>
      <c r="AD42" s="1846">
        <f>'Cashflow Governmental'!AE45</f>
        <v>418.30000000000007</v>
      </c>
      <c r="AE42" s="1833"/>
      <c r="AF42" s="3699"/>
      <c r="AG42" s="630"/>
      <c r="AH42" s="1833">
        <f t="shared" si="8"/>
        <v>-3.6</v>
      </c>
      <c r="AI42" s="2960"/>
      <c r="AJ42" s="1543">
        <f t="shared" si="9"/>
        <v>-8.9999999999999993E-3</v>
      </c>
      <c r="AK42" s="1543"/>
      <c r="AL42" s="2904"/>
    </row>
    <row r="43" spans="1:38" ht="18" customHeight="1">
      <c r="A43" s="2922" t="s">
        <v>924</v>
      </c>
      <c r="B43" s="2922"/>
      <c r="C43" s="2922"/>
      <c r="D43" s="630">
        <f>'Exhibit F'!X41</f>
        <v>0.79999999999995453</v>
      </c>
      <c r="E43" s="630"/>
      <c r="F43" s="630">
        <f>'Exhibit F'!AC41</f>
        <v>1346</v>
      </c>
      <c r="G43" s="630"/>
      <c r="H43" s="630">
        <f>'Exhibit G'!X33</f>
        <v>-0.60000000000002274</v>
      </c>
      <c r="I43" s="630"/>
      <c r="J43" s="630">
        <f>'Exhibit G'!AD33</f>
        <v>182.2</v>
      </c>
      <c r="K43" s="630"/>
      <c r="L43" s="1831">
        <v>0</v>
      </c>
      <c r="M43" s="1833"/>
      <c r="N43" s="1832">
        <v>0</v>
      </c>
      <c r="O43" s="630"/>
      <c r="P43" s="1831">
        <v>0</v>
      </c>
      <c r="Q43" s="1833"/>
      <c r="R43" s="1831">
        <v>0</v>
      </c>
      <c r="S43" s="625"/>
      <c r="T43" s="2951"/>
      <c r="U43" s="2951"/>
      <c r="V43" s="1542">
        <f>SUM(D43)+SUM(H43)+SUM(L43)+SUM(P43)</f>
        <v>0.19999999999993179</v>
      </c>
      <c r="W43" s="626"/>
      <c r="X43" s="1542">
        <f>SUM(F43)+SUM(J43)+SUM(N43)+SUM(R43)</f>
        <v>1528.2</v>
      </c>
      <c r="Y43" s="625"/>
      <c r="Z43" s="2952"/>
      <c r="AA43" s="626"/>
      <c r="AB43" s="1830">
        <v>7</v>
      </c>
      <c r="AC43" s="630"/>
      <c r="AD43" s="1846">
        <f>'Cashflow Governmental'!AE46</f>
        <v>1135.9000000000001</v>
      </c>
      <c r="AE43" s="1833"/>
      <c r="AF43" s="3699"/>
      <c r="AG43" s="630"/>
      <c r="AH43" s="1833">
        <f t="shared" si="8"/>
        <v>392.3</v>
      </c>
      <c r="AI43" s="2960"/>
      <c r="AJ43" s="1543">
        <f t="shared" si="9"/>
        <v>0.34499999999999997</v>
      </c>
      <c r="AK43" s="1543"/>
      <c r="AL43" s="2904"/>
    </row>
    <row r="44" spans="1:38" ht="18" customHeight="1">
      <c r="A44" s="2922" t="s">
        <v>925</v>
      </c>
      <c r="B44" s="2922"/>
      <c r="C44" s="2922"/>
      <c r="D44" s="630">
        <f>'Exhibit F'!X42</f>
        <v>19.599999999999994</v>
      </c>
      <c r="E44" s="630"/>
      <c r="F44" s="630">
        <f>'Exhibit F'!AC42</f>
        <v>-8.8000000000000007</v>
      </c>
      <c r="G44" s="630"/>
      <c r="H44" s="630">
        <f>'Exhibit G'!X34</f>
        <v>5.2999999999999972</v>
      </c>
      <c r="I44" s="630"/>
      <c r="J44" s="630">
        <f>'Exhibit G'!AD34</f>
        <v>3.4</v>
      </c>
      <c r="K44" s="630"/>
      <c r="L44" s="1831">
        <v>0</v>
      </c>
      <c r="M44" s="1833"/>
      <c r="N44" s="1832">
        <v>0</v>
      </c>
      <c r="O44" s="630"/>
      <c r="P44" s="1831">
        <v>0</v>
      </c>
      <c r="Q44" s="1833"/>
      <c r="R44" s="1831">
        <v>0</v>
      </c>
      <c r="S44" s="625"/>
      <c r="T44" s="2951"/>
      <c r="U44" s="2951"/>
      <c r="V44" s="1542">
        <f>SUM(D44)+SUM(H44)+SUM(L44)+SUM(P44)</f>
        <v>24.899999999999991</v>
      </c>
      <c r="W44" s="626"/>
      <c r="X44" s="1542">
        <f>SUM(F44)+SUM(J44)+SUM(N44)+SUM(R44)</f>
        <v>-5.4</v>
      </c>
      <c r="Y44" s="625"/>
      <c r="Z44" s="2952"/>
      <c r="AA44" s="626"/>
      <c r="AB44" s="1830">
        <v>-138.4</v>
      </c>
      <c r="AC44" s="630"/>
      <c r="AD44" s="1846">
        <f>'Cashflow Governmental'!AE47</f>
        <v>-59.1</v>
      </c>
      <c r="AE44" s="1833"/>
      <c r="AF44" s="3699"/>
      <c r="AG44" s="630"/>
      <c r="AH44" s="1833">
        <f t="shared" si="8"/>
        <v>53.7</v>
      </c>
      <c r="AI44" s="2960"/>
      <c r="AJ44" s="2284">
        <f>ROUND(AH44/AD44,3)</f>
        <v>-0.90900000000000003</v>
      </c>
      <c r="AK44" s="1543"/>
      <c r="AL44" s="2904"/>
    </row>
    <row r="45" spans="1:38" ht="18" customHeight="1">
      <c r="A45" s="2922" t="s">
        <v>926</v>
      </c>
      <c r="B45" s="2922"/>
      <c r="C45" s="2922"/>
      <c r="D45" s="630">
        <f>'Exhibit F'!X43</f>
        <v>0</v>
      </c>
      <c r="E45" s="1833"/>
      <c r="F45" s="630">
        <f>'Exhibit F'!AC43</f>
        <v>0</v>
      </c>
      <c r="G45" s="630"/>
      <c r="H45" s="630">
        <f>'Exhibit G'!X35</f>
        <v>35.000000000000007</v>
      </c>
      <c r="I45" s="1833"/>
      <c r="J45" s="630">
        <f>'Exhibit G'!AD35</f>
        <v>471.5</v>
      </c>
      <c r="K45" s="630"/>
      <c r="L45" s="1831">
        <v>0</v>
      </c>
      <c r="M45" s="1833"/>
      <c r="N45" s="1832">
        <v>0</v>
      </c>
      <c r="O45" s="630"/>
      <c r="P45" s="630">
        <f>'Exhibit I'!Y27</f>
        <v>44.999999999999986</v>
      </c>
      <c r="Q45" s="1833"/>
      <c r="R45" s="630">
        <f>'Exhibit I'!AF27</f>
        <v>603.6</v>
      </c>
      <c r="S45" s="625"/>
      <c r="T45" s="2951"/>
      <c r="U45" s="2951"/>
      <c r="V45" s="1542">
        <f>SUM(D45)+SUM(H45)+SUM(L45)+SUM(P45)</f>
        <v>80</v>
      </c>
      <c r="W45" s="626"/>
      <c r="X45" s="1542">
        <f>SUM(F45)+SUM(J45)+SUM(N45)+SUM(R45)</f>
        <v>1075.0999999999999</v>
      </c>
      <c r="Y45" s="625"/>
      <c r="Z45" s="2952"/>
      <c r="AA45" s="626"/>
      <c r="AB45" s="1830">
        <v>95.8</v>
      </c>
      <c r="AC45" s="630"/>
      <c r="AD45" s="1846">
        <f>'Cashflow Governmental'!AE48</f>
        <v>1067.3000000000002</v>
      </c>
      <c r="AE45" s="1833"/>
      <c r="AF45" s="3699"/>
      <c r="AG45" s="630"/>
      <c r="AH45" s="1833">
        <f t="shared" si="8"/>
        <v>7.8</v>
      </c>
      <c r="AI45" s="2961"/>
      <c r="AJ45" s="1543">
        <f t="shared" si="9"/>
        <v>7.0000000000000001E-3</v>
      </c>
      <c r="AK45" s="1543"/>
      <c r="AL45" s="2904"/>
    </row>
    <row r="46" spans="1:38" ht="18" customHeight="1">
      <c r="A46" s="2921" t="s">
        <v>921</v>
      </c>
      <c r="B46" s="2922"/>
      <c r="C46" s="2922"/>
      <c r="D46" s="1545">
        <f>ROUND(SUM(D41:D45),1)</f>
        <v>-101.6</v>
      </c>
      <c r="E46" s="2335"/>
      <c r="F46" s="1545">
        <f>ROUND(SUM(F41:F45),1)</f>
        <v>4432.3</v>
      </c>
      <c r="G46" s="1390"/>
      <c r="H46" s="1545">
        <f>ROUND(SUM(H41:H45),1)</f>
        <v>92.4</v>
      </c>
      <c r="I46" s="2335"/>
      <c r="J46" s="1545">
        <f>ROUND(SUM(J41:J45),1)</f>
        <v>1584</v>
      </c>
      <c r="K46" s="1390"/>
      <c r="L46" s="1845">
        <f>ROUND(SUM(L41:L45),1)</f>
        <v>0</v>
      </c>
      <c r="M46" s="2939"/>
      <c r="N46" s="1845">
        <f>ROUND(SUM(N41:N45),1)</f>
        <v>0</v>
      </c>
      <c r="O46" s="1390"/>
      <c r="P46" s="1545">
        <f>ROUND(SUM(P41:P45),1)</f>
        <v>45</v>
      </c>
      <c r="Q46" s="2335"/>
      <c r="R46" s="1545">
        <f>ROUND(SUM(R41:R45),1)</f>
        <v>614.70000000000005</v>
      </c>
      <c r="S46" s="1390"/>
      <c r="T46" s="2964"/>
      <c r="U46" s="2964"/>
      <c r="V46" s="1545">
        <f>ROUND(SUM(V41:V45),1)</f>
        <v>35.799999999999997</v>
      </c>
      <c r="W46" s="2335"/>
      <c r="X46" s="1545">
        <f>ROUND(SUM(X41:X45),1)</f>
        <v>6631</v>
      </c>
      <c r="Y46" s="2965"/>
      <c r="Z46" s="2336"/>
      <c r="AA46" s="2335"/>
      <c r="AB46" s="1843">
        <f>ROUND(SUM(AB41:AB45),1)</f>
        <v>-8.6999999999999993</v>
      </c>
      <c r="AC46" s="23"/>
      <c r="AD46" s="1843">
        <f>ROUND(SUM(AD41:AD45),1)</f>
        <v>5835.5</v>
      </c>
      <c r="AE46" s="1508"/>
      <c r="AF46" s="3700"/>
      <c r="AG46" s="1508"/>
      <c r="AH46" s="3530">
        <f t="shared" si="8"/>
        <v>795.5</v>
      </c>
      <c r="AI46" s="2305"/>
      <c r="AJ46" s="1546">
        <f t="shared" si="9"/>
        <v>0.13600000000000001</v>
      </c>
      <c r="AK46" s="2966"/>
      <c r="AL46" s="2967"/>
    </row>
    <row r="47" spans="1:38" ht="18" customHeight="1">
      <c r="A47" s="2922"/>
      <c r="B47" s="2922"/>
      <c r="C47" s="2922"/>
      <c r="D47" s="1547"/>
      <c r="E47" s="626"/>
      <c r="F47" s="1547"/>
      <c r="G47" s="625"/>
      <c r="H47" s="1547"/>
      <c r="I47" s="626"/>
      <c r="J47" s="1547"/>
      <c r="K47" s="625"/>
      <c r="L47" s="1844"/>
      <c r="M47" s="1447"/>
      <c r="N47" s="1844"/>
      <c r="O47" s="625"/>
      <c r="P47" s="1547"/>
      <c r="Q47" s="626"/>
      <c r="R47" s="1547"/>
      <c r="S47" s="625"/>
      <c r="T47" s="2951"/>
      <c r="U47" s="2951"/>
      <c r="V47" s="1547"/>
      <c r="W47" s="626"/>
      <c r="X47" s="1547"/>
      <c r="Y47" s="626"/>
      <c r="Z47" s="2952"/>
      <c r="AA47" s="626"/>
      <c r="AB47" s="1844"/>
      <c r="AC47" s="630"/>
      <c r="AD47" s="1844"/>
      <c r="AE47" s="1447"/>
      <c r="AF47" s="3699"/>
      <c r="AG47" s="1447"/>
      <c r="AH47" s="1447"/>
      <c r="AI47" s="623"/>
      <c r="AJ47" s="2953"/>
      <c r="AK47" s="2954"/>
      <c r="AL47" s="2904"/>
    </row>
    <row r="48" spans="1:38" ht="18" customHeight="1">
      <c r="A48" s="2955" t="s">
        <v>1194</v>
      </c>
      <c r="B48" s="2922"/>
      <c r="C48" s="2922"/>
      <c r="D48" s="625"/>
      <c r="E48" s="625"/>
      <c r="F48" s="625"/>
      <c r="G48" s="630"/>
      <c r="H48" s="625"/>
      <c r="I48" s="625"/>
      <c r="J48" s="625"/>
      <c r="K48" s="625"/>
      <c r="L48" s="630"/>
      <c r="M48" s="630"/>
      <c r="N48" s="630"/>
      <c r="O48" s="625"/>
      <c r="P48" s="625"/>
      <c r="Q48" s="625"/>
      <c r="R48" s="625"/>
      <c r="S48" s="625"/>
      <c r="T48" s="2951"/>
      <c r="U48" s="2951"/>
      <c r="V48" s="626"/>
      <c r="W48" s="626"/>
      <c r="X48" s="625"/>
      <c r="Y48" s="625"/>
      <c r="Z48" s="2952"/>
      <c r="AA48" s="626"/>
      <c r="AB48" s="1447"/>
      <c r="AC48" s="630"/>
      <c r="AD48" s="630"/>
      <c r="AE48" s="630"/>
      <c r="AF48" s="3699"/>
      <c r="AG48" s="630"/>
      <c r="AH48" s="630"/>
      <c r="AI48" s="2311"/>
      <c r="AJ48" s="1543"/>
      <c r="AK48" s="2954"/>
      <c r="AL48" s="2904"/>
    </row>
    <row r="49" spans="1:38" ht="18" customHeight="1">
      <c r="A49" s="2922" t="s">
        <v>927</v>
      </c>
      <c r="B49" s="2922"/>
      <c r="C49" s="2922"/>
      <c r="D49" s="1831">
        <f>'Exhibit F'!X46</f>
        <v>0</v>
      </c>
      <c r="E49" s="630"/>
      <c r="F49" s="630">
        <f>'Exhibit F'!AC46</f>
        <v>0</v>
      </c>
      <c r="G49" s="630"/>
      <c r="H49" s="1831">
        <v>0</v>
      </c>
      <c r="I49" s="1833"/>
      <c r="J49" s="1832">
        <v>0</v>
      </c>
      <c r="K49" s="630"/>
      <c r="L49" s="1832">
        <v>0</v>
      </c>
      <c r="M49" s="1832"/>
      <c r="N49" s="1832">
        <v>0</v>
      </c>
      <c r="O49" s="630"/>
      <c r="P49" s="1831">
        <v>0</v>
      </c>
      <c r="Q49" s="1833"/>
      <c r="R49" s="1832">
        <v>0</v>
      </c>
      <c r="S49" s="625"/>
      <c r="T49" s="2951"/>
      <c r="U49" s="2951"/>
      <c r="V49" s="1389">
        <f t="shared" ref="V49:V54" si="10">SUM(D49)+SUM(H49)+SUM(L49)+SUM(P49)</f>
        <v>0</v>
      </c>
      <c r="W49" s="626"/>
      <c r="X49" s="1542">
        <f t="shared" ref="X49:X54" si="11">SUM(F49)+SUM(J49)+SUM(N49)+SUM(R49)</f>
        <v>0</v>
      </c>
      <c r="Y49" s="2959"/>
      <c r="Z49" s="2952"/>
      <c r="AA49" s="626"/>
      <c r="AB49" s="1830">
        <v>0</v>
      </c>
      <c r="AC49" s="630"/>
      <c r="AD49" s="1846">
        <f>'Cashflow Governmental'!AE51</f>
        <v>0</v>
      </c>
      <c r="AE49" s="1833"/>
      <c r="AF49" s="3699"/>
      <c r="AG49" s="2935"/>
      <c r="AH49" s="1833">
        <f t="shared" ref="AH49:AH56" si="12">ROUND(SUM(X49)-SUM(AD49),1)</f>
        <v>0</v>
      </c>
      <c r="AI49" s="2960"/>
      <c r="AJ49" s="1466">
        <f>ROUND(IF(AD49=0,0,-AH49/(AD49)),3)</f>
        <v>0</v>
      </c>
      <c r="AK49" s="1543"/>
      <c r="AL49" s="2904"/>
    </row>
    <row r="50" spans="1:38" ht="18" customHeight="1">
      <c r="A50" s="2922" t="s">
        <v>928</v>
      </c>
      <c r="B50" s="2922"/>
      <c r="C50" s="2922"/>
      <c r="D50" s="1831">
        <f>'Exhibit F'!X47</f>
        <v>115.50000000000006</v>
      </c>
      <c r="E50" s="630"/>
      <c r="F50" s="630">
        <f>'Exhibit F'!AC47</f>
        <v>1022.5</v>
      </c>
      <c r="G50" s="630"/>
      <c r="H50" s="1831">
        <v>0</v>
      </c>
      <c r="I50" s="1833"/>
      <c r="J50" s="1832">
        <v>0</v>
      </c>
      <c r="K50" s="630"/>
      <c r="L50" s="1832">
        <v>0</v>
      </c>
      <c r="M50" s="1832"/>
      <c r="N50" s="1832">
        <v>0</v>
      </c>
      <c r="O50" s="630"/>
      <c r="P50" s="1831">
        <v>0</v>
      </c>
      <c r="Q50" s="1833"/>
      <c r="R50" s="1832">
        <v>0</v>
      </c>
      <c r="S50" s="625"/>
      <c r="T50" s="2951"/>
      <c r="U50" s="2951"/>
      <c r="V50" s="1542">
        <f t="shared" si="10"/>
        <v>115.50000000000006</v>
      </c>
      <c r="W50" s="626"/>
      <c r="X50" s="1542">
        <f t="shared" si="11"/>
        <v>1022.5</v>
      </c>
      <c r="Y50" s="2959"/>
      <c r="Z50" s="2952"/>
      <c r="AA50" s="626"/>
      <c r="AB50" s="1830">
        <v>56.1</v>
      </c>
      <c r="AC50" s="630"/>
      <c r="AD50" s="1846">
        <f>'Cashflow Governmental'!AE52</f>
        <v>1014.4</v>
      </c>
      <c r="AE50" s="1846"/>
      <c r="AF50" s="3699"/>
      <c r="AG50" s="2935"/>
      <c r="AH50" s="1833">
        <f t="shared" si="12"/>
        <v>8.1</v>
      </c>
      <c r="AI50" s="2960"/>
      <c r="AJ50" s="1543">
        <f>ROUND(AH50/AD50,3)</f>
        <v>8.0000000000000002E-3</v>
      </c>
      <c r="AK50" s="1543"/>
      <c r="AL50" s="2904"/>
    </row>
    <row r="51" spans="1:38" ht="18" customHeight="1">
      <c r="A51" s="2922" t="s">
        <v>929</v>
      </c>
      <c r="B51" s="2922"/>
      <c r="C51" s="2922"/>
      <c r="D51" s="1831">
        <f>'Exhibit F'!X48</f>
        <v>0.90000000000000036</v>
      </c>
      <c r="E51" s="630"/>
      <c r="F51" s="630">
        <f>'Exhibit F'!AC48</f>
        <v>13.8</v>
      </c>
      <c r="G51" s="630"/>
      <c r="H51" s="1831">
        <v>0</v>
      </c>
      <c r="I51" s="1833"/>
      <c r="J51" s="1832">
        <v>0</v>
      </c>
      <c r="K51" s="630"/>
      <c r="L51" s="1832">
        <v>0</v>
      </c>
      <c r="M51" s="1832"/>
      <c r="N51" s="1832">
        <v>0</v>
      </c>
      <c r="O51" s="630"/>
      <c r="P51" s="1831">
        <v>0</v>
      </c>
      <c r="Q51" s="1833"/>
      <c r="R51" s="1832">
        <v>0</v>
      </c>
      <c r="S51" s="625"/>
      <c r="T51" s="2951"/>
      <c r="U51" s="2951"/>
      <c r="V51" s="1542">
        <f t="shared" si="10"/>
        <v>0.90000000000000036</v>
      </c>
      <c r="W51" s="626"/>
      <c r="X51" s="1542">
        <f t="shared" si="11"/>
        <v>13.8</v>
      </c>
      <c r="Y51" s="2959"/>
      <c r="Z51" s="2952"/>
      <c r="AA51" s="626"/>
      <c r="AB51" s="1830">
        <v>0.8</v>
      </c>
      <c r="AC51" s="630"/>
      <c r="AD51" s="1846">
        <f>'Cashflow Governmental'!AE53</f>
        <v>14.4</v>
      </c>
      <c r="AE51" s="1846"/>
      <c r="AF51" s="3699"/>
      <c r="AG51" s="2935"/>
      <c r="AH51" s="1833">
        <f t="shared" si="12"/>
        <v>-0.6</v>
      </c>
      <c r="AI51" s="2960"/>
      <c r="AJ51" s="1543">
        <f>ROUND(AH51/AD51,3)</f>
        <v>-4.2000000000000003E-2</v>
      </c>
      <c r="AK51" s="1543"/>
      <c r="AL51" s="2904"/>
    </row>
    <row r="52" spans="1:38" ht="18" customHeight="1">
      <c r="A52" s="2922" t="s">
        <v>930</v>
      </c>
      <c r="B52" s="2922"/>
      <c r="C52" s="2922"/>
      <c r="D52" s="1831">
        <f>'Exhibit F'!X49</f>
        <v>0</v>
      </c>
      <c r="E52" s="1833"/>
      <c r="F52" s="630">
        <f>'Exhibit F'!AC49</f>
        <v>0</v>
      </c>
      <c r="G52" s="630"/>
      <c r="H52" s="1831">
        <v>0</v>
      </c>
      <c r="I52" s="1833"/>
      <c r="J52" s="1832">
        <v>0</v>
      </c>
      <c r="K52" s="630"/>
      <c r="L52" s="1833">
        <f>'Exhibit H'!V22</f>
        <v>72.299999999999898</v>
      </c>
      <c r="M52" s="1833"/>
      <c r="N52" s="1833">
        <f>'Exhibit H'!AA22</f>
        <v>929</v>
      </c>
      <c r="O52" s="630"/>
      <c r="P52" s="1830">
        <f>'Exhibit I'!Y30</f>
        <v>11.900000000000004</v>
      </c>
      <c r="Q52" s="1833"/>
      <c r="R52" s="1846">
        <f>'Exhibit I'!AF30</f>
        <v>107.2</v>
      </c>
      <c r="S52" s="625"/>
      <c r="T52" s="2951"/>
      <c r="U52" s="2951"/>
      <c r="V52" s="1542">
        <f t="shared" si="10"/>
        <v>84.199999999999903</v>
      </c>
      <c r="W52" s="626"/>
      <c r="X52" s="1542">
        <f t="shared" si="11"/>
        <v>1036.2</v>
      </c>
      <c r="Y52" s="2959"/>
      <c r="Z52" s="2952"/>
      <c r="AA52" s="626"/>
      <c r="AB52" s="1830">
        <v>92</v>
      </c>
      <c r="AC52" s="630"/>
      <c r="AD52" s="1846">
        <f>'Cashflow Governmental'!AE54</f>
        <v>1069.2</v>
      </c>
      <c r="AE52" s="1833"/>
      <c r="AF52" s="3699"/>
      <c r="AG52" s="2935"/>
      <c r="AH52" s="1833">
        <f t="shared" si="12"/>
        <v>-33</v>
      </c>
      <c r="AI52" s="2968"/>
      <c r="AJ52" s="1543">
        <f>ROUND(AH52/AD52,3)</f>
        <v>-3.1E-2</v>
      </c>
      <c r="AK52" s="1543"/>
      <c r="AL52" s="2904"/>
    </row>
    <row r="53" spans="1:38" ht="18" customHeight="1">
      <c r="A53" s="2922" t="s">
        <v>931</v>
      </c>
      <c r="B53" s="2922"/>
      <c r="C53" s="2922"/>
      <c r="D53" s="1831">
        <f>'Exhibit F'!X50</f>
        <v>0.10000000000000009</v>
      </c>
      <c r="E53" s="1447"/>
      <c r="F53" s="630">
        <f>'Exhibit F'!AC50</f>
        <v>2</v>
      </c>
      <c r="G53" s="630"/>
      <c r="H53" s="1831">
        <v>0</v>
      </c>
      <c r="I53" s="1833"/>
      <c r="J53" s="1832">
        <v>0</v>
      </c>
      <c r="K53" s="630"/>
      <c r="L53" s="1832">
        <v>0</v>
      </c>
      <c r="M53" s="1832"/>
      <c r="N53" s="1832">
        <v>0</v>
      </c>
      <c r="O53" s="630"/>
      <c r="P53" s="1831">
        <v>0</v>
      </c>
      <c r="Q53" s="1833"/>
      <c r="R53" s="1832">
        <v>0</v>
      </c>
      <c r="S53" s="625"/>
      <c r="T53" s="2951"/>
      <c r="U53" s="2951"/>
      <c r="V53" s="1542">
        <f t="shared" si="10"/>
        <v>0.10000000000000009</v>
      </c>
      <c r="W53" s="626"/>
      <c r="X53" s="1542">
        <f t="shared" si="11"/>
        <v>2</v>
      </c>
      <c r="Y53" s="2959"/>
      <c r="Z53" s="2952"/>
      <c r="AA53" s="626"/>
      <c r="AB53" s="1830">
        <v>0.3</v>
      </c>
      <c r="AC53" s="630"/>
      <c r="AD53" s="1846">
        <f>'Cashflow Governmental'!AE55</f>
        <v>2.6</v>
      </c>
      <c r="AE53" s="1833"/>
      <c r="AF53" s="3699"/>
      <c r="AG53" s="2935"/>
      <c r="AH53" s="1833">
        <f t="shared" si="12"/>
        <v>-0.6</v>
      </c>
      <c r="AI53" s="2968"/>
      <c r="AJ53" s="1466">
        <f>ROUND(IF(AD53=0,0,AH53/(AD53)),3)</f>
        <v>-0.23100000000000001</v>
      </c>
      <c r="AK53" s="1543"/>
      <c r="AL53" s="2904"/>
    </row>
    <row r="54" spans="1:38" ht="18" customHeight="1">
      <c r="A54" s="2962" t="s">
        <v>932</v>
      </c>
      <c r="B54" s="2922"/>
      <c r="C54" s="2922"/>
      <c r="D54" s="1831">
        <f>'Exhibit F'!X51</f>
        <v>0</v>
      </c>
      <c r="E54" s="1447"/>
      <c r="F54" s="630">
        <f>'Exhibit F'!AC51</f>
        <v>0</v>
      </c>
      <c r="G54" s="630"/>
      <c r="H54" s="630">
        <v>0</v>
      </c>
      <c r="I54" s="1833"/>
      <c r="J54" s="1833">
        <v>0</v>
      </c>
      <c r="K54" s="630"/>
      <c r="L54" s="1832">
        <v>0</v>
      </c>
      <c r="M54" s="1832"/>
      <c r="N54" s="1832">
        <v>0</v>
      </c>
      <c r="O54" s="630"/>
      <c r="P54" s="1831">
        <v>0</v>
      </c>
      <c r="Q54" s="1833"/>
      <c r="R54" s="1832">
        <v>0</v>
      </c>
      <c r="S54" s="625"/>
      <c r="T54" s="2951"/>
      <c r="U54" s="2951"/>
      <c r="V54" s="1542">
        <f t="shared" si="10"/>
        <v>0</v>
      </c>
      <c r="W54" s="626"/>
      <c r="X54" s="1542">
        <f t="shared" si="11"/>
        <v>0</v>
      </c>
      <c r="Y54" s="2959"/>
      <c r="Z54" s="2952"/>
      <c r="AA54" s="626"/>
      <c r="AB54" s="1830">
        <v>0</v>
      </c>
      <c r="AC54" s="630"/>
      <c r="AD54" s="1846">
        <f>'Cashflow Governmental'!AE56</f>
        <v>0</v>
      </c>
      <c r="AE54" s="1833"/>
      <c r="AF54" s="3699"/>
      <c r="AG54" s="2935"/>
      <c r="AH54" s="1832">
        <f t="shared" si="12"/>
        <v>0</v>
      </c>
      <c r="AI54" s="2968"/>
      <c r="AJ54" s="1466">
        <f>ROUND(IF(AD54=0,0,AH54/(AD54)),3)</f>
        <v>0</v>
      </c>
      <c r="AK54" s="1543"/>
      <c r="AL54" s="2904"/>
    </row>
    <row r="55" spans="1:38" ht="18" customHeight="1">
      <c r="A55" s="2865" t="s">
        <v>1427</v>
      </c>
      <c r="B55" s="2923"/>
      <c r="C55" s="2923"/>
      <c r="D55" s="1831">
        <f>'Exhibit F'!X52</f>
        <v>0</v>
      </c>
      <c r="E55" s="1447"/>
      <c r="F55" s="630">
        <f>'Exhibit F'!AC52</f>
        <v>0.9</v>
      </c>
      <c r="G55" s="630"/>
      <c r="H55" s="630">
        <v>0</v>
      </c>
      <c r="I55" s="1833"/>
      <c r="J55" s="1833">
        <v>0</v>
      </c>
      <c r="K55" s="630"/>
      <c r="L55" s="1831">
        <f>'Exhibit H'!V23</f>
        <v>-9.999999999999995E-2</v>
      </c>
      <c r="M55" s="1833"/>
      <c r="N55" s="1832">
        <f>'Exhibit H'!AA23</f>
        <v>0.9</v>
      </c>
      <c r="O55" s="630"/>
      <c r="P55" s="1831">
        <v>0</v>
      </c>
      <c r="Q55" s="1833"/>
      <c r="R55" s="1832">
        <v>0</v>
      </c>
      <c r="S55" s="625"/>
      <c r="T55" s="2951"/>
      <c r="U55" s="2951"/>
      <c r="V55" s="1542">
        <f t="shared" ref="V55" si="13">SUM(D55)+SUM(H55)+SUM(L55)+SUM(P55)</f>
        <v>-9.999999999999995E-2</v>
      </c>
      <c r="W55" s="626"/>
      <c r="X55" s="1542">
        <f t="shared" ref="X55" si="14">SUM(F55)+SUM(J55)+SUM(N55)+SUM(R55)</f>
        <v>1.8</v>
      </c>
      <c r="Y55" s="2959"/>
      <c r="Z55" s="2952"/>
      <c r="AA55" s="626"/>
      <c r="AB55" s="1830">
        <v>0</v>
      </c>
      <c r="AC55" s="630"/>
      <c r="AD55" s="1846">
        <f>'Cashflow Governmental'!AE57</f>
        <v>0</v>
      </c>
      <c r="AE55" s="1833"/>
      <c r="AF55" s="3699"/>
      <c r="AG55" s="2935"/>
      <c r="AH55" s="1832">
        <f t="shared" ref="AH55" si="15">ROUND(SUM(X55)-SUM(AD55),1)</f>
        <v>1.8</v>
      </c>
      <c r="AI55" s="2968"/>
      <c r="AJ55" s="1466">
        <f>ROUND(IF(AD55=0,1,AH55/(AD55)),3)</f>
        <v>1</v>
      </c>
      <c r="AK55" s="1543"/>
      <c r="AL55" s="2904"/>
    </row>
    <row r="56" spans="1:38" ht="18" customHeight="1">
      <c r="A56" s="2921" t="s">
        <v>921</v>
      </c>
      <c r="B56" s="2922"/>
      <c r="C56" s="2922"/>
      <c r="D56" s="1545">
        <f>ROUND(SUM(D49:D55),1)</f>
        <v>116.5</v>
      </c>
      <c r="E56" s="2335"/>
      <c r="F56" s="1545">
        <f>ROUND(SUM(F49:F55),1)</f>
        <v>1039.2</v>
      </c>
      <c r="G56" s="23"/>
      <c r="H56" s="1548">
        <f>ROUND(SUM(H49:H55),1)</f>
        <v>0</v>
      </c>
      <c r="I56" s="2969"/>
      <c r="J56" s="1548">
        <f>ROUND(SUM(J49:J55),1)</f>
        <v>0</v>
      </c>
      <c r="K56" s="1390"/>
      <c r="L56" s="1545">
        <f>ROUND(SUM(L49:L55),1)</f>
        <v>72.2</v>
      </c>
      <c r="M56" s="2335"/>
      <c r="N56" s="1545">
        <f>ROUND(SUM(N49:N55),1)</f>
        <v>929.9</v>
      </c>
      <c r="O56" s="1390" t="s">
        <v>15</v>
      </c>
      <c r="P56" s="1545">
        <f>ROUND(SUM(P49:P55),1)</f>
        <v>11.9</v>
      </c>
      <c r="Q56" s="2335"/>
      <c r="R56" s="1545">
        <f>ROUND(SUM(R49:R55),1)</f>
        <v>107.2</v>
      </c>
      <c r="S56" s="1390"/>
      <c r="T56" s="2964"/>
      <c r="U56" s="2964"/>
      <c r="V56" s="1548">
        <f>ROUND(SUM(V49:V55),1)</f>
        <v>200.6</v>
      </c>
      <c r="W56" s="2335"/>
      <c r="X56" s="1548">
        <f>ROUND(SUM(X49:X55),1)</f>
        <v>2076.3000000000002</v>
      </c>
      <c r="Y56" s="2970"/>
      <c r="Z56" s="2336"/>
      <c r="AA56" s="2335"/>
      <c r="AB56" s="2941">
        <f>ROUND(SUM(AB49:AB55),1)</f>
        <v>149.19999999999999</v>
      </c>
      <c r="AC56" s="23"/>
      <c r="AD56" s="2941">
        <f>ROUND(SUM(AD49:AD55),1)</f>
        <v>2100.6</v>
      </c>
      <c r="AE56" s="2939"/>
      <c r="AF56" s="3700"/>
      <c r="AG56" s="2942"/>
      <c r="AH56" s="1876">
        <f t="shared" si="12"/>
        <v>-24.3</v>
      </c>
      <c r="AI56" s="2305"/>
      <c r="AJ56" s="1546">
        <f>ROUND(AH56/AD56,3)</f>
        <v>-1.2E-2</v>
      </c>
      <c r="AK56" s="2966"/>
      <c r="AL56" s="2967"/>
    </row>
    <row r="57" spans="1:38" ht="18" customHeight="1">
      <c r="A57" s="2922"/>
      <c r="B57" s="2922"/>
      <c r="C57" s="2922"/>
      <c r="D57" s="1549"/>
      <c r="E57" s="2305"/>
      <c r="F57" s="1549"/>
      <c r="G57" s="2367"/>
      <c r="H57" s="1549"/>
      <c r="I57" s="2305"/>
      <c r="J57" s="1549"/>
      <c r="K57" s="2367"/>
      <c r="L57" s="1549"/>
      <c r="M57" s="2305"/>
      <c r="N57" s="1549"/>
      <c r="O57" s="2367"/>
      <c r="P57" s="1549"/>
      <c r="Q57" s="2305"/>
      <c r="R57" s="1549"/>
      <c r="S57" s="2367"/>
      <c r="T57" s="2971"/>
      <c r="U57" s="2971"/>
      <c r="V57" s="1549"/>
      <c r="W57" s="2383"/>
      <c r="X57" s="1549"/>
      <c r="Y57" s="2305"/>
      <c r="Z57" s="2972"/>
      <c r="AA57" s="2383"/>
      <c r="AB57" s="3651"/>
      <c r="AC57" s="3195"/>
      <c r="AD57" s="3651"/>
      <c r="AE57" s="2366"/>
      <c r="AF57" s="3701"/>
      <c r="AG57" s="2366"/>
      <c r="AH57" s="3531"/>
      <c r="AI57" s="2305"/>
      <c r="AJ57" s="1550"/>
      <c r="AK57" s="2967"/>
      <c r="AL57" s="2967"/>
    </row>
    <row r="58" spans="1:38" ht="18" customHeight="1" thickBot="1">
      <c r="A58" s="2921" t="s">
        <v>933</v>
      </c>
      <c r="B58" s="2922"/>
      <c r="C58" s="2922"/>
      <c r="D58" s="1551">
        <f>ROUND(SUM(D25)+SUM(D38)+SUM(D46)+SUM(D56),1)</f>
        <v>2421</v>
      </c>
      <c r="E58" s="2973"/>
      <c r="F58" s="1551">
        <f>ROUND(SUM(F25)+SUM(F38)+SUM(F46)+SUM(F56),1)</f>
        <v>35658.699999999997</v>
      </c>
      <c r="G58" s="2974"/>
      <c r="H58" s="1551">
        <f>ROUND(SUM(H25)+SUM(H38)+SUM(H46)+SUM(H56),1)</f>
        <v>220</v>
      </c>
      <c r="I58" s="2973"/>
      <c r="J58" s="1551">
        <f>ROUND(SUM(J25)+SUM(J38)+SUM(J46)+SUM(J56),1)</f>
        <v>5521.3</v>
      </c>
      <c r="K58" s="2973"/>
      <c r="L58" s="1551">
        <f>ROUND(SUM(L25)+SUM(L38)+SUM(L46)+SUM(L56),1)</f>
        <v>2442.8000000000002</v>
      </c>
      <c r="M58" s="2973"/>
      <c r="N58" s="1551">
        <f>ROUND(SUM(N25)+SUM(N38)+SUM(N46)+SUM(N56),1)</f>
        <v>32702.5</v>
      </c>
      <c r="O58" s="2973"/>
      <c r="P58" s="1551">
        <f>ROUND(SUM(P25)+SUM(P38)+SUM(P46)+SUM(P56),1)</f>
        <v>94</v>
      </c>
      <c r="Q58" s="2973"/>
      <c r="R58" s="1551">
        <f>ROUND(SUM(R25)+SUM(R38)+SUM(R46)+SUM(R56),1)</f>
        <v>1296.8</v>
      </c>
      <c r="S58" s="2975"/>
      <c r="T58" s="2976"/>
      <c r="U58" s="2973"/>
      <c r="V58" s="2977">
        <f>ROUND(SUM(V25)+SUM(V38)+SUM(V46)+SUM(V56),1)</f>
        <v>5177.8</v>
      </c>
      <c r="W58" s="2973"/>
      <c r="X58" s="2977">
        <f>ROUND(SUM(X25)+SUM(X38)+SUM(X46)+SUM(X56),1)</f>
        <v>75179.3</v>
      </c>
      <c r="Y58" s="2978"/>
      <c r="Z58" s="2979"/>
      <c r="AA58" s="2973"/>
      <c r="AB58" s="3652">
        <f>ROUND(SUM(AB25)+SUM(AB38)+SUM(AB46)+SUM(AB56),1)</f>
        <v>4698.6000000000004</v>
      </c>
      <c r="AC58" s="2373"/>
      <c r="AD58" s="3652">
        <f>ROUND(SUM(AD25)+SUM(AD38)+SUM(AD46)+SUM(AD56),1)</f>
        <v>68320.7</v>
      </c>
      <c r="AE58" s="2373"/>
      <c r="AF58" s="3702"/>
      <c r="AG58" s="2373"/>
      <c r="AH58" s="25">
        <f>ROUND(SUM(X58)-SUM(AD58),1)</f>
        <v>6858.6</v>
      </c>
      <c r="AI58" s="2305"/>
      <c r="AJ58" s="1552">
        <f>ROUND(AH58/AD58,3)</f>
        <v>0.1</v>
      </c>
      <c r="AK58" s="2966"/>
      <c r="AL58" s="2967"/>
    </row>
    <row r="59" spans="1:38" ht="15" customHeight="1" thickTop="1"/>
    <row r="60" spans="1:38" ht="15" customHeight="1"/>
    <row r="61" spans="1:38" ht="15" customHeight="1"/>
  </sheetData>
  <pageMargins left="0.4" right="0.25" top="0.5" bottom="0.40277777777777801" header="0" footer="0.25"/>
  <pageSetup scale="41" firstPageNumber="16" orientation="landscape" useFirstPageNumber="1" r:id="rId1"/>
  <headerFooter scaleWithDoc="0" alignWithMargins="0">
    <oddFooter>&amp;C&amp;8&amp;P</oddFooter>
  </headerFooter>
  <ignoredErrors>
    <ignoredError sqref="F38 R38 F46 AJ49 AJ22:AJ23" unlockedFormula="1"/>
    <ignoredError sqref="AH24 AJ19 AH19 V31 V21:X22 AJ21 V23" formula="1"/>
    <ignoredError sqref="AJ31 AJ53" formula="1" unlockedFormula="1"/>
    <ignoredError sqref="AC21 AB23:AD23 AC22:AD22 AB25:AD27 AC24:AD24 AB38:AD40 AB46:AD48 AC41:AD45 AB57:AD58 AC16:AD20 AC37:AD37 AC50:AD54 J44 H46:I46 K46:M46 O46:Q46 V44 X44 V46:X46 V57:X58 E53:R53 D58:E58 G58:Q58 D57:R57 E54:G54 K54:R54 E49:R51 E52:K52 M52:O52 Q52:R52 V49:X54 E56 G56 I56 K56 M56 O56 Q56 W56 AC56 AC28:AD34 AC49:AD49" evalError="1"/>
    <ignoredError sqref="R46 N46 J46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2"/>
  <sheetViews>
    <sheetView showGridLines="0" zoomScale="80" workbookViewId="0"/>
  </sheetViews>
  <sheetFormatPr defaultColWidth="8.88671875" defaultRowHeight="16.5" customHeight="1"/>
  <cols>
    <col min="1" max="1" width="43.88671875" style="214" customWidth="1"/>
    <col min="2" max="2" width="1.88671875" style="214" customWidth="1"/>
    <col min="3" max="3" width="13.44140625" style="214" customWidth="1"/>
    <col min="4" max="4" width="1.88671875" style="214" customWidth="1"/>
    <col min="5" max="5" width="13.109375" style="214" customWidth="1"/>
    <col min="6" max="6" width="1.88671875" style="214" customWidth="1"/>
    <col min="7" max="7" width="12.88671875" style="214" customWidth="1"/>
    <col min="8" max="8" width="1.88671875" style="214" customWidth="1"/>
    <col min="9" max="9" width="14.44140625" style="214" customWidth="1"/>
    <col min="10" max="10" width="1.88671875" style="214" customWidth="1"/>
    <col min="11" max="11" width="13.109375" style="214" customWidth="1"/>
    <col min="12" max="12" width="1.88671875" style="214" customWidth="1"/>
    <col min="13" max="13" width="13.109375" style="214" customWidth="1"/>
    <col min="14" max="14" width="1.88671875" style="214" customWidth="1"/>
    <col min="15" max="15" width="13.109375" style="214" customWidth="1"/>
    <col min="16" max="16" width="1.88671875" style="214" customWidth="1"/>
    <col min="17" max="17" width="13.44140625" style="299" customWidth="1"/>
    <col min="18" max="18" width="1.88671875" style="214" customWidth="1"/>
    <col min="19" max="19" width="13.109375" style="214" customWidth="1"/>
    <col min="20" max="20" width="1.88671875" style="214" customWidth="1"/>
    <col min="21" max="21" width="13" style="214" customWidth="1"/>
    <col min="22" max="22" width="1.88671875" style="214" customWidth="1"/>
    <col min="23" max="23" width="13.88671875" style="214" customWidth="1"/>
    <col min="24" max="24" width="1.88671875" style="214" customWidth="1"/>
    <col min="25" max="25" width="12.88671875" style="214" customWidth="1"/>
    <col min="26" max="27" width="1.88671875" style="214" customWidth="1"/>
    <col min="28" max="28" width="15.109375" style="299" customWidth="1"/>
    <col min="29" max="30" width="1.88671875" style="299" customWidth="1"/>
    <col min="31" max="31" width="17.44140625" style="299" customWidth="1"/>
    <col min="32" max="32" width="0.88671875" style="299" customWidth="1"/>
    <col min="33" max="33" width="1.88671875" style="299" customWidth="1"/>
    <col min="34" max="34" width="12.88671875" style="299" bestFit="1" customWidth="1"/>
    <col min="35" max="35" width="1.109375" style="299" customWidth="1"/>
    <col min="36" max="36" width="11.88671875" style="299" customWidth="1"/>
    <col min="37" max="37" width="8.88671875" style="299"/>
    <col min="38" max="16384" width="8.88671875" style="214"/>
  </cols>
  <sheetData>
    <row r="1" spans="1:37" ht="16.5" customHeight="1">
      <c r="A1" s="653" t="s">
        <v>979</v>
      </c>
    </row>
    <row r="2" spans="1:37" ht="16.5" customHeight="1">
      <c r="A2" s="834"/>
    </row>
    <row r="3" spans="1:37" ht="23.1" customHeight="1">
      <c r="A3" s="222" t="s">
        <v>0</v>
      </c>
      <c r="B3" s="225"/>
      <c r="C3" s="225"/>
      <c r="D3" s="225"/>
      <c r="E3" s="225"/>
      <c r="F3" s="225"/>
      <c r="G3" s="225"/>
      <c r="H3" s="225"/>
      <c r="I3" s="225"/>
      <c r="J3" s="225"/>
      <c r="K3" s="225"/>
      <c r="L3" s="225"/>
      <c r="M3" s="225"/>
      <c r="N3" s="225"/>
      <c r="O3" s="225"/>
      <c r="P3" s="225"/>
      <c r="Q3" s="3243"/>
      <c r="R3" s="225"/>
      <c r="S3" s="225"/>
      <c r="T3" s="225"/>
      <c r="U3" s="225"/>
      <c r="V3" s="225"/>
      <c r="W3" s="225"/>
      <c r="X3" s="225"/>
      <c r="Y3" s="225"/>
      <c r="Z3" s="225"/>
      <c r="AA3" s="225"/>
      <c r="AB3" s="3243"/>
      <c r="AC3" s="3243"/>
      <c r="AD3" s="3243"/>
      <c r="AE3" s="3243"/>
      <c r="AF3" s="3243"/>
      <c r="AG3" s="3243"/>
      <c r="AI3" s="3243"/>
    </row>
    <row r="4" spans="1:37" ht="23.25" customHeight="1">
      <c r="A4" s="222" t="s">
        <v>123</v>
      </c>
      <c r="B4" s="225"/>
      <c r="C4" s="225"/>
      <c r="D4" s="225"/>
      <c r="E4" s="225"/>
      <c r="F4" s="225"/>
      <c r="G4" s="225"/>
      <c r="H4" s="225"/>
      <c r="I4" s="225" t="s">
        <v>15</v>
      </c>
      <c r="J4" s="225"/>
      <c r="K4" s="225"/>
      <c r="L4" s="225"/>
      <c r="M4" s="225"/>
      <c r="N4" s="225"/>
      <c r="O4" s="225"/>
      <c r="P4" s="225"/>
      <c r="Q4" s="3243"/>
      <c r="R4" s="225"/>
      <c r="S4" s="225"/>
      <c r="T4" s="225"/>
      <c r="U4" s="225"/>
      <c r="V4" s="225"/>
      <c r="W4" s="225"/>
      <c r="X4" s="225"/>
      <c r="Y4" s="225" t="s">
        <v>15</v>
      </c>
      <c r="Z4" s="225"/>
      <c r="AA4" s="225"/>
      <c r="AB4" s="3243"/>
      <c r="AC4" s="3243"/>
      <c r="AD4" s="3243"/>
      <c r="AE4" s="3243"/>
      <c r="AF4" s="3243"/>
      <c r="AG4" s="3243"/>
      <c r="AI4" s="3243"/>
    </row>
    <row r="5" spans="1:37" ht="23.25" customHeight="1">
      <c r="A5" s="224" t="s">
        <v>124</v>
      </c>
      <c r="B5" s="225"/>
      <c r="C5" s="225"/>
      <c r="D5" s="225"/>
      <c r="E5" s="225"/>
      <c r="F5" s="225"/>
      <c r="G5" s="225"/>
      <c r="H5" s="225"/>
      <c r="I5" s="225"/>
      <c r="J5" s="225"/>
      <c r="K5" s="225"/>
      <c r="L5" s="225"/>
      <c r="M5" s="225"/>
      <c r="N5" s="225"/>
      <c r="O5" s="225"/>
      <c r="P5" s="225"/>
      <c r="Q5" s="3243"/>
      <c r="R5" s="225"/>
      <c r="S5" s="225"/>
      <c r="T5" s="225"/>
      <c r="U5" s="225"/>
      <c r="V5" s="225"/>
      <c r="W5" s="225"/>
      <c r="X5" s="225"/>
      <c r="Y5" s="225"/>
      <c r="Z5" s="225"/>
      <c r="AA5" s="225"/>
      <c r="AC5" s="3921"/>
      <c r="AD5" s="3922"/>
      <c r="AE5" s="3922"/>
      <c r="AF5" s="3922"/>
      <c r="AG5" s="3922"/>
      <c r="AH5" s="3922"/>
      <c r="AI5" s="3922"/>
      <c r="AJ5" s="3922"/>
    </row>
    <row r="6" spans="1:37" ht="23.25" customHeight="1">
      <c r="A6" s="224" t="s">
        <v>1474</v>
      </c>
      <c r="B6" s="225"/>
      <c r="C6" s="225"/>
      <c r="D6" s="225"/>
      <c r="E6" s="225"/>
      <c r="F6" s="225"/>
      <c r="G6" s="225"/>
      <c r="H6" s="225"/>
      <c r="I6" s="225"/>
      <c r="J6" s="225"/>
      <c r="K6" s="225"/>
      <c r="L6" s="225"/>
      <c r="M6" s="225"/>
      <c r="N6" s="225"/>
      <c r="O6" s="225"/>
      <c r="P6" s="225"/>
      <c r="Q6" s="3243"/>
      <c r="R6" s="225"/>
      <c r="S6" s="225"/>
      <c r="T6" s="225"/>
      <c r="U6" s="225"/>
      <c r="V6" s="225"/>
      <c r="W6" s="225"/>
      <c r="X6" s="225"/>
      <c r="Y6" s="225"/>
      <c r="Z6" s="225"/>
      <c r="AA6" s="225"/>
      <c r="AB6" s="3243"/>
      <c r="AC6" s="3243"/>
      <c r="AD6" s="3243"/>
      <c r="AE6" s="3243"/>
      <c r="AF6" s="3243"/>
      <c r="AG6" s="3243"/>
      <c r="AI6" s="3243"/>
    </row>
    <row r="7" spans="1:37" ht="23.25" customHeight="1">
      <c r="A7" s="222" t="s">
        <v>1416</v>
      </c>
      <c r="B7" s="225"/>
      <c r="C7" s="225"/>
      <c r="D7" s="225"/>
      <c r="E7" s="225"/>
      <c r="F7" s="225"/>
      <c r="G7" s="225"/>
      <c r="H7" s="225"/>
      <c r="I7" s="225"/>
      <c r="J7" s="225"/>
      <c r="K7" s="225"/>
      <c r="L7" s="225"/>
      <c r="M7" s="225"/>
      <c r="N7" s="225"/>
      <c r="O7" s="225"/>
      <c r="P7" s="225"/>
      <c r="Q7" s="3243"/>
      <c r="R7" s="225"/>
      <c r="S7" s="225"/>
      <c r="T7" s="225"/>
      <c r="U7" s="225"/>
      <c r="V7" s="225"/>
      <c r="W7" s="225"/>
      <c r="X7" s="225"/>
      <c r="Y7" s="225"/>
      <c r="Z7" s="225"/>
      <c r="AA7" s="225"/>
      <c r="AB7" s="3243"/>
      <c r="AC7" s="3243"/>
      <c r="AD7" s="3243"/>
      <c r="AE7" s="3243"/>
      <c r="AF7" s="3243"/>
      <c r="AG7" s="3243"/>
      <c r="AI7" s="3243"/>
    </row>
    <row r="8" spans="1:37" ht="16.5" customHeight="1">
      <c r="A8" s="225"/>
      <c r="B8" s="225"/>
      <c r="C8" s="225"/>
      <c r="D8" s="225"/>
      <c r="E8" s="225"/>
      <c r="F8" s="225"/>
      <c r="G8" s="225"/>
      <c r="H8" s="225"/>
      <c r="I8" s="225"/>
      <c r="J8" s="225"/>
      <c r="K8" s="225"/>
      <c r="L8" s="225"/>
      <c r="M8" s="225"/>
      <c r="N8" s="225"/>
      <c r="O8" s="225"/>
      <c r="P8" s="225"/>
      <c r="Q8" s="3243"/>
      <c r="R8" s="225"/>
      <c r="S8" s="225"/>
      <c r="T8" s="225"/>
      <c r="U8" s="225"/>
      <c r="V8" s="225"/>
      <c r="W8" s="225"/>
      <c r="X8" s="225"/>
      <c r="Y8" s="225"/>
      <c r="Z8" s="225"/>
      <c r="AA8" s="225"/>
      <c r="AB8" s="3243"/>
      <c r="AC8" s="3243"/>
      <c r="AD8" s="3243"/>
      <c r="AE8" s="3243"/>
      <c r="AF8" s="3243"/>
      <c r="AG8" s="3243"/>
      <c r="AI8" s="3243"/>
    </row>
    <row r="9" spans="1:37" ht="16.5" customHeight="1">
      <c r="A9" s="225"/>
      <c r="B9" s="225"/>
      <c r="C9" s="225"/>
      <c r="D9" s="225"/>
      <c r="E9" s="225"/>
      <c r="F9" s="225"/>
      <c r="G9" s="225"/>
      <c r="H9" s="225"/>
      <c r="I9" s="225"/>
      <c r="J9" s="225"/>
      <c r="K9" s="225"/>
      <c r="L9" s="225"/>
      <c r="M9" s="225"/>
      <c r="N9" s="225"/>
      <c r="O9" s="225"/>
      <c r="P9" s="225"/>
      <c r="Q9" s="3243"/>
      <c r="R9" s="225"/>
      <c r="S9" s="225"/>
      <c r="T9" s="225"/>
      <c r="U9" s="225"/>
      <c r="V9" s="225"/>
      <c r="W9" s="225"/>
      <c r="X9" s="225"/>
      <c r="Y9" s="225"/>
      <c r="Z9" s="225"/>
      <c r="AA9" s="225"/>
      <c r="AB9" s="3243"/>
      <c r="AC9" s="3243"/>
      <c r="AD9" s="3243"/>
      <c r="AE9" s="3243"/>
      <c r="AF9" s="3243"/>
      <c r="AG9" s="3243"/>
      <c r="AI9" s="3243"/>
    </row>
    <row r="10" spans="1:37" ht="16.5" customHeight="1">
      <c r="A10" s="225"/>
      <c r="B10" s="225"/>
      <c r="C10" s="225"/>
      <c r="D10" s="225"/>
      <c r="E10" s="225"/>
      <c r="F10" s="225"/>
      <c r="G10" s="225"/>
      <c r="H10" s="225"/>
      <c r="I10" s="225"/>
      <c r="J10" s="225"/>
      <c r="K10" s="225"/>
      <c r="L10" s="225"/>
      <c r="M10" s="225"/>
      <c r="N10" s="225"/>
      <c r="O10" s="225"/>
      <c r="P10" s="225"/>
      <c r="Q10" s="3243"/>
      <c r="R10" s="225"/>
      <c r="S10" s="225"/>
      <c r="T10" s="225"/>
      <c r="U10" s="225"/>
      <c r="V10" s="225"/>
      <c r="W10" s="225"/>
      <c r="X10" s="225"/>
      <c r="Y10" s="225"/>
      <c r="Z10" s="225"/>
      <c r="AA10" s="225"/>
      <c r="AB10" s="3243"/>
      <c r="AC10" s="3243"/>
      <c r="AD10" s="3243"/>
      <c r="AE10" s="3243"/>
      <c r="AF10" s="3243"/>
      <c r="AG10" s="3243"/>
      <c r="AI10" s="3243"/>
    </row>
    <row r="11" spans="1:37" ht="16.5" customHeight="1">
      <c r="A11" s="225"/>
      <c r="B11" s="225"/>
      <c r="C11" s="225"/>
      <c r="D11" s="225"/>
      <c r="E11" s="225"/>
      <c r="F11" s="225"/>
      <c r="G11" s="225"/>
      <c r="H11" s="225"/>
      <c r="I11" s="225"/>
      <c r="J11" s="225"/>
      <c r="K11" s="225"/>
      <c r="L11" s="225"/>
      <c r="M11" s="225"/>
      <c r="N11" s="225"/>
      <c r="O11" s="225"/>
      <c r="P11" s="225"/>
      <c r="Q11" s="3243"/>
      <c r="R11" s="225"/>
      <c r="S11" s="225"/>
      <c r="T11" s="225"/>
      <c r="U11" s="225"/>
      <c r="V11" s="225"/>
      <c r="W11" s="225"/>
      <c r="X11" s="225"/>
      <c r="Y11" s="225"/>
      <c r="Z11" s="225"/>
      <c r="AA11" s="225"/>
      <c r="AC11" s="3243"/>
      <c r="AD11" s="3243"/>
      <c r="AE11" s="3243"/>
      <c r="AF11" s="3243"/>
      <c r="AG11" s="3243"/>
      <c r="AI11" s="3243"/>
    </row>
    <row r="12" spans="1:37" ht="16.5" customHeight="1">
      <c r="A12" s="225"/>
      <c r="B12" s="225"/>
      <c r="C12" s="225"/>
      <c r="D12" s="225"/>
      <c r="E12" s="225"/>
      <c r="F12" s="225"/>
      <c r="G12" s="225"/>
      <c r="H12" s="225"/>
      <c r="I12" s="225"/>
      <c r="J12" s="225"/>
      <c r="K12" s="225"/>
      <c r="L12" s="225"/>
      <c r="M12" s="225"/>
      <c r="N12" s="225"/>
      <c r="O12" s="225"/>
      <c r="P12" s="225"/>
      <c r="Q12" s="3243"/>
      <c r="R12" s="225"/>
      <c r="S12" s="225"/>
      <c r="T12" s="225"/>
      <c r="U12" s="225"/>
      <c r="V12" s="225"/>
      <c r="W12" s="225"/>
      <c r="X12" s="225"/>
      <c r="Z12" s="225"/>
      <c r="AA12" s="523"/>
      <c r="AB12" s="3923" t="s">
        <v>1594</v>
      </c>
      <c r="AC12" s="3924"/>
      <c r="AD12" s="3924"/>
      <c r="AE12" s="3924"/>
      <c r="AF12" s="3924"/>
      <c r="AG12" s="3924"/>
      <c r="AH12" s="3924"/>
      <c r="AI12" s="3924"/>
      <c r="AJ12" s="3924"/>
    </row>
    <row r="13" spans="1:37" ht="16.5" customHeight="1">
      <c r="A13" s="225"/>
      <c r="B13" s="225"/>
      <c r="C13" s="1583" t="s">
        <v>1326</v>
      </c>
      <c r="D13" s="521"/>
      <c r="E13" s="521"/>
      <c r="F13" s="521"/>
      <c r="G13" s="521"/>
      <c r="H13" s="521"/>
      <c r="I13" s="521"/>
      <c r="J13" s="521"/>
      <c r="K13" s="521"/>
      <c r="L13" s="521"/>
      <c r="M13" s="521"/>
      <c r="N13" s="521"/>
      <c r="O13" s="521"/>
      <c r="P13" s="521"/>
      <c r="Q13" s="3244"/>
      <c r="R13" s="521"/>
      <c r="S13" s="521"/>
      <c r="T13" s="521"/>
      <c r="U13" s="1583" t="s">
        <v>1398</v>
      </c>
      <c r="V13" s="521"/>
      <c r="W13" s="521"/>
      <c r="X13" s="521"/>
      <c r="Y13" s="521"/>
      <c r="Z13" s="521"/>
      <c r="AA13" s="521"/>
      <c r="AB13" s="3244"/>
      <c r="AC13" s="3245"/>
      <c r="AD13" s="3245"/>
      <c r="AE13" s="3245"/>
      <c r="AF13" s="3244"/>
      <c r="AG13" s="3244"/>
      <c r="AH13" s="3465" t="s">
        <v>8</v>
      </c>
      <c r="AI13" s="3466"/>
      <c r="AJ13" s="3465" t="s">
        <v>9</v>
      </c>
    </row>
    <row r="14" spans="1:37" ht="16.5" customHeight="1">
      <c r="A14" s="225"/>
      <c r="B14" s="225"/>
      <c r="C14" s="755" t="s">
        <v>125</v>
      </c>
      <c r="D14" s="521"/>
      <c r="E14" s="755" t="s">
        <v>126</v>
      </c>
      <c r="F14" s="521"/>
      <c r="G14" s="755" t="s">
        <v>127</v>
      </c>
      <c r="H14" s="521"/>
      <c r="I14" s="755" t="s">
        <v>128</v>
      </c>
      <c r="J14" s="521"/>
      <c r="K14" s="755" t="s">
        <v>129</v>
      </c>
      <c r="L14" s="521"/>
      <c r="M14" s="755" t="s">
        <v>130</v>
      </c>
      <c r="N14" s="521"/>
      <c r="O14" s="755" t="s">
        <v>131</v>
      </c>
      <c r="P14" s="521"/>
      <c r="Q14" s="3465" t="s">
        <v>132</v>
      </c>
      <c r="R14" s="521"/>
      <c r="S14" s="755" t="s">
        <v>133</v>
      </c>
      <c r="T14" s="521"/>
      <c r="U14" s="755" t="s">
        <v>134</v>
      </c>
      <c r="V14" s="521"/>
      <c r="W14" s="755" t="s">
        <v>135</v>
      </c>
      <c r="X14" s="521"/>
      <c r="Y14" s="755" t="s">
        <v>136</v>
      </c>
      <c r="Z14" s="521"/>
      <c r="AA14" s="521"/>
      <c r="AB14" s="3246">
        <v>2020</v>
      </c>
      <c r="AC14" s="3244"/>
      <c r="AD14" s="3244"/>
      <c r="AE14" s="3246">
        <v>2019</v>
      </c>
      <c r="AF14" s="3244"/>
      <c r="AG14" s="3244"/>
      <c r="AH14" s="3467" t="s">
        <v>12</v>
      </c>
      <c r="AI14" s="3466"/>
      <c r="AJ14" s="3467" t="s">
        <v>13</v>
      </c>
    </row>
    <row r="15" spans="1:37" ht="6" customHeight="1">
      <c r="A15" s="225"/>
      <c r="B15" s="225"/>
      <c r="C15" s="524"/>
      <c r="D15" s="225"/>
      <c r="E15" s="524"/>
      <c r="F15" s="225"/>
      <c r="G15" s="524"/>
      <c r="H15" s="225"/>
      <c r="I15" s="524"/>
      <c r="J15" s="225"/>
      <c r="K15" s="524"/>
      <c r="L15" s="225"/>
      <c r="M15" s="524"/>
      <c r="N15" s="225"/>
      <c r="O15" s="524" t="s">
        <v>15</v>
      </c>
      <c r="P15" s="225"/>
      <c r="Q15" s="3247"/>
      <c r="R15" s="225"/>
      <c r="S15" s="524"/>
      <c r="T15" s="225"/>
      <c r="U15" s="524" t="s">
        <v>15</v>
      </c>
      <c r="V15" s="225"/>
      <c r="W15" s="524"/>
      <c r="X15" s="225"/>
      <c r="Y15" s="524"/>
      <c r="Z15" s="225"/>
      <c r="AA15" s="225"/>
      <c r="AB15" s="3247"/>
      <c r="AC15" s="3243"/>
      <c r="AD15" s="3243"/>
      <c r="AE15" s="3247"/>
      <c r="AF15" s="3243"/>
      <c r="AG15" s="3243"/>
      <c r="AI15" s="3243"/>
    </row>
    <row r="16" spans="1:37" ht="16.5" customHeight="1">
      <c r="A16" s="522" t="s">
        <v>137</v>
      </c>
      <c r="B16" s="225"/>
      <c r="C16" s="1773">
        <f>'Exhibit F'!D12+'Exhibit G'!D13+'Exhibit H'!B12+'Exhibit I'!E15</f>
        <v>9975</v>
      </c>
      <c r="D16" s="525"/>
      <c r="E16" s="525">
        <f>C148</f>
        <v>18267.7</v>
      </c>
      <c r="F16" s="525"/>
      <c r="G16" s="525">
        <f>E148</f>
        <v>10925.1</v>
      </c>
      <c r="H16" s="525"/>
      <c r="I16" s="525">
        <f>G148</f>
        <v>13728.6</v>
      </c>
      <c r="J16" s="525"/>
      <c r="K16" s="525">
        <f>I148</f>
        <v>12775.1</v>
      </c>
      <c r="L16" s="525"/>
      <c r="M16" s="525">
        <f>K148</f>
        <v>13740.6</v>
      </c>
      <c r="N16" s="525"/>
      <c r="O16" s="525">
        <f>M148</f>
        <v>14310.2</v>
      </c>
      <c r="P16" s="525"/>
      <c r="Q16" s="1773">
        <f>O148</f>
        <v>14340</v>
      </c>
      <c r="R16" s="525"/>
      <c r="S16" s="525">
        <f>Q148</f>
        <v>12090.9</v>
      </c>
      <c r="T16" s="525"/>
      <c r="U16" s="525">
        <f>S148</f>
        <v>14900.3</v>
      </c>
      <c r="V16" s="525"/>
      <c r="W16" s="525">
        <f>U148</f>
        <v>19628</v>
      </c>
      <c r="X16" s="525"/>
      <c r="Y16" s="525"/>
      <c r="Z16" s="525"/>
      <c r="AA16" s="526"/>
      <c r="AB16" s="1773">
        <f>C16</f>
        <v>9975</v>
      </c>
      <c r="AC16" s="1773"/>
      <c r="AD16" s="3468"/>
      <c r="AE16" s="1773">
        <f>'Exhibit F'!AF12+'Exhibit G'!AG13+'Exhibit H'!AD12+'Exhibit I'!AI15</f>
        <v>12749</v>
      </c>
      <c r="AF16" s="1773"/>
      <c r="AG16" s="1773"/>
      <c r="AH16" s="1773">
        <f>ROUND(SUM(AB16-AE16),1)</f>
        <v>-2774</v>
      </c>
      <c r="AI16" s="3244"/>
      <c r="AJ16" s="3469">
        <f>ROUND(SUM(AH16/AE16),3)</f>
        <v>-0.218</v>
      </c>
      <c r="AK16" s="3470"/>
    </row>
    <row r="17" spans="1:36" ht="16.5" customHeight="1">
      <c r="A17" s="225"/>
      <c r="B17" s="225"/>
      <c r="C17" s="225" t="s">
        <v>15</v>
      </c>
      <c r="D17" s="225"/>
      <c r="E17" s="527"/>
      <c r="F17" s="225"/>
      <c r="G17" s="527"/>
      <c r="H17" s="225"/>
      <c r="I17" s="527"/>
      <c r="J17" s="225"/>
      <c r="K17" s="527"/>
      <c r="L17" s="225"/>
      <c r="M17" s="527"/>
      <c r="N17" s="225"/>
      <c r="O17" s="527"/>
      <c r="P17" s="225"/>
      <c r="Q17" s="3475"/>
      <c r="R17" s="225"/>
      <c r="S17" s="527"/>
      <c r="T17" s="225"/>
      <c r="U17" s="527"/>
      <c r="V17" s="225"/>
      <c r="W17" s="527"/>
      <c r="X17" s="225"/>
      <c r="Y17" s="527"/>
      <c r="Z17" s="225"/>
      <c r="AA17" s="528"/>
      <c r="AB17" s="3243" t="s">
        <v>15</v>
      </c>
      <c r="AC17" s="3243"/>
      <c r="AD17" s="3471"/>
      <c r="AE17" s="3243" t="s">
        <v>15</v>
      </c>
      <c r="AF17" s="3243"/>
      <c r="AG17" s="3243"/>
      <c r="AH17" s="902"/>
      <c r="AI17" s="3243"/>
      <c r="AJ17" s="902"/>
    </row>
    <row r="18" spans="1:36" ht="16.5" customHeight="1">
      <c r="A18" s="207" t="s">
        <v>14</v>
      </c>
      <c r="B18" s="225"/>
      <c r="C18" s="225"/>
      <c r="D18" s="225"/>
      <c r="E18" s="527"/>
      <c r="F18" s="225"/>
      <c r="G18" s="527"/>
      <c r="H18" s="225"/>
      <c r="I18" s="527"/>
      <c r="J18" s="225"/>
      <c r="K18" s="527"/>
      <c r="L18" s="225"/>
      <c r="M18" s="527"/>
      <c r="N18" s="225"/>
      <c r="O18" s="527"/>
      <c r="P18" s="225"/>
      <c r="Q18" s="3475"/>
      <c r="R18" s="225"/>
      <c r="S18" s="527"/>
      <c r="T18" s="225"/>
      <c r="U18" s="527"/>
      <c r="V18" s="225"/>
      <c r="W18" s="527"/>
      <c r="X18" s="225"/>
      <c r="Y18" s="527"/>
      <c r="Z18" s="225"/>
      <c r="AA18" s="528"/>
      <c r="AB18" s="3243"/>
      <c r="AC18" s="3243"/>
      <c r="AD18" s="3471"/>
      <c r="AE18" s="3243"/>
      <c r="AF18" s="3243"/>
      <c r="AG18" s="3243"/>
      <c r="AH18" s="902"/>
      <c r="AI18" s="3243"/>
      <c r="AJ18" s="902"/>
    </row>
    <row r="19" spans="1:36" ht="16.5" customHeight="1">
      <c r="A19" s="261" t="s">
        <v>1097</v>
      </c>
      <c r="B19" s="225"/>
      <c r="C19" s="225"/>
      <c r="D19" s="225"/>
      <c r="E19" s="527"/>
      <c r="F19" s="225"/>
      <c r="G19" s="527"/>
      <c r="H19" s="225"/>
      <c r="I19" s="527"/>
      <c r="J19" s="225"/>
      <c r="K19" s="527"/>
      <c r="L19" s="225"/>
      <c r="M19" s="527"/>
      <c r="N19" s="225"/>
      <c r="O19" s="527"/>
      <c r="P19" s="225"/>
      <c r="Q19" s="3475"/>
      <c r="R19" s="225"/>
      <c r="S19" s="527"/>
      <c r="T19" s="225"/>
      <c r="U19" s="527"/>
      <c r="V19" s="225"/>
      <c r="W19" s="527"/>
      <c r="X19" s="225"/>
      <c r="Y19" s="527"/>
      <c r="Z19" s="225"/>
      <c r="AA19" s="528"/>
      <c r="AB19" s="3243"/>
      <c r="AC19" s="3243"/>
      <c r="AD19" s="3471"/>
      <c r="AE19" s="3243"/>
      <c r="AF19" s="3243"/>
      <c r="AG19" s="3243"/>
      <c r="AH19" s="902"/>
      <c r="AI19" s="3243"/>
      <c r="AJ19" s="902"/>
    </row>
    <row r="20" spans="1:36" ht="16.5" customHeight="1">
      <c r="A20" s="1062" t="s">
        <v>1396</v>
      </c>
      <c r="B20" s="680"/>
      <c r="C20" s="622"/>
      <c r="D20" s="622"/>
      <c r="E20" s="622"/>
      <c r="F20" s="622"/>
      <c r="G20" s="622"/>
      <c r="H20" s="225"/>
      <c r="I20" s="527"/>
      <c r="J20" s="225"/>
      <c r="K20" s="527"/>
      <c r="L20" s="225"/>
      <c r="M20" s="527"/>
      <c r="N20" s="225"/>
      <c r="O20" s="527"/>
      <c r="P20" s="225"/>
      <c r="Q20" s="3475"/>
      <c r="R20" s="225"/>
      <c r="S20" s="527"/>
      <c r="T20" s="225"/>
      <c r="U20" s="527"/>
      <c r="V20" s="225"/>
      <c r="W20" s="527"/>
      <c r="X20" s="225"/>
      <c r="Y20" s="527"/>
      <c r="Z20" s="225"/>
      <c r="AA20" s="971"/>
      <c r="AB20" s="3243"/>
      <c r="AC20" s="3243"/>
      <c r="AD20" s="3471"/>
      <c r="AE20" s="3243"/>
      <c r="AF20" s="3243"/>
      <c r="AG20" s="3243"/>
      <c r="AH20" s="902"/>
      <c r="AI20" s="3243"/>
      <c r="AJ20" s="902"/>
    </row>
    <row r="21" spans="1:36" ht="16.5" customHeight="1">
      <c r="A21" s="680" t="s">
        <v>1103</v>
      </c>
      <c r="B21" s="680"/>
      <c r="C21" s="368">
        <f>+'Exhibit F'!D17</f>
        <v>3237.1</v>
      </c>
      <c r="D21" s="624"/>
      <c r="E21" s="368">
        <f>+'Exhibit F'!F17</f>
        <v>3220.1</v>
      </c>
      <c r="F21" s="624"/>
      <c r="G21" s="368">
        <f>+'Exhibit F'!H17</f>
        <v>2922.2999999999997</v>
      </c>
      <c r="H21" s="529"/>
      <c r="I21" s="368">
        <f>+'Exhibit F'!J17</f>
        <v>3365.7999999999988</v>
      </c>
      <c r="J21" s="529"/>
      <c r="K21" s="368">
        <f>+'Exhibit F'!L17</f>
        <v>2933.7000000000012</v>
      </c>
      <c r="L21" s="225"/>
      <c r="M21" s="368">
        <f>+'Exhibit F'!N17</f>
        <v>2851.0999999999981</v>
      </c>
      <c r="N21" s="225"/>
      <c r="O21" s="368">
        <f>+'Exhibit F'!P17</f>
        <v>3270.6000000000045</v>
      </c>
      <c r="P21" s="225"/>
      <c r="Q21" s="368">
        <f>+'Exhibit F'!R17</f>
        <v>2981.8000000000006</v>
      </c>
      <c r="R21" s="225"/>
      <c r="S21" s="368">
        <f>+'Exhibit F'!T17</f>
        <v>4054.2999999999997</v>
      </c>
      <c r="T21" s="225"/>
      <c r="U21" s="368">
        <f>+'Exhibit F'!V17</f>
        <v>5045.6000000000022</v>
      </c>
      <c r="V21" s="225"/>
      <c r="W21" s="368">
        <f>+'Exhibit F'!X17</f>
        <v>4686.5999999999967</v>
      </c>
      <c r="X21" s="225"/>
      <c r="Y21" s="368"/>
      <c r="Z21" s="225"/>
      <c r="AA21" s="971"/>
      <c r="AB21" s="1676">
        <f>ROUND(SUM(C21:Y21),1)</f>
        <v>38569</v>
      </c>
      <c r="AC21" s="3243"/>
      <c r="AD21" s="3471"/>
      <c r="AE21" s="3472">
        <f>+'Exhibit F'!AF17</f>
        <v>36762.199999999997</v>
      </c>
      <c r="AF21" s="3243"/>
      <c r="AG21" s="3243"/>
      <c r="AH21" s="906">
        <f>ROUND(SUM(+AB21-AE21),1)</f>
        <v>1806.8</v>
      </c>
      <c r="AI21" s="3473"/>
      <c r="AJ21" s="1766">
        <f>ROUND(IF(AE21=0,0,AH21/ABS(AE21)),3)</f>
        <v>4.9000000000000002E-2</v>
      </c>
    </row>
    <row r="22" spans="1:36" ht="16.5" customHeight="1">
      <c r="A22" s="680" t="s">
        <v>1391</v>
      </c>
      <c r="B22" s="684"/>
      <c r="C22" s="368">
        <f>+'Exhibit F'!D18</f>
        <v>6843.2</v>
      </c>
      <c r="D22" s="624"/>
      <c r="E22" s="368">
        <f>+'Exhibit F'!F18</f>
        <v>112.60000000000036</v>
      </c>
      <c r="F22" s="624"/>
      <c r="G22" s="368">
        <f>+'Exhibit F'!H18</f>
        <v>2396.4000000000005</v>
      </c>
      <c r="H22" s="529"/>
      <c r="I22" s="368">
        <f>+'Exhibit F'!J18</f>
        <v>118.69999999999891</v>
      </c>
      <c r="J22" s="529"/>
      <c r="K22" s="368">
        <f>+'Exhibit F'!L18</f>
        <v>98.700000000000728</v>
      </c>
      <c r="L22" s="225"/>
      <c r="M22" s="368">
        <f>+'Exhibit F'!N18</f>
        <v>2742</v>
      </c>
      <c r="N22" s="225"/>
      <c r="O22" s="368">
        <f>+'Exhibit F'!P18</f>
        <v>170.89999999999964</v>
      </c>
      <c r="P22" s="225"/>
      <c r="Q22" s="368">
        <f>+'Exhibit F'!R18</f>
        <v>93.5</v>
      </c>
      <c r="R22" s="225"/>
      <c r="S22" s="368">
        <f>+'Exhibit F'!T18</f>
        <v>379.79999999999927</v>
      </c>
      <c r="T22" s="225"/>
      <c r="U22" s="368">
        <f>+'Exhibit F'!V18</f>
        <v>3842.2</v>
      </c>
      <c r="V22" s="225"/>
      <c r="W22" s="368">
        <f>+'Exhibit F'!X18</f>
        <v>101.79999999999927</v>
      </c>
      <c r="X22" s="225"/>
      <c r="Y22" s="368"/>
      <c r="Z22" s="225"/>
      <c r="AA22" s="971"/>
      <c r="AB22" s="1676">
        <f>ROUND(SUM(C22:Y22),1)</f>
        <v>16899.8</v>
      </c>
      <c r="AC22" s="3243"/>
      <c r="AD22" s="3471"/>
      <c r="AE22" s="3472">
        <f>+'Exhibit F'!AF18</f>
        <v>13886.4</v>
      </c>
      <c r="AF22" s="3243"/>
      <c r="AG22" s="3243"/>
      <c r="AH22" s="906">
        <f>ROUND(SUM(+AB22-AE22),1)</f>
        <v>3013.4</v>
      </c>
      <c r="AI22" s="3473"/>
      <c r="AJ22" s="1766">
        <f>ROUND(IF(AE22=0,0,AH22/ABS(AE22)),3)</f>
        <v>0.217</v>
      </c>
    </row>
    <row r="23" spans="1:36" ht="16.5" customHeight="1">
      <c r="A23" s="680" t="s">
        <v>1104</v>
      </c>
      <c r="B23" s="680"/>
      <c r="C23" s="368">
        <f>+'Exhibit F'!D19</f>
        <v>2286.9</v>
      </c>
      <c r="D23" s="624"/>
      <c r="E23" s="368">
        <f>+'Exhibit F'!F19</f>
        <v>75.099999999999994</v>
      </c>
      <c r="F23" s="624"/>
      <c r="G23" s="368">
        <f>+'Exhibit F'!H19</f>
        <v>54.1</v>
      </c>
      <c r="H23" s="529"/>
      <c r="I23" s="368">
        <f>+'Exhibit F'!J19</f>
        <v>40.800000000000004</v>
      </c>
      <c r="J23" s="529"/>
      <c r="K23" s="368">
        <f>+'Exhibit F'!L19</f>
        <v>45.099999999999916</v>
      </c>
      <c r="L23" s="225"/>
      <c r="M23" s="368">
        <f>+'Exhibit F'!N19</f>
        <v>65.5</v>
      </c>
      <c r="N23" s="225"/>
      <c r="O23" s="368">
        <f>+'Exhibit F'!P19</f>
        <v>564.19999999999982</v>
      </c>
      <c r="P23" s="225"/>
      <c r="Q23" s="368">
        <f>+'Exhibit F'!R19</f>
        <v>42.500000000000455</v>
      </c>
      <c r="R23" s="225"/>
      <c r="S23" s="368">
        <f>+'Exhibit F'!T19</f>
        <v>24.599999999999909</v>
      </c>
      <c r="T23" s="225"/>
      <c r="U23" s="368">
        <f>+'Exhibit F'!V19</f>
        <v>25.699999999999818</v>
      </c>
      <c r="V23" s="225"/>
      <c r="W23" s="368">
        <f>+'Exhibit F'!X19</f>
        <v>63.300000000000182</v>
      </c>
      <c r="X23" s="225"/>
      <c r="Y23" s="368"/>
      <c r="Z23" s="225"/>
      <c r="AA23" s="971"/>
      <c r="AB23" s="1676">
        <f>ROUND(SUM(C23:Y23),1)</f>
        <v>3287.8</v>
      </c>
      <c r="AC23" s="3243"/>
      <c r="AD23" s="3471"/>
      <c r="AE23" s="3472">
        <f>+'Exhibit F'!AF19</f>
        <v>2525.1999999999998</v>
      </c>
      <c r="AF23" s="3243"/>
      <c r="AG23" s="3243"/>
      <c r="AH23" s="906">
        <f>ROUND(SUM(+AB23-AE23),1)</f>
        <v>762.6</v>
      </c>
      <c r="AI23" s="3473"/>
      <c r="AJ23" s="1766">
        <f>ROUND(IF(AE23=0,0,AH23/ABS(AE23)),3)</f>
        <v>0.30199999999999999</v>
      </c>
    </row>
    <row r="24" spans="1:36" ht="16.5" customHeight="1">
      <c r="A24" s="1088" t="s">
        <v>1105</v>
      </c>
      <c r="B24" s="680"/>
      <c r="C24" s="368">
        <f>+'Exhibit F'!D20</f>
        <v>-296.89999999999998</v>
      </c>
      <c r="D24" s="624"/>
      <c r="E24" s="368">
        <f>+'Exhibit F'!F20</f>
        <v>-31.100000000000023</v>
      </c>
      <c r="F24" s="624"/>
      <c r="G24" s="368">
        <f>+'Exhibit F'!H20</f>
        <v>-25.899999999999977</v>
      </c>
      <c r="H24" s="529"/>
      <c r="I24" s="368">
        <f>+'Exhibit F'!J20</f>
        <v>-21</v>
      </c>
      <c r="J24" s="529"/>
      <c r="K24" s="368">
        <f>+'Exhibit F'!L20</f>
        <v>-20.900000000000034</v>
      </c>
      <c r="L24" s="225"/>
      <c r="M24" s="368">
        <f>+'Exhibit F'!N20</f>
        <v>-47.199999999999989</v>
      </c>
      <c r="N24" s="225"/>
      <c r="O24" s="368">
        <f>+'Exhibit F'!P20</f>
        <v>-475.39999999999992</v>
      </c>
      <c r="P24" s="225"/>
      <c r="Q24" s="368">
        <f>+'Exhibit F'!R20</f>
        <v>-59.499999999999943</v>
      </c>
      <c r="R24" s="225"/>
      <c r="S24" s="368">
        <f>+'Exhibit F'!T20</f>
        <v>-17.700000000000045</v>
      </c>
      <c r="T24" s="225"/>
      <c r="U24" s="368">
        <f>+'Exhibit F'!V20</f>
        <v>-9.6000000000001364</v>
      </c>
      <c r="V24" s="225"/>
      <c r="W24" s="368">
        <f>+'Exhibit F'!X20</f>
        <v>-40.700000000000045</v>
      </c>
      <c r="X24" s="225"/>
      <c r="Y24" s="368"/>
      <c r="Z24" s="225"/>
      <c r="AA24" s="971"/>
      <c r="AB24" s="1676">
        <f t="shared" ref="AB24:AB30" si="0">ROUND(SUM(C24:Y24),1)</f>
        <v>-1045.9000000000001</v>
      </c>
      <c r="AC24" s="3243"/>
      <c r="AD24" s="3471"/>
      <c r="AE24" s="3472">
        <f>+'Exhibit F'!AF20</f>
        <v>-1064.5</v>
      </c>
      <c r="AF24" s="3243"/>
      <c r="AG24" s="3243"/>
      <c r="AH24" s="906">
        <f>-ROUND(SUM(+AB24-AE24),1)</f>
        <v>-18.600000000000001</v>
      </c>
      <c r="AI24" s="3473"/>
      <c r="AJ24" s="1765">
        <f>ROUND(IF(AE24=0,0,AH24/ABS(AE24)),3)</f>
        <v>-1.7000000000000001E-2</v>
      </c>
    </row>
    <row r="25" spans="1:36" ht="16.5" customHeight="1">
      <c r="A25" s="1088" t="s">
        <v>1390</v>
      </c>
      <c r="B25" s="680"/>
      <c r="C25" s="368">
        <f>+'Exhibit F'!D21</f>
        <v>170.3</v>
      </c>
      <c r="D25" s="624"/>
      <c r="E25" s="368">
        <f>+'Exhibit F'!F21</f>
        <v>105.19999999999999</v>
      </c>
      <c r="F25" s="624"/>
      <c r="G25" s="368">
        <f>+'Exhibit F'!H21</f>
        <v>96.199999999999989</v>
      </c>
      <c r="H25" s="529"/>
      <c r="I25" s="368">
        <f>+'Exhibit F'!J21</f>
        <v>89.300000000000011</v>
      </c>
      <c r="J25" s="529"/>
      <c r="K25" s="368">
        <f>+'Exhibit F'!L21</f>
        <v>95.700000000000045</v>
      </c>
      <c r="L25" s="225"/>
      <c r="M25" s="368">
        <f>+'Exhibit F'!N21</f>
        <v>91.699999999999932</v>
      </c>
      <c r="N25" s="225"/>
      <c r="O25" s="368">
        <f>+'Exhibit F'!P21</f>
        <v>104.30000000000013</v>
      </c>
      <c r="P25" s="225"/>
      <c r="Q25" s="368">
        <f>+'Exhibit F'!R21</f>
        <v>121.59999999999985</v>
      </c>
      <c r="R25" s="225"/>
      <c r="S25" s="368">
        <f>+'Exhibit F'!T21</f>
        <v>134.59999999999991</v>
      </c>
      <c r="T25" s="225"/>
      <c r="U25" s="368">
        <f>+'Exhibit F'!V21</f>
        <v>87.200000000000273</v>
      </c>
      <c r="V25" s="225"/>
      <c r="W25" s="368">
        <f>+'Exhibit F'!X21</f>
        <v>116.59999999999991</v>
      </c>
      <c r="X25" s="225"/>
      <c r="Y25" s="368"/>
      <c r="Z25" s="225"/>
      <c r="AA25" s="971"/>
      <c r="AB25" s="1676">
        <f t="shared" si="0"/>
        <v>1212.7</v>
      </c>
      <c r="AC25" s="3243"/>
      <c r="AD25" s="3471"/>
      <c r="AE25" s="3472">
        <f>+'Exhibit F'!AF21</f>
        <v>1181.5999999999999</v>
      </c>
      <c r="AF25" s="3243"/>
      <c r="AG25" s="3243"/>
      <c r="AH25" s="906">
        <f>ROUND(SUM(+AB25-AE25),1)</f>
        <v>31.1</v>
      </c>
      <c r="AI25" s="3473"/>
      <c r="AJ25" s="1765">
        <f t="shared" ref="AJ25:AJ30" si="1">ROUND(IF(AE25=0,0,AH25/ABS(AE25)),3)</f>
        <v>2.5999999999999999E-2</v>
      </c>
    </row>
    <row r="26" spans="1:36" ht="16.5" customHeight="1">
      <c r="A26" s="681" t="s">
        <v>1106</v>
      </c>
      <c r="B26" s="681"/>
      <c r="C26" s="683">
        <f>ROUND(SUM(C21:C25),1)</f>
        <v>12240.6</v>
      </c>
      <c r="D26" s="26"/>
      <c r="E26" s="683">
        <f>ROUND(SUM(E21:E25),1)</f>
        <v>3481.9</v>
      </c>
      <c r="F26" s="26"/>
      <c r="G26" s="683">
        <f>ROUND(SUM(G21:G25),1)</f>
        <v>5443.1</v>
      </c>
      <c r="H26" s="225"/>
      <c r="I26" s="897">
        <f>ROUND(SUM(I21:I25),1)</f>
        <v>3593.6</v>
      </c>
      <c r="J26" s="225"/>
      <c r="K26" s="897">
        <f>ROUND(SUM(K21:K25),1)</f>
        <v>3152.3</v>
      </c>
      <c r="L26" s="225"/>
      <c r="M26" s="897">
        <f>ROUND(SUM(M21:M25),1)</f>
        <v>5703.1</v>
      </c>
      <c r="N26" s="225"/>
      <c r="O26" s="897">
        <f>ROUND(SUM(O21:O25),1)</f>
        <v>3634.6</v>
      </c>
      <c r="P26" s="225"/>
      <c r="Q26" s="3249">
        <f>ROUND(SUM(Q21:Q25),1)</f>
        <v>3179.9</v>
      </c>
      <c r="R26" s="225"/>
      <c r="S26" s="897">
        <f>ROUND(SUM(S21:S25),1)</f>
        <v>4575.6000000000004</v>
      </c>
      <c r="T26" s="225"/>
      <c r="U26" s="897">
        <f>ROUND(SUM(U21:U25),1)</f>
        <v>8991.1</v>
      </c>
      <c r="V26" s="225"/>
      <c r="W26" s="897">
        <f>ROUND(SUM(W21:W25),1)</f>
        <v>4927.6000000000004</v>
      </c>
      <c r="X26" s="225"/>
      <c r="Y26" s="897">
        <f>ROUND(SUM(Y21:Y25),1)</f>
        <v>0</v>
      </c>
      <c r="Z26" s="225"/>
      <c r="AA26" s="971"/>
      <c r="AB26" s="3248">
        <f>ROUND(SUM(C26:Y26),1)</f>
        <v>58923.4</v>
      </c>
      <c r="AC26" s="3243"/>
      <c r="AD26" s="3471"/>
      <c r="AE26" s="3249">
        <f>ROUND(SUM(AE21:AE25),1)</f>
        <v>53290.9</v>
      </c>
      <c r="AF26" s="3243"/>
      <c r="AG26" s="3243"/>
      <c r="AH26" s="1574">
        <f>ROUND(SUM(AB26-AE26),1)</f>
        <v>5632.5</v>
      </c>
      <c r="AI26" s="3473"/>
      <c r="AJ26" s="2247">
        <f t="shared" si="1"/>
        <v>0.106</v>
      </c>
    </row>
    <row r="27" spans="1:36" ht="16.5" customHeight="1">
      <c r="A27" s="1088" t="s">
        <v>1108</v>
      </c>
      <c r="B27" s="680"/>
      <c r="C27" s="1392">
        <v>0</v>
      </c>
      <c r="D27" s="625"/>
      <c r="E27" s="1392">
        <v>0</v>
      </c>
      <c r="F27" s="625"/>
      <c r="G27" s="1392">
        <v>0</v>
      </c>
      <c r="H27" s="1467"/>
      <c r="I27" s="1392">
        <v>0</v>
      </c>
      <c r="J27" s="1467"/>
      <c r="K27" s="1392">
        <v>0</v>
      </c>
      <c r="L27" s="1468"/>
      <c r="M27" s="1392">
        <v>0</v>
      </c>
      <c r="N27" s="1468"/>
      <c r="O27" s="1392">
        <v>0</v>
      </c>
      <c r="P27" s="225"/>
      <c r="Q27" s="1392">
        <v>0</v>
      </c>
      <c r="R27" s="225"/>
      <c r="S27" s="1392">
        <v>0</v>
      </c>
      <c r="T27" s="225"/>
      <c r="U27" s="1392">
        <v>0</v>
      </c>
      <c r="V27" s="225"/>
      <c r="W27" s="1392">
        <v>0</v>
      </c>
      <c r="X27" s="225"/>
      <c r="Y27" s="1392"/>
      <c r="Z27" s="225"/>
      <c r="AA27" s="971"/>
      <c r="AB27" s="1676">
        <f t="shared" si="0"/>
        <v>0</v>
      </c>
      <c r="AC27" s="3243"/>
      <c r="AD27" s="3471"/>
      <c r="AE27" s="3474">
        <f>+'Exhibit F'!AF23+'Exhibit G'!AG17</f>
        <v>0</v>
      </c>
      <c r="AF27" s="3243"/>
      <c r="AG27" s="3243"/>
      <c r="AH27" s="906">
        <f>ROUND(SUM(+AB27-AE27),1)</f>
        <v>0</v>
      </c>
      <c r="AI27" s="3473"/>
      <c r="AJ27" s="1765">
        <f t="shared" si="1"/>
        <v>0</v>
      </c>
    </row>
    <row r="28" spans="1:36" ht="16.5" customHeight="1">
      <c r="A28" s="1088" t="s">
        <v>1109</v>
      </c>
      <c r="B28" s="680"/>
      <c r="C28" s="627">
        <f>'Exhibit F'!D24+'Exhibit H'!B16</f>
        <v>0</v>
      </c>
      <c r="D28" s="625"/>
      <c r="E28" s="627">
        <f>ROUND('Exhibit F'!F24+'Exhibit H'!D16,1)</f>
        <v>0</v>
      </c>
      <c r="F28" s="625"/>
      <c r="G28" s="627">
        <f>ROUND('Exhibit F'!H24+'Exhibit H'!F16,1)</f>
        <v>0</v>
      </c>
      <c r="H28" s="1467"/>
      <c r="I28" s="627">
        <f>ROUND('Exhibit F'!J24+'Exhibit H'!H16,1)</f>
        <v>0</v>
      </c>
      <c r="J28" s="1467"/>
      <c r="K28" s="627">
        <f>ROUND('Exhibit F'!L24+'Exhibit H'!J16,1)</f>
        <v>0</v>
      </c>
      <c r="L28" s="1468"/>
      <c r="M28" s="627">
        <f>ROUND('Exhibit F'!N24+'Exhibit H'!L16,1)</f>
        <v>0</v>
      </c>
      <c r="N28" s="1468"/>
      <c r="O28" s="627">
        <f>ROUND('Exhibit F'!P24+'Exhibit H'!N16,1)</f>
        <v>0</v>
      </c>
      <c r="P28" s="225"/>
      <c r="Q28" s="627">
        <f>ROUND('Exhibit F'!R24+'Exhibit H'!P16,1)</f>
        <v>0</v>
      </c>
      <c r="R28" s="225"/>
      <c r="S28" s="627">
        <f>ROUND('Exhibit F'!T24+'Exhibit H'!R16,1)</f>
        <v>0</v>
      </c>
      <c r="T28" s="225"/>
      <c r="U28" s="627">
        <f>ROUND('Exhibit F'!V24+'Exhibit H'!T16,1)</f>
        <v>0</v>
      </c>
      <c r="V28" s="225"/>
      <c r="W28" s="627">
        <f>ROUND('Exhibit F'!X24+'Exhibit H'!V16,1)</f>
        <v>0</v>
      </c>
      <c r="X28" s="225"/>
      <c r="Y28" s="627"/>
      <c r="Z28" s="225"/>
      <c r="AA28" s="971"/>
      <c r="AB28" s="1676">
        <f t="shared" si="0"/>
        <v>0</v>
      </c>
      <c r="AC28" s="3243"/>
      <c r="AD28" s="3471"/>
      <c r="AE28" s="1831">
        <f>+'Exhibit F'!AF24+'Exhibit H'!AD16</f>
        <v>0</v>
      </c>
      <c r="AF28" s="3243"/>
      <c r="AG28" s="3243"/>
      <c r="AH28" s="906">
        <f>ROUND(SUM(+AB28-AE28),1)</f>
        <v>0</v>
      </c>
      <c r="AI28" s="3473"/>
      <c r="AJ28" s="1765">
        <f>ROUND(IF(AE28=0,0,AH28/ABS(AE28)),3)</f>
        <v>0</v>
      </c>
    </row>
    <row r="29" spans="1:36" ht="16.5" customHeight="1">
      <c r="A29" s="680" t="s">
        <v>1392</v>
      </c>
      <c r="B29" s="680"/>
      <c r="C29" s="368">
        <f>+'Exhibit F'!D25</f>
        <v>-3025.2</v>
      </c>
      <c r="D29" s="624"/>
      <c r="E29" s="368">
        <f>+'Exhibit F'!F25</f>
        <v>-997.30000000000018</v>
      </c>
      <c r="F29" s="624"/>
      <c r="G29" s="368">
        <f>+'Exhibit F'!H25</f>
        <v>-233.19999999999982</v>
      </c>
      <c r="H29" s="529"/>
      <c r="I29" s="368">
        <f>+'Exhibit F'!J25</f>
        <v>-262</v>
      </c>
      <c r="J29" s="529"/>
      <c r="K29" s="368">
        <f>+'Exhibit F'!L25</f>
        <v>-243.80000000000018</v>
      </c>
      <c r="L29" s="225"/>
      <c r="M29" s="368">
        <f>+'Exhibit F'!N25</f>
        <v>-871.69999999999982</v>
      </c>
      <c r="N29" s="225"/>
      <c r="O29" s="368">
        <f>+'Exhibit F'!P25</f>
        <v>-1056.1999999999998</v>
      </c>
      <c r="P29" s="225"/>
      <c r="Q29" s="368">
        <f>+'Exhibit F'!R25</f>
        <v>-710.5</v>
      </c>
      <c r="R29" s="225"/>
      <c r="S29" s="368">
        <f>+'Exhibit F'!T25</f>
        <v>-287.60000000000036</v>
      </c>
      <c r="T29" s="225"/>
      <c r="U29" s="368">
        <f>+'Exhibit F'!V25</f>
        <v>-91.899999999999636</v>
      </c>
      <c r="V29" s="225"/>
      <c r="W29" s="368">
        <f>+'Exhibit F'!X25</f>
        <v>-1230.8000000000011</v>
      </c>
      <c r="X29" s="225"/>
      <c r="Y29" s="368"/>
      <c r="Z29" s="225"/>
      <c r="AA29" s="971"/>
      <c r="AB29" s="1676">
        <f t="shared" si="0"/>
        <v>-9010.2000000000007</v>
      </c>
      <c r="AC29" s="3243"/>
      <c r="AD29" s="3471"/>
      <c r="AE29" s="3472">
        <f>+'Exhibit F'!AF25</f>
        <v>-8762.6</v>
      </c>
      <c r="AF29" s="3243"/>
      <c r="AG29" s="3243"/>
      <c r="AH29" s="906">
        <f>-ROUND(SUM(+AB29-AE29),1)</f>
        <v>247.6</v>
      </c>
      <c r="AI29" s="3473"/>
      <c r="AJ29" s="1765">
        <f t="shared" si="1"/>
        <v>2.8000000000000001E-2</v>
      </c>
    </row>
    <row r="30" spans="1:36" ht="16.5" customHeight="1">
      <c r="A30" s="312" t="s">
        <v>1107</v>
      </c>
      <c r="B30" s="680"/>
      <c r="C30" s="897">
        <f>ROUND(SUM(C26)+SUM(C27)+SUM(C28)+SUM(C29),1)</f>
        <v>9215.4</v>
      </c>
      <c r="D30" s="26"/>
      <c r="E30" s="897">
        <f>ROUND(SUM(E26)+SUM(E27)+SUM(E28)+SUM(E29),1)</f>
        <v>2484.6</v>
      </c>
      <c r="F30" s="26"/>
      <c r="G30" s="897">
        <f>ROUND(SUM(G26)+SUM(G27)+SUM(G28)+SUM(G29),1)</f>
        <v>5209.8999999999996</v>
      </c>
      <c r="H30" s="225"/>
      <c r="I30" s="897">
        <f>ROUND(SUM(I26)+SUM(I27)+SUM(I28)+SUM(I29),1)</f>
        <v>3331.6</v>
      </c>
      <c r="J30" s="225"/>
      <c r="K30" s="897">
        <f>ROUND(SUM(K26)+SUM(K27)+SUM(K28)+SUM(K29),1)</f>
        <v>2908.5</v>
      </c>
      <c r="L30" s="225"/>
      <c r="M30" s="897">
        <f>ROUND(SUM(M26)+SUM(M27)+SUM(M28)+SUM(M29),1)</f>
        <v>4831.3999999999996</v>
      </c>
      <c r="N30" s="225"/>
      <c r="O30" s="897">
        <f>ROUND(SUM(O26)+SUM(O27)+SUM(O28)+SUM(O29),1)</f>
        <v>2578.4</v>
      </c>
      <c r="P30" s="225"/>
      <c r="Q30" s="3249">
        <f>ROUND(SUM(Q26)+SUM(Q27)+SUM(Q28)+SUM(Q29),1)</f>
        <v>2469.4</v>
      </c>
      <c r="R30" s="225"/>
      <c r="S30" s="897">
        <f>ROUND(SUM(S26)+SUM(S27)+SUM(S28)+SUM(S29),1)</f>
        <v>4288</v>
      </c>
      <c r="T30" s="225"/>
      <c r="U30" s="897">
        <f>ROUND(SUM(U26)+SUM(U27)+SUM(U28)+SUM(U29),1)</f>
        <v>8899.2000000000007</v>
      </c>
      <c r="V30" s="225"/>
      <c r="W30" s="897">
        <f>ROUND(SUM(W26)+SUM(W27)+SUM(W28)+SUM(W29),1)</f>
        <v>3696.8</v>
      </c>
      <c r="X30" s="225"/>
      <c r="Y30" s="897">
        <f>ROUND(SUM(Y26)+SUM(Y27)+SUM(Y28)+SUM(Y29),1)</f>
        <v>0</v>
      </c>
      <c r="Z30" s="225"/>
      <c r="AA30" s="971"/>
      <c r="AB30" s="3248">
        <f t="shared" si="0"/>
        <v>49913.2</v>
      </c>
      <c r="AC30" s="3243"/>
      <c r="AD30" s="3471"/>
      <c r="AE30" s="3249">
        <f>ROUND(SUM(AE26)+SUM(AE27)+SUM(AE28)+SUM(AE29),1)</f>
        <v>44528.3</v>
      </c>
      <c r="AF30" s="3243"/>
      <c r="AG30" s="3243"/>
      <c r="AH30" s="1574">
        <f>ROUND(SUM(AH26+AH27+AH28-AH29),1)</f>
        <v>5384.9</v>
      </c>
      <c r="AI30" s="1035"/>
      <c r="AJ30" s="2247">
        <f t="shared" si="1"/>
        <v>0.121</v>
      </c>
    </row>
    <row r="31" spans="1:36" ht="16.5" customHeight="1">
      <c r="A31" s="1062" t="s">
        <v>1161</v>
      </c>
      <c r="B31" s="684"/>
      <c r="C31" s="620"/>
      <c r="D31" s="620"/>
      <c r="E31" s="620"/>
      <c r="F31" s="620"/>
      <c r="G31" s="620"/>
      <c r="H31" s="225"/>
      <c r="I31" s="620"/>
      <c r="J31" s="225"/>
      <c r="K31" s="620"/>
      <c r="L31" s="225"/>
      <c r="M31" s="620"/>
      <c r="N31" s="225"/>
      <c r="O31" s="620"/>
      <c r="P31" s="225"/>
      <c r="Q31" s="3559"/>
      <c r="R31" s="225"/>
      <c r="S31" s="620"/>
      <c r="T31" s="225"/>
      <c r="U31" s="620"/>
      <c r="V31" s="225"/>
      <c r="W31" s="620"/>
      <c r="X31" s="225"/>
      <c r="Y31" s="620"/>
      <c r="Z31" s="225"/>
      <c r="AA31" s="971"/>
      <c r="AB31" s="3243"/>
      <c r="AC31" s="3243"/>
      <c r="AD31" s="3471"/>
      <c r="AE31" s="3475"/>
      <c r="AF31" s="3243"/>
      <c r="AG31" s="3243"/>
      <c r="AH31" s="115"/>
      <c r="AI31" s="1035"/>
      <c r="AJ31" s="3476"/>
    </row>
    <row r="32" spans="1:36" ht="16.5" customHeight="1">
      <c r="A32" s="680" t="s">
        <v>1112</v>
      </c>
      <c r="B32" s="684"/>
      <c r="C32" s="368">
        <f>+'Exhibit F'!D28+'Exhibit G'!D20+'Exhibit H'!B19</f>
        <v>1201.5999999999999</v>
      </c>
      <c r="D32" s="624"/>
      <c r="E32" s="368">
        <f>+'Exhibit F'!F28+'Exhibit G'!F20+'Exhibit H'!D19</f>
        <v>1178.8000000000002</v>
      </c>
      <c r="F32" s="624"/>
      <c r="G32" s="368">
        <f>+'Exhibit F'!H28+'Exhibit G'!H20+'Exhibit H'!F19</f>
        <v>1589.4999999999998</v>
      </c>
      <c r="H32" s="529"/>
      <c r="I32" s="368">
        <f>+'Exhibit F'!J28+'Exhibit G'!J20+'Exhibit H'!H19</f>
        <v>1238.1999999999998</v>
      </c>
      <c r="J32" s="529"/>
      <c r="K32" s="368">
        <f>+'Exhibit F'!L28+'Exhibit G'!L20+'Exhibit H'!J19</f>
        <v>1243.6000000000004</v>
      </c>
      <c r="L32" s="225"/>
      <c r="M32" s="368">
        <f>+'Exhibit F'!N28+'Exhibit G'!N20+'Exhibit H'!L19</f>
        <v>1628.1999999999996</v>
      </c>
      <c r="N32" s="225"/>
      <c r="O32" s="368">
        <f>+'Exhibit F'!P28+'Exhibit G'!P20+'Exhibit H'!N19</f>
        <v>1238.3000000000002</v>
      </c>
      <c r="P32" s="225"/>
      <c r="Q32" s="368">
        <f>+'Exhibit F'!R28+'Exhibit G'!R20+'Exhibit H'!P19</f>
        <v>1250.5999999999999</v>
      </c>
      <c r="R32" s="225"/>
      <c r="S32" s="368">
        <f>+'Exhibit F'!T28+'Exhibit G'!T20+'Exhibit H'!R19</f>
        <v>1586.8000000000006</v>
      </c>
      <c r="T32" s="225"/>
      <c r="U32" s="368">
        <f>+'Exhibit F'!V28+'Exhibit G'!V20+'Exhibit H'!T19</f>
        <v>1360.8999999999999</v>
      </c>
      <c r="V32" s="225"/>
      <c r="W32" s="368">
        <f>+'Exhibit F'!X28+'Exhibit G'!X20+'Exhibit H'!V19</f>
        <v>1118.6999999999996</v>
      </c>
      <c r="X32" s="225"/>
      <c r="Y32" s="368"/>
      <c r="Z32" s="225"/>
      <c r="AA32" s="971"/>
      <c r="AB32" s="1676">
        <f t="shared" ref="AB32:AB41" si="2">ROUND(SUM(C32:Y32),1)</f>
        <v>14635.2</v>
      </c>
      <c r="AC32" s="3243"/>
      <c r="AD32" s="3471"/>
      <c r="AE32" s="3472">
        <f>+'Exhibit F'!AF28+'Exhibit G'!AG20+'Exhibit H'!AD19</f>
        <v>13792.5</v>
      </c>
      <c r="AF32" s="3243"/>
      <c r="AG32" s="3243"/>
      <c r="AH32" s="906">
        <f t="shared" ref="AH32:AH41" si="3">ROUND(SUM(+AB32-AE32),1)</f>
        <v>842.7</v>
      </c>
      <c r="AI32" s="1035"/>
      <c r="AJ32" s="1766">
        <f t="shared" ref="AJ32:AJ42" si="4">ROUND(IF(AE32=0,0,AH32/ABS(AE32)),3)</f>
        <v>6.0999999999999999E-2</v>
      </c>
    </row>
    <row r="33" spans="1:36" ht="16.5" customHeight="1">
      <c r="A33" s="680" t="s">
        <v>1113</v>
      </c>
      <c r="B33" s="684"/>
      <c r="C33" s="368">
        <f>+'Exhibit F'!D29+'Exhibit G'!D21+'Exhibit I'!E20</f>
        <v>3.5</v>
      </c>
      <c r="D33" s="624"/>
      <c r="E33" s="368">
        <f>+'Exhibit F'!F29+'Exhibit G'!F21+'Exhibit I'!G20</f>
        <v>0.29999999999999982</v>
      </c>
      <c r="F33" s="624"/>
      <c r="G33" s="368">
        <f>+'Exhibit F'!H29+'Exhibit G'!H21+'Exhibit I'!I20</f>
        <v>19.5</v>
      </c>
      <c r="H33" s="529"/>
      <c r="I33" s="368">
        <f>+'Exhibit F'!J29+'Exhibit G'!J21+'Exhibit I'!K20</f>
        <v>9.9999999999997868E-2</v>
      </c>
      <c r="J33" s="529"/>
      <c r="K33" s="368">
        <f>+'Exhibit F'!L29+'Exhibit G'!L21+'Exhibit I'!M20</f>
        <v>0.10000000000000142</v>
      </c>
      <c r="L33" s="225"/>
      <c r="M33" s="368">
        <f>+'Exhibit F'!N29+'Exhibit G'!N21+'Exhibit I'!O20</f>
        <v>41.000000000000007</v>
      </c>
      <c r="N33" s="225"/>
      <c r="O33" s="368">
        <f>+'Exhibit F'!P29+'Exhibit G'!P21+'Exhibit I'!Q20</f>
        <v>-7.3000000000000078</v>
      </c>
      <c r="P33" s="225"/>
      <c r="Q33" s="368">
        <f>+'Exhibit F'!R29+'Exhibit G'!R21+'Exhibit I'!S20</f>
        <v>0.10000000000000142</v>
      </c>
      <c r="R33" s="225"/>
      <c r="S33" s="368">
        <f>+'Exhibit F'!T29+'Exhibit G'!T21+'Exhibit I'!U20</f>
        <v>26.2</v>
      </c>
      <c r="T33" s="225"/>
      <c r="U33" s="368">
        <f>+'Exhibit F'!V29+'Exhibit G'!V21+'Exhibit I'!W20</f>
        <v>0</v>
      </c>
      <c r="V33" s="225"/>
      <c r="W33" s="368">
        <f>+'Exhibit F'!X29+'Exhibit G'!X21+'Exhibit I'!Y20</f>
        <v>0.10000000000000853</v>
      </c>
      <c r="X33" s="225"/>
      <c r="Y33" s="368"/>
      <c r="Z33" s="225"/>
      <c r="AA33" s="971"/>
      <c r="AB33" s="1676">
        <f t="shared" si="2"/>
        <v>83.6</v>
      </c>
      <c r="AC33" s="3243"/>
      <c r="AD33" s="3471"/>
      <c r="AE33" s="3472">
        <f>+'Exhibit F'!AF29+'Exhibit G'!AG21+'Exhibit I'!AI20</f>
        <v>108.60000000000001</v>
      </c>
      <c r="AF33" s="3243"/>
      <c r="AG33" s="3243"/>
      <c r="AH33" s="906">
        <f t="shared" si="3"/>
        <v>-25</v>
      </c>
      <c r="AI33" s="1035"/>
      <c r="AJ33" s="1766">
        <f t="shared" si="4"/>
        <v>-0.23</v>
      </c>
    </row>
    <row r="34" spans="1:36" ht="16.5" customHeight="1">
      <c r="A34" s="680" t="s">
        <v>1114</v>
      </c>
      <c r="B34" s="680"/>
      <c r="C34" s="368">
        <f>+'Exhibit F'!D30+'Exhibit G'!D22</f>
        <v>89.2</v>
      </c>
      <c r="D34" s="624"/>
      <c r="E34" s="368">
        <f>+'Exhibit F'!F30+'Exhibit G'!F22</f>
        <v>85.199999999999989</v>
      </c>
      <c r="F34" s="624"/>
      <c r="G34" s="368">
        <f>+'Exhibit F'!H30+'Exhibit G'!H22</f>
        <v>83.800000000000011</v>
      </c>
      <c r="H34" s="529"/>
      <c r="I34" s="368">
        <f>+'Exhibit F'!J30+'Exhibit G'!J22</f>
        <v>106.80000000000004</v>
      </c>
      <c r="J34" s="529"/>
      <c r="K34" s="368">
        <f>+'Exhibit F'!L30+'Exhibit G'!L22</f>
        <v>92.199999999999974</v>
      </c>
      <c r="L34" s="225"/>
      <c r="M34" s="368">
        <f>+'Exhibit F'!N30+'Exhibit G'!N22</f>
        <v>87.700000000000045</v>
      </c>
      <c r="N34" s="225"/>
      <c r="O34" s="368">
        <f>+'Exhibit F'!P30+'Exhibit G'!P22</f>
        <v>93.8</v>
      </c>
      <c r="P34" s="225"/>
      <c r="Q34" s="368">
        <f>+'Exhibit F'!R30+'Exhibit G'!R22</f>
        <v>84.099999999999966</v>
      </c>
      <c r="R34" s="225"/>
      <c r="S34" s="368">
        <f>+'Exhibit F'!T30+'Exhibit G'!T22</f>
        <v>96.199999999999932</v>
      </c>
      <c r="T34" s="225"/>
      <c r="U34" s="368">
        <f>+'Exhibit F'!V30+'Exhibit G'!V22</f>
        <v>79.300000000000026</v>
      </c>
      <c r="V34" s="225"/>
      <c r="W34" s="368">
        <f>+'Exhibit F'!X30+'Exhibit G'!X22</f>
        <v>65.799999999999955</v>
      </c>
      <c r="X34" s="225"/>
      <c r="Y34" s="368"/>
      <c r="Z34" s="225"/>
      <c r="AA34" s="971"/>
      <c r="AB34" s="1676">
        <f t="shared" si="2"/>
        <v>964.1</v>
      </c>
      <c r="AC34" s="3243"/>
      <c r="AD34" s="3471"/>
      <c r="AE34" s="3472">
        <f>+'Exhibit F'!AF30+'Exhibit G'!AG22</f>
        <v>1033.5</v>
      </c>
      <c r="AF34" s="3243"/>
      <c r="AG34" s="3243"/>
      <c r="AH34" s="906">
        <f t="shared" si="3"/>
        <v>-69.400000000000006</v>
      </c>
      <c r="AI34" s="1035"/>
      <c r="AJ34" s="1766">
        <f t="shared" si="4"/>
        <v>-6.7000000000000004E-2</v>
      </c>
    </row>
    <row r="35" spans="1:36" ht="16.5" customHeight="1">
      <c r="A35" s="680" t="s">
        <v>1262</v>
      </c>
      <c r="B35" s="680"/>
      <c r="C35" s="368">
        <f>+'Exhibit G'!D23</f>
        <v>0.5</v>
      </c>
      <c r="D35" s="624"/>
      <c r="E35" s="368">
        <f>+'Exhibit G'!F23</f>
        <v>0.4</v>
      </c>
      <c r="F35" s="624"/>
      <c r="G35" s="368">
        <f>+'Exhibit G'!H23</f>
        <v>0.49999999999999989</v>
      </c>
      <c r="H35" s="529"/>
      <c r="I35" s="368">
        <f>+'Exhibit G'!J23</f>
        <v>0.5</v>
      </c>
      <c r="J35" s="529"/>
      <c r="K35" s="368">
        <f>+'Exhibit G'!L23</f>
        <v>0.4</v>
      </c>
      <c r="L35" s="1568"/>
      <c r="M35" s="368">
        <f>+'Exhibit G'!N23</f>
        <v>0.49999999999999989</v>
      </c>
      <c r="N35" s="1568"/>
      <c r="O35" s="368">
        <f>+'Exhibit G'!P23</f>
        <v>0.40000000000000036</v>
      </c>
      <c r="P35" s="1568"/>
      <c r="Q35" s="368">
        <f>+'Exhibit G'!R23</f>
        <v>0.50000000000000011</v>
      </c>
      <c r="R35" s="1568"/>
      <c r="S35" s="368">
        <f>+'Exhibit G'!T23</f>
        <v>0.59999999999999953</v>
      </c>
      <c r="T35" s="1568"/>
      <c r="U35" s="368">
        <f>+'Exhibit G'!V23</f>
        <v>0.50000000000000011</v>
      </c>
      <c r="V35" s="1568"/>
      <c r="W35" s="368">
        <f>+'Exhibit G'!X23</f>
        <v>0.49999999999999956</v>
      </c>
      <c r="X35" s="1568"/>
      <c r="Y35" s="368"/>
      <c r="Z35" s="1568"/>
      <c r="AA35" s="971"/>
      <c r="AB35" s="1676">
        <f>ROUND(SUM(C35:Y35),1)</f>
        <v>5.3</v>
      </c>
      <c r="AC35" s="3243"/>
      <c r="AD35" s="3471"/>
      <c r="AE35" s="3472">
        <f>'Exhibit G'!AG23</f>
        <v>3.6</v>
      </c>
      <c r="AF35" s="3243"/>
      <c r="AG35" s="3243"/>
      <c r="AH35" s="906">
        <f>ROUND(SUM(+AB35-AE35),1)</f>
        <v>1.7</v>
      </c>
      <c r="AI35" s="1035"/>
      <c r="AJ35" s="1766">
        <f>ROUND(IF(AE35=0,0,AH35/ABS(AE35)),3)</f>
        <v>0.47199999999999998</v>
      </c>
    </row>
    <row r="36" spans="1:36" ht="16.5" customHeight="1">
      <c r="A36" s="680" t="s">
        <v>1115</v>
      </c>
      <c r="B36" s="680"/>
      <c r="C36" s="368">
        <f>+'Exhibit F'!D31+'Exhibit G'!D24+'Exhibit I'!E21</f>
        <v>46</v>
      </c>
      <c r="D36" s="624"/>
      <c r="E36" s="368">
        <f>+'Exhibit F'!F31+'Exhibit G'!F24+'Exhibit I'!G21</f>
        <v>44.2</v>
      </c>
      <c r="F36" s="624"/>
      <c r="G36" s="368">
        <f>+'Exhibit F'!H31+'Exhibit G'!H24+'Exhibit I'!I21</f>
        <v>46.1</v>
      </c>
      <c r="H36" s="529"/>
      <c r="I36" s="368">
        <f>+'Exhibit F'!J31+'Exhibit G'!J24+'Exhibit I'!K21</f>
        <v>39.199999999999967</v>
      </c>
      <c r="J36" s="529"/>
      <c r="K36" s="368">
        <f>+'Exhibit F'!L31+'Exhibit G'!L24+'Exhibit I'!M21</f>
        <v>47.90000000000002</v>
      </c>
      <c r="L36" s="225"/>
      <c r="M36" s="368">
        <f>+'Exhibit F'!N31+'Exhibit G'!N24+'Exhibit I'!O21</f>
        <v>43.199999999999989</v>
      </c>
      <c r="N36" s="225"/>
      <c r="O36" s="368">
        <f>+'Exhibit F'!P31+'Exhibit G'!P24+'Exhibit I'!Q21</f>
        <v>47.300000000000018</v>
      </c>
      <c r="P36" s="225"/>
      <c r="Q36" s="368">
        <f>+'Exhibit F'!R31+'Exhibit G'!R24+'Exhibit I'!S21</f>
        <v>41.5</v>
      </c>
      <c r="R36" s="225"/>
      <c r="S36" s="368">
        <f>+'Exhibit F'!T31+'Exhibit G'!T24+'Exhibit I'!U21</f>
        <v>39.900000000000006</v>
      </c>
      <c r="T36" s="225"/>
      <c r="U36" s="368">
        <f>+'Exhibit F'!V31+'Exhibit G'!V24+'Exhibit I'!W21</f>
        <v>42.4</v>
      </c>
      <c r="V36" s="225"/>
      <c r="W36" s="368">
        <f>+'Exhibit F'!X31+'Exhibit G'!X24+'Exhibit I'!Y21</f>
        <v>35.699999999999989</v>
      </c>
      <c r="X36" s="225"/>
      <c r="Y36" s="368"/>
      <c r="Z36" s="225"/>
      <c r="AA36" s="971"/>
      <c r="AB36" s="1676">
        <f t="shared" si="2"/>
        <v>473.4</v>
      </c>
      <c r="AC36" s="3243"/>
      <c r="AD36" s="3471"/>
      <c r="AE36" s="3472">
        <f>+'Exhibit F'!AF31+'Exhibit G'!AG24+'Exhibit I'!AI21</f>
        <v>486.6</v>
      </c>
      <c r="AF36" s="3243"/>
      <c r="AG36" s="3243"/>
      <c r="AH36" s="906">
        <f t="shared" si="3"/>
        <v>-13.2</v>
      </c>
      <c r="AI36" s="1035"/>
      <c r="AJ36" s="1766">
        <f t="shared" si="4"/>
        <v>-2.7E-2</v>
      </c>
    </row>
    <row r="37" spans="1:36" ht="16.5" customHeight="1">
      <c r="A37" s="680" t="s">
        <v>1116</v>
      </c>
      <c r="B37" s="680"/>
      <c r="C37" s="368">
        <f>+'Exhibit F'!D32+'Exhibit G'!D25</f>
        <v>20</v>
      </c>
      <c r="D37" s="624"/>
      <c r="E37" s="368">
        <f>+'Exhibit F'!F32+'Exhibit G'!F25</f>
        <v>20.9</v>
      </c>
      <c r="F37" s="624"/>
      <c r="G37" s="368">
        <f>+'Exhibit F'!H32+'Exhibit G'!H25</f>
        <v>26.000000000000007</v>
      </c>
      <c r="H37" s="529"/>
      <c r="I37" s="368">
        <f>+'Exhibit F'!J32+'Exhibit G'!J25</f>
        <v>25.599999999999994</v>
      </c>
      <c r="J37" s="529"/>
      <c r="K37" s="368">
        <f>+'Exhibit F'!L32+'Exhibit G'!L25</f>
        <v>19.499999999999993</v>
      </c>
      <c r="L37" s="225"/>
      <c r="M37" s="368">
        <f>+'Exhibit F'!N32+'Exhibit G'!N25</f>
        <v>23.500000000000007</v>
      </c>
      <c r="N37" s="225"/>
      <c r="O37" s="368">
        <f>+'Exhibit F'!P32+'Exhibit G'!P25</f>
        <v>19.099999999999994</v>
      </c>
      <c r="P37" s="225"/>
      <c r="Q37" s="368">
        <f>+'Exhibit F'!R32+'Exhibit G'!R25</f>
        <v>24.499999999999993</v>
      </c>
      <c r="R37" s="225"/>
      <c r="S37" s="368">
        <f>+'Exhibit F'!T32+'Exhibit G'!T25</f>
        <v>20.400000000000006</v>
      </c>
      <c r="T37" s="225"/>
      <c r="U37" s="368">
        <f>+'Exhibit F'!V32+'Exhibit G'!V25</f>
        <v>34.6</v>
      </c>
      <c r="V37" s="225"/>
      <c r="W37" s="368">
        <f>+'Exhibit F'!X32+'Exhibit G'!X25</f>
        <v>12.300000000000004</v>
      </c>
      <c r="X37" s="225"/>
      <c r="Y37" s="368"/>
      <c r="Z37" s="225"/>
      <c r="AA37" s="971"/>
      <c r="AB37" s="1676">
        <f t="shared" si="2"/>
        <v>246.4</v>
      </c>
      <c r="AC37" s="3243"/>
      <c r="AD37" s="3471"/>
      <c r="AE37" s="3472">
        <f>+'Exhibit F'!AF32+'Exhibit G'!AG25</f>
        <v>243.5</v>
      </c>
      <c r="AF37" s="3243"/>
      <c r="AG37" s="3243"/>
      <c r="AH37" s="906">
        <f t="shared" si="3"/>
        <v>2.9</v>
      </c>
      <c r="AI37" s="1035"/>
      <c r="AJ37" s="1766">
        <f t="shared" si="4"/>
        <v>1.2E-2</v>
      </c>
    </row>
    <row r="38" spans="1:36" ht="16.5" customHeight="1">
      <c r="A38" s="680" t="s">
        <v>1117</v>
      </c>
      <c r="B38" s="680"/>
      <c r="C38" s="368">
        <f>+'Exhibit F'!D33+'Exhibit G'!D26+'Exhibit I'!E22</f>
        <v>14.2</v>
      </c>
      <c r="D38" s="624"/>
      <c r="E38" s="368">
        <f>+'Exhibit F'!F33+'Exhibit G'!F26+'Exhibit I'!G22</f>
        <v>10.700000000000001</v>
      </c>
      <c r="F38" s="624"/>
      <c r="G38" s="368">
        <f>+'Exhibit F'!H33+'Exhibit G'!H26+'Exhibit I'!I22</f>
        <v>9.9</v>
      </c>
      <c r="H38" s="529"/>
      <c r="I38" s="368">
        <f>+'Exhibit F'!J33+'Exhibit G'!J26+'Exhibit I'!K22</f>
        <v>14.500000000000004</v>
      </c>
      <c r="J38" s="529"/>
      <c r="K38" s="368">
        <f>+'Exhibit F'!L33+'Exhibit G'!L26+'Exhibit I'!M22</f>
        <v>10.699999999999989</v>
      </c>
      <c r="L38" s="225"/>
      <c r="M38" s="368">
        <f>+'Exhibit F'!N33+'Exhibit G'!N26+'Exhibit I'!O22</f>
        <v>11.099999999999996</v>
      </c>
      <c r="N38" s="225"/>
      <c r="O38" s="368">
        <f>+'Exhibit F'!P33+'Exhibit G'!P26+'Exhibit I'!Q22</f>
        <v>14.3</v>
      </c>
      <c r="P38" s="225"/>
      <c r="Q38" s="368">
        <f>+'Exhibit F'!R33+'Exhibit G'!R26+'Exhibit I'!S22</f>
        <v>11.000000000000005</v>
      </c>
      <c r="R38" s="225"/>
      <c r="S38" s="368">
        <f>+'Exhibit F'!T33+'Exhibit G'!T26+'Exhibit I'!U22</f>
        <v>13.800000000000008</v>
      </c>
      <c r="T38" s="225"/>
      <c r="U38" s="368">
        <f>+'Exhibit F'!V33+'Exhibit G'!V26+'Exhibit I'!W22</f>
        <v>12.199999999999992</v>
      </c>
      <c r="V38" s="225"/>
      <c r="W38" s="368">
        <f>+'Exhibit F'!X33+'Exhibit G'!X26+'Exhibit I'!Y22</f>
        <v>9.0000000000000053</v>
      </c>
      <c r="X38" s="225"/>
      <c r="Y38" s="368"/>
      <c r="Z38" s="225"/>
      <c r="AA38" s="971"/>
      <c r="AB38" s="1676">
        <f t="shared" si="2"/>
        <v>131.4</v>
      </c>
      <c r="AC38" s="3243"/>
      <c r="AD38" s="3471"/>
      <c r="AE38" s="3472">
        <f>+'Exhibit F'!AF33+'Exhibit G'!AG26+'Exhibit I'!AI22</f>
        <v>137.20000000000002</v>
      </c>
      <c r="AF38" s="3243"/>
      <c r="AG38" s="3243"/>
      <c r="AH38" s="906">
        <f t="shared" si="3"/>
        <v>-5.8</v>
      </c>
      <c r="AI38" s="1035"/>
      <c r="AJ38" s="3477">
        <f t="shared" si="4"/>
        <v>-4.2000000000000003E-2</v>
      </c>
    </row>
    <row r="39" spans="1:36" ht="16.5" customHeight="1">
      <c r="A39" s="680" t="s">
        <v>1563</v>
      </c>
      <c r="B39" s="680"/>
      <c r="C39" s="368">
        <v>0</v>
      </c>
      <c r="D39" s="624"/>
      <c r="E39" s="368">
        <v>0</v>
      </c>
      <c r="F39" s="624"/>
      <c r="G39" s="368">
        <v>0</v>
      </c>
      <c r="H39" s="529"/>
      <c r="I39" s="368">
        <v>0</v>
      </c>
      <c r="J39" s="529"/>
      <c r="K39" s="368">
        <v>0</v>
      </c>
      <c r="L39" s="1568"/>
      <c r="M39" s="368">
        <v>0</v>
      </c>
      <c r="N39" s="1568"/>
      <c r="O39" s="368">
        <v>0</v>
      </c>
      <c r="P39" s="1568"/>
      <c r="Q39" s="368">
        <v>0</v>
      </c>
      <c r="R39" s="1568"/>
      <c r="S39" s="368">
        <f>+'Exhibit F'!T34</f>
        <v>0</v>
      </c>
      <c r="T39" s="1568"/>
      <c r="U39" s="368">
        <f>+'Exhibit F'!V34</f>
        <v>0</v>
      </c>
      <c r="V39" s="1568"/>
      <c r="W39" s="368">
        <f>+'Exhibit F'!X34+'Exhibit G'!X27</f>
        <v>0</v>
      </c>
      <c r="X39" s="1568"/>
      <c r="Y39" s="368"/>
      <c r="Z39" s="1568"/>
      <c r="AA39" s="971"/>
      <c r="AB39" s="1676">
        <f>ROUND(SUM(C39:Y39),1)</f>
        <v>0</v>
      </c>
      <c r="AC39" s="3243"/>
      <c r="AD39" s="3471"/>
      <c r="AE39" s="3472">
        <f>+'Exhibit F'!AF34</f>
        <v>0</v>
      </c>
      <c r="AF39" s="3243"/>
      <c r="AG39" s="3243"/>
      <c r="AH39" s="906">
        <f>ROUND(SUM(+AB39-AE39),1)</f>
        <v>0</v>
      </c>
      <c r="AI39" s="1035"/>
      <c r="AJ39" s="3477">
        <f>ROUND(IF(AE39=0,0,AH39/ABS(AE39)),3)</f>
        <v>0</v>
      </c>
    </row>
    <row r="40" spans="1:36" ht="16.5" customHeight="1">
      <c r="A40" s="680" t="s">
        <v>1565</v>
      </c>
      <c r="B40" s="680"/>
      <c r="C40" s="368">
        <v>0</v>
      </c>
      <c r="D40" s="624"/>
      <c r="E40" s="368">
        <v>0</v>
      </c>
      <c r="F40" s="624"/>
      <c r="G40" s="368">
        <v>0</v>
      </c>
      <c r="H40" s="529"/>
      <c r="I40" s="368">
        <v>0</v>
      </c>
      <c r="J40" s="529"/>
      <c r="K40" s="368">
        <v>0</v>
      </c>
      <c r="L40" s="1568"/>
      <c r="M40" s="368">
        <v>0</v>
      </c>
      <c r="N40" s="1568"/>
      <c r="O40" s="368">
        <v>0</v>
      </c>
      <c r="P40" s="1568"/>
      <c r="Q40" s="368">
        <v>0</v>
      </c>
      <c r="R40" s="1568"/>
      <c r="S40" s="368">
        <f>+'Exhibit F'!T35</f>
        <v>0</v>
      </c>
      <c r="T40" s="1568"/>
      <c r="U40" s="368">
        <f>+'Exhibit F'!V35</f>
        <v>16.899999999999999</v>
      </c>
      <c r="V40" s="1568"/>
      <c r="W40" s="368">
        <f>+'Exhibit F'!X35</f>
        <v>2.5</v>
      </c>
      <c r="X40" s="1568"/>
      <c r="Y40" s="368"/>
      <c r="Z40" s="1568"/>
      <c r="AA40" s="528"/>
      <c r="AB40" s="1676">
        <f t="shared" si="2"/>
        <v>19.399999999999999</v>
      </c>
      <c r="AC40" s="3243"/>
      <c r="AD40" s="3471"/>
      <c r="AE40" s="3472">
        <f>+'Exhibit F'!AF35</f>
        <v>0</v>
      </c>
      <c r="AF40" s="3243"/>
      <c r="AG40" s="3243"/>
      <c r="AH40" s="906">
        <f t="shared" ref="AH40" si="5">ROUND(SUM(+AB40-AE40),1)</f>
        <v>19.399999999999999</v>
      </c>
      <c r="AI40" s="1035"/>
      <c r="AJ40" s="3477">
        <f>ROUND(IF(AE40=0,1,AH40/ABS(AE40)),3)</f>
        <v>1</v>
      </c>
    </row>
    <row r="41" spans="1:36" ht="16.5" customHeight="1">
      <c r="A41" s="1089" t="s">
        <v>1118</v>
      </c>
      <c r="B41" s="680"/>
      <c r="C41" s="368">
        <f>+'Exhibit F'!D36+'Exhibit G'!D28</f>
        <v>0</v>
      </c>
      <c r="D41" s="624"/>
      <c r="E41" s="368">
        <f>+'Exhibit F'!F36+'Exhibit G'!F28</f>
        <v>0</v>
      </c>
      <c r="F41" s="624"/>
      <c r="G41" s="368">
        <f>+'Exhibit F'!H36+'Exhibit G'!H28</f>
        <v>0</v>
      </c>
      <c r="H41" s="529"/>
      <c r="I41" s="368">
        <f>+'Exhibit F'!J36+'Exhibit G'!J28</f>
        <v>0</v>
      </c>
      <c r="J41" s="529"/>
      <c r="K41" s="368">
        <f>+'Exhibit F'!L36+'Exhibit G'!L28</f>
        <v>0</v>
      </c>
      <c r="L41" s="225"/>
      <c r="M41" s="368">
        <f>+'Exhibit F'!N36+'Exhibit G'!N28</f>
        <v>0</v>
      </c>
      <c r="N41" s="225"/>
      <c r="O41" s="368">
        <f>+'Exhibit F'!P36+'Exhibit G'!P28</f>
        <v>0</v>
      </c>
      <c r="P41" s="225"/>
      <c r="Q41" s="368">
        <f>+'Exhibit F'!R36+'Exhibit G'!R28</f>
        <v>0</v>
      </c>
      <c r="R41" s="225"/>
      <c r="S41" s="368">
        <f>+'Exhibit F'!T36+'Exhibit G'!T28</f>
        <v>0</v>
      </c>
      <c r="T41" s="225"/>
      <c r="U41" s="368">
        <f>+'Exhibit F'!V36+'Exhibit G'!V28</f>
        <v>0</v>
      </c>
      <c r="V41" s="225"/>
      <c r="W41" s="368">
        <f>+'Exhibit F'!X36+'Exhibit G'!X28</f>
        <v>0</v>
      </c>
      <c r="X41" s="225"/>
      <c r="Y41" s="368"/>
      <c r="Z41" s="225"/>
      <c r="AA41" s="971"/>
      <c r="AB41" s="1676">
        <f t="shared" si="2"/>
        <v>0</v>
      </c>
      <c r="AC41" s="3243"/>
      <c r="AD41" s="3471"/>
      <c r="AE41" s="3472">
        <f>+'Exhibit F'!AF36+'Exhibit G'!AG28</f>
        <v>50.8</v>
      </c>
      <c r="AF41" s="3243"/>
      <c r="AG41" s="3243"/>
      <c r="AH41" s="906">
        <f t="shared" si="3"/>
        <v>-50.8</v>
      </c>
      <c r="AI41" s="1035"/>
      <c r="AJ41" s="1766">
        <f t="shared" si="4"/>
        <v>-1</v>
      </c>
    </row>
    <row r="42" spans="1:36" ht="16.5" customHeight="1">
      <c r="A42" s="312" t="s">
        <v>1111</v>
      </c>
      <c r="B42" s="680"/>
      <c r="C42" s="897">
        <f>ROUND(SUM(C32:C41),1)</f>
        <v>1375</v>
      </c>
      <c r="D42" s="26"/>
      <c r="E42" s="897">
        <f>ROUND(SUM(E32:E41),1)</f>
        <v>1340.5</v>
      </c>
      <c r="F42" s="26"/>
      <c r="G42" s="897">
        <f>ROUND(SUM(G32:G41),1)</f>
        <v>1775.3</v>
      </c>
      <c r="H42" s="225"/>
      <c r="I42" s="897">
        <f>ROUND(SUM(I32:I41),1)</f>
        <v>1424.9</v>
      </c>
      <c r="J42" s="225"/>
      <c r="K42" s="897">
        <f>ROUND(SUM(K32:K41),1)</f>
        <v>1414.4</v>
      </c>
      <c r="L42" s="225"/>
      <c r="M42" s="897">
        <f>ROUND(SUM(M32:M41),1)</f>
        <v>1835.2</v>
      </c>
      <c r="N42" s="225"/>
      <c r="O42" s="897">
        <f>ROUND(SUM(O32:O41),1)</f>
        <v>1405.9</v>
      </c>
      <c r="P42" s="225"/>
      <c r="Q42" s="3249">
        <f>ROUND(SUM(Q32:Q41),1)</f>
        <v>1412.3</v>
      </c>
      <c r="R42" s="225"/>
      <c r="S42" s="897">
        <f>ROUND(SUM(S32:S41),1)</f>
        <v>1783.9</v>
      </c>
      <c r="T42" s="225"/>
      <c r="U42" s="897">
        <f>ROUND(SUM(U32:U41),1)</f>
        <v>1546.8</v>
      </c>
      <c r="V42" s="225"/>
      <c r="W42" s="897">
        <f>ROUND(SUM(W32:W41),1)</f>
        <v>1244.5999999999999</v>
      </c>
      <c r="X42" s="225"/>
      <c r="Y42" s="897">
        <f>ROUND(SUM(Y32:Y41),1)</f>
        <v>0</v>
      </c>
      <c r="Z42" s="225"/>
      <c r="AA42" s="971"/>
      <c r="AB42" s="3249">
        <f>ROUND(SUM(AB32:AB41),1)</f>
        <v>16558.8</v>
      </c>
      <c r="AC42" s="3243"/>
      <c r="AD42" s="3471"/>
      <c r="AE42" s="3249">
        <f>ROUND(SUM(AE32:AE41),1)</f>
        <v>15856.3</v>
      </c>
      <c r="AF42" s="3243"/>
      <c r="AG42" s="3243"/>
      <c r="AH42" s="1574">
        <f>ROUND(SUM(AH32:AH41),1)</f>
        <v>702.5</v>
      </c>
      <c r="AI42" s="115"/>
      <c r="AJ42" s="3478">
        <f t="shared" si="4"/>
        <v>4.3999999999999997E-2</v>
      </c>
    </row>
    <row r="43" spans="1:36" ht="16.5" customHeight="1">
      <c r="A43" s="1062" t="s">
        <v>1162</v>
      </c>
      <c r="B43" s="680"/>
      <c r="C43" s="620"/>
      <c r="D43" s="620"/>
      <c r="E43" s="620"/>
      <c r="F43" s="620"/>
      <c r="G43" s="620"/>
      <c r="H43" s="225"/>
      <c r="I43" s="620"/>
      <c r="J43" s="225"/>
      <c r="K43" s="620"/>
      <c r="L43" s="225"/>
      <c r="M43" s="620"/>
      <c r="N43" s="225"/>
      <c r="O43" s="620"/>
      <c r="P43" s="225"/>
      <c r="Q43" s="3559"/>
      <c r="R43" s="225"/>
      <c r="S43" s="620"/>
      <c r="T43" s="225"/>
      <c r="U43" s="620"/>
      <c r="V43" s="225"/>
      <c r="W43" s="620"/>
      <c r="X43" s="225"/>
      <c r="Y43" s="620"/>
      <c r="Z43" s="225"/>
      <c r="AA43" s="971"/>
      <c r="AB43" s="3243"/>
      <c r="AC43" s="3243"/>
      <c r="AD43" s="3471"/>
      <c r="AE43" s="3475"/>
      <c r="AF43" s="3243"/>
      <c r="AG43" s="3243"/>
      <c r="AH43" s="115"/>
      <c r="AI43" s="115"/>
      <c r="AJ43" s="3476"/>
    </row>
    <row r="44" spans="1:36" ht="16.5" customHeight="1">
      <c r="A44" s="680" t="s">
        <v>1120</v>
      </c>
      <c r="B44" s="680"/>
      <c r="C44" s="368">
        <f>+'Exhibit F'!D39+'Exhibit G'!D31+'Exhibit I'!E25</f>
        <v>376.70000000000005</v>
      </c>
      <c r="D44" s="624"/>
      <c r="E44" s="368">
        <f>+'Exhibit F'!F39+'Exhibit G'!F31+'Exhibit I'!G25</f>
        <v>-69.000000000000028</v>
      </c>
      <c r="F44" s="624"/>
      <c r="G44" s="368">
        <f>+'Exhibit F'!H39+'Exhibit G'!H31+'Exhibit I'!I25</f>
        <v>901.19999999999993</v>
      </c>
      <c r="H44" s="529"/>
      <c r="I44" s="368">
        <f>+'Exhibit F'!J39+'Exhibit G'!J31+'Exhibit I'!K25</f>
        <v>146.29999999999995</v>
      </c>
      <c r="J44" s="529"/>
      <c r="K44" s="368">
        <f>+'Exhibit F'!L39+'Exhibit G'!L31+'Exhibit I'!M25</f>
        <v>0</v>
      </c>
      <c r="L44" s="225"/>
      <c r="M44" s="368">
        <f>+'Exhibit F'!N39+'Exhibit G'!N31+'Exhibit I'!O25</f>
        <v>941.3</v>
      </c>
      <c r="N44" s="225"/>
      <c r="O44" s="368">
        <f>+'Exhibit F'!P39+'Exhibit G'!P31+'Exhibit I'!Q25</f>
        <v>98.800000000000011</v>
      </c>
      <c r="P44" s="225"/>
      <c r="Q44" s="368">
        <f>+'Exhibit F'!R39+'Exhibit G'!R31+'Exhibit I'!S25</f>
        <v>108.9000000000002</v>
      </c>
      <c r="R44" s="225"/>
      <c r="S44" s="368">
        <f>+'Exhibit F'!T39+'Exhibit G'!T31+'Exhibit I'!U25</f>
        <v>1030.6000000000001</v>
      </c>
      <c r="T44" s="225"/>
      <c r="U44" s="368">
        <f>+'Exhibit F'!V39+'Exhibit G'!V31+'Exhibit I'!W25</f>
        <v>153.79999999999976</v>
      </c>
      <c r="V44" s="225"/>
      <c r="W44" s="368">
        <f>+'Exhibit F'!X39+'Exhibit G'!X31+'Exhibit I'!Y25</f>
        <v>-70.199999999999818</v>
      </c>
      <c r="X44" s="225"/>
      <c r="Y44" s="368"/>
      <c r="Z44" s="225"/>
      <c r="AA44" s="971"/>
      <c r="AB44" s="1676">
        <f>ROUND(SUM(C44:Y44),1)</f>
        <v>3618.4</v>
      </c>
      <c r="AC44" s="3243"/>
      <c r="AD44" s="3471"/>
      <c r="AE44" s="3472">
        <f>+'Exhibit F'!AF39+'Exhibit G'!AG31+'Exhibit I'!AI25</f>
        <v>3273.1</v>
      </c>
      <c r="AF44" s="3243"/>
      <c r="AG44" s="3243"/>
      <c r="AH44" s="906">
        <f>ROUND(SUM(+AB44-AE44),1)</f>
        <v>345.3</v>
      </c>
      <c r="AI44" s="115"/>
      <c r="AJ44" s="1766">
        <f t="shared" ref="AJ44:AJ49" si="6">ROUND(IF(AE44=0,0,AH44/ABS(AE44)),3)</f>
        <v>0.105</v>
      </c>
    </row>
    <row r="45" spans="1:36" ht="16.5" customHeight="1">
      <c r="A45" s="680" t="s">
        <v>1121</v>
      </c>
      <c r="B45" s="680"/>
      <c r="C45" s="368">
        <f>+'Exhibit F'!D40+'Exhibit G'!D32+'Exhibit I'!E26</f>
        <v>43</v>
      </c>
      <c r="D45" s="624"/>
      <c r="E45" s="368">
        <f>+'Exhibit F'!F40+'Exhibit G'!F32+'Exhibit I'!G26</f>
        <v>1.2000000000000006</v>
      </c>
      <c r="F45" s="624"/>
      <c r="G45" s="368">
        <f>+'Exhibit F'!H40+'Exhibit G'!H32+'Exhibit I'!I26</f>
        <v>109.50000000000001</v>
      </c>
      <c r="H45" s="529"/>
      <c r="I45" s="368">
        <f>+'Exhibit F'!J40+'Exhibit G'!J32+'Exhibit I'!K26</f>
        <v>0.40000000000000568</v>
      </c>
      <c r="J45" s="529"/>
      <c r="K45" s="368">
        <f>+'Exhibit F'!L40+'Exhibit G'!L32+'Exhibit I'!M26</f>
        <v>-1.7000000000000099</v>
      </c>
      <c r="L45" s="225"/>
      <c r="M45" s="368">
        <f>+'Exhibit F'!N40+'Exhibit G'!N32+'Exhibit I'!O26</f>
        <v>140.99999999999997</v>
      </c>
      <c r="N45" s="225"/>
      <c r="O45" s="368">
        <f>+'Exhibit F'!P40+'Exhibit G'!P32+'Exhibit I'!Q26</f>
        <v>2.9000000000000128</v>
      </c>
      <c r="P45" s="225"/>
      <c r="Q45" s="368">
        <f>+'Exhibit F'!R40+'Exhibit G'!R32+'Exhibit I'!S26</f>
        <v>-0.60000000000001741</v>
      </c>
      <c r="R45" s="225"/>
      <c r="S45" s="368">
        <f>+'Exhibit F'!T40+'Exhibit G'!T32+'Exhibit I'!U26</f>
        <v>119.39999999999998</v>
      </c>
      <c r="T45" s="225"/>
      <c r="U45" s="368">
        <f>+'Exhibit F'!V40+'Exhibit G'!V32+'Exhibit I'!W26</f>
        <v>-1.2999999999999474</v>
      </c>
      <c r="V45" s="225"/>
      <c r="W45" s="368">
        <f>+'Exhibit F'!X40+'Exhibit G'!X32+'Exhibit I'!Y26</f>
        <v>0.89999999999997726</v>
      </c>
      <c r="X45" s="225"/>
      <c r="Y45" s="368"/>
      <c r="Z45" s="225"/>
      <c r="AA45" s="971"/>
      <c r="AB45" s="1676">
        <f>ROUND(SUM(C45:Y45),1)</f>
        <v>414.7</v>
      </c>
      <c r="AC45" s="3243"/>
      <c r="AD45" s="3471"/>
      <c r="AE45" s="3472">
        <f>+'Exhibit F'!AF40+'Exhibit G'!AG32+'Exhibit I'!AI26</f>
        <v>418.30000000000007</v>
      </c>
      <c r="AF45" s="3243"/>
      <c r="AG45" s="3243"/>
      <c r="AH45" s="906">
        <f>ROUND(SUM(+AB45-AE45),1)</f>
        <v>-3.6</v>
      </c>
      <c r="AI45" s="115"/>
      <c r="AJ45" s="1766">
        <f t="shared" si="6"/>
        <v>-8.9999999999999993E-3</v>
      </c>
    </row>
    <row r="46" spans="1:36" ht="16.5" customHeight="1">
      <c r="A46" s="680" t="s">
        <v>1122</v>
      </c>
      <c r="B46" s="680"/>
      <c r="C46" s="368">
        <f>+'Exhibit F'!D41+'Exhibit G'!D33</f>
        <v>141.80000000000001</v>
      </c>
      <c r="D46" s="624"/>
      <c r="E46" s="368">
        <f>+'Exhibit F'!F41+'Exhibit G'!F33</f>
        <v>4.9999999999999911</v>
      </c>
      <c r="F46" s="624"/>
      <c r="G46" s="368">
        <f>+'Exhibit F'!H41+'Exhibit G'!H33</f>
        <v>403.20000000000005</v>
      </c>
      <c r="H46" s="529"/>
      <c r="I46" s="368">
        <f>+'Exhibit F'!J41+'Exhibit G'!J33</f>
        <v>56.799999999999983</v>
      </c>
      <c r="J46" s="529"/>
      <c r="K46" s="368">
        <f>+'Exhibit F'!L41+'Exhibit G'!L33</f>
        <v>-1.4999999999999432</v>
      </c>
      <c r="L46" s="225"/>
      <c r="M46" s="368">
        <f>+'Exhibit F'!N41+'Exhibit G'!N33</f>
        <v>436.79999999999995</v>
      </c>
      <c r="N46" s="225"/>
      <c r="O46" s="368">
        <f>+'Exhibit F'!P41+'Exhibit G'!P33</f>
        <v>1.4000000000000483</v>
      </c>
      <c r="P46" s="225"/>
      <c r="Q46" s="368">
        <f>+'Exhibit F'!R41+'Exhibit G'!R33</f>
        <v>25.299999999999912</v>
      </c>
      <c r="R46" s="225"/>
      <c r="S46" s="368">
        <f>+'Exhibit F'!T41+'Exhibit G'!T33</f>
        <v>457.7999999999999</v>
      </c>
      <c r="T46" s="225"/>
      <c r="U46" s="368">
        <f>+'Exhibit F'!V41+'Exhibit G'!V33</f>
        <v>1.3999999999999773</v>
      </c>
      <c r="V46" s="225"/>
      <c r="W46" s="368">
        <f>+'Exhibit F'!X41+'Exhibit G'!X33</f>
        <v>0.19999999999993179</v>
      </c>
      <c r="X46" s="225"/>
      <c r="Y46" s="368"/>
      <c r="Z46" s="225"/>
      <c r="AA46" s="971"/>
      <c r="AB46" s="1676">
        <f>ROUND(SUM(C46:Y46),1)</f>
        <v>1528.2</v>
      </c>
      <c r="AC46" s="3243"/>
      <c r="AD46" s="3471"/>
      <c r="AE46" s="3472">
        <f>+'Exhibit F'!AF41+'Exhibit G'!AG33</f>
        <v>1135.9000000000001</v>
      </c>
      <c r="AF46" s="3243"/>
      <c r="AG46" s="3243"/>
      <c r="AH46" s="906">
        <f>ROUND(SUM(+AB46-AE46),1)</f>
        <v>392.3</v>
      </c>
      <c r="AI46" s="115"/>
      <c r="AJ46" s="1766">
        <f t="shared" si="6"/>
        <v>0.34499999999999997</v>
      </c>
    </row>
    <row r="47" spans="1:36" ht="16.5" customHeight="1">
      <c r="A47" s="680" t="s">
        <v>1123</v>
      </c>
      <c r="B47" s="680"/>
      <c r="C47" s="368">
        <f>+'Exhibit F'!D42+'Exhibit G'!D34</f>
        <v>145.30000000000001</v>
      </c>
      <c r="D47" s="624"/>
      <c r="E47" s="368">
        <f>+'Exhibit F'!F42+'Exhibit G'!F34</f>
        <v>-121.1</v>
      </c>
      <c r="F47" s="624"/>
      <c r="G47" s="368">
        <f>+'Exhibit F'!H42+'Exhibit G'!H34</f>
        <v>-21.1</v>
      </c>
      <c r="H47" s="529"/>
      <c r="I47" s="368">
        <f>+'Exhibit F'!J42+'Exhibit G'!J34</f>
        <v>-0.19999999999999751</v>
      </c>
      <c r="J47" s="529"/>
      <c r="K47" s="368">
        <f>+'Exhibit F'!L42+'Exhibit G'!L34</f>
        <v>-0.30000000000000249</v>
      </c>
      <c r="L47" s="225"/>
      <c r="M47" s="368">
        <f>+'Exhibit F'!N42+'Exhibit G'!N34</f>
        <v>-1.4000000000000004</v>
      </c>
      <c r="N47" s="225"/>
      <c r="O47" s="368">
        <f>+'Exhibit F'!P42+'Exhibit G'!P34</f>
        <v>-3.0999999999999908</v>
      </c>
      <c r="P47" s="225"/>
      <c r="Q47" s="368">
        <f>+'Exhibit F'!R42+'Exhibit G'!R34</f>
        <v>-41.8</v>
      </c>
      <c r="R47" s="225"/>
      <c r="S47" s="368">
        <f>+'Exhibit F'!T42+'Exhibit G'!T34</f>
        <v>13.799999999999976</v>
      </c>
      <c r="T47" s="225"/>
      <c r="U47" s="368">
        <f>+'Exhibit F'!V42+'Exhibit G'!V34</f>
        <v>-0.39999999999999858</v>
      </c>
      <c r="V47" s="225"/>
      <c r="W47" s="368">
        <f>+'Exhibit F'!X42+'Exhibit G'!X34</f>
        <v>24.899999999999991</v>
      </c>
      <c r="X47" s="225"/>
      <c r="Y47" s="368"/>
      <c r="Z47" s="225"/>
      <c r="AA47" s="971"/>
      <c r="AB47" s="1676">
        <f>ROUND(SUM(C47:Y47),1)</f>
        <v>-5.4</v>
      </c>
      <c r="AC47" s="3243"/>
      <c r="AD47" s="3471"/>
      <c r="AE47" s="3472">
        <f>+'Exhibit F'!AF42+'Exhibit G'!AG34</f>
        <v>-59.1</v>
      </c>
      <c r="AF47" s="3243"/>
      <c r="AG47" s="3243"/>
      <c r="AH47" s="906">
        <f>ROUND(SUM(+AB47-AE47),1)</f>
        <v>53.7</v>
      </c>
      <c r="AI47" s="115"/>
      <c r="AJ47" s="3477">
        <f t="shared" si="6"/>
        <v>0.90900000000000003</v>
      </c>
    </row>
    <row r="48" spans="1:36" ht="16.5" customHeight="1">
      <c r="A48" s="680" t="s">
        <v>1124</v>
      </c>
      <c r="B48" s="680"/>
      <c r="C48" s="368">
        <f>+'Exhibit F'!D43+'Exhibit G'!D35+'Exhibit I'!E27</f>
        <v>100.4</v>
      </c>
      <c r="D48" s="624"/>
      <c r="E48" s="368">
        <f>+'Exhibit F'!F43+'Exhibit G'!F35+'Exhibit I'!G27</f>
        <v>99.699999999999989</v>
      </c>
      <c r="F48" s="624"/>
      <c r="G48" s="368">
        <f>+'Exhibit F'!H43+'Exhibit G'!H35+'Exhibit I'!I27</f>
        <v>103.80000000000001</v>
      </c>
      <c r="H48" s="529"/>
      <c r="I48" s="368">
        <f>+'Exhibit F'!J43+'Exhibit G'!J35+'Exhibit I'!K27</f>
        <v>93.799999999999955</v>
      </c>
      <c r="J48" s="529"/>
      <c r="K48" s="368">
        <f>+'Exhibit F'!L43+'Exhibit G'!L35+'Exhibit I'!M27</f>
        <v>107</v>
      </c>
      <c r="L48" s="225"/>
      <c r="M48" s="368">
        <f>+'Exhibit F'!N43+'Exhibit G'!N35+'Exhibit I'!O27</f>
        <v>100.70000000000005</v>
      </c>
      <c r="N48" s="225"/>
      <c r="O48" s="368">
        <f>+'Exhibit F'!P43+'Exhibit G'!P35+'Exhibit I'!Q27</f>
        <v>107.39999999999998</v>
      </c>
      <c r="P48" s="225"/>
      <c r="Q48" s="368">
        <f>+'Exhibit F'!R43+'Exhibit G'!R35+'Exhibit I'!S27</f>
        <v>92.999999999999943</v>
      </c>
      <c r="R48" s="225"/>
      <c r="S48" s="368">
        <f>+'Exhibit F'!T43+'Exhibit G'!T35+'Exhibit I'!U27</f>
        <v>91.299999999999926</v>
      </c>
      <c r="T48" s="225"/>
      <c r="U48" s="368">
        <f>+'Exhibit F'!V43+'Exhibit G'!V35+'Exhibit I'!W27</f>
        <v>98.000000000000142</v>
      </c>
      <c r="V48" s="225"/>
      <c r="W48" s="368">
        <f>+'Exhibit F'!X43+'Exhibit G'!X35+'Exhibit I'!Y27</f>
        <v>80</v>
      </c>
      <c r="X48" s="225"/>
      <c r="Y48" s="368"/>
      <c r="Z48" s="225"/>
      <c r="AA48" s="971"/>
      <c r="AB48" s="1676">
        <f>ROUND(SUM(C48:Y48),1)</f>
        <v>1075.0999999999999</v>
      </c>
      <c r="AC48" s="3243"/>
      <c r="AD48" s="3471"/>
      <c r="AE48" s="3472">
        <f>+'Exhibit F'!AF43+'Exhibit G'!AG35+'Exhibit I'!AI27</f>
        <v>1067.3000000000002</v>
      </c>
      <c r="AF48" s="3243"/>
      <c r="AG48" s="3243"/>
      <c r="AH48" s="906">
        <f>ROUND(SUM(+AB48-AE48),1)</f>
        <v>7.8</v>
      </c>
      <c r="AI48" s="115"/>
      <c r="AJ48" s="1766">
        <f t="shared" si="6"/>
        <v>7.0000000000000001E-3</v>
      </c>
    </row>
    <row r="49" spans="1:36" ht="16.5" customHeight="1">
      <c r="A49" s="312" t="s">
        <v>1119</v>
      </c>
      <c r="B49" s="680"/>
      <c r="C49" s="897">
        <f>ROUND(SUM(C44:C48),1)</f>
        <v>807.2</v>
      </c>
      <c r="D49" s="26"/>
      <c r="E49" s="897">
        <f>ROUND(SUM(E44:E48),1)</f>
        <v>-84.2</v>
      </c>
      <c r="F49" s="26"/>
      <c r="G49" s="897">
        <f>ROUND(SUM(G44:G48),1)</f>
        <v>1496.6</v>
      </c>
      <c r="H49" s="225"/>
      <c r="I49" s="897">
        <f>ROUND(SUM(I44:I48),1)</f>
        <v>297.10000000000002</v>
      </c>
      <c r="J49" s="225"/>
      <c r="K49" s="897">
        <f>ROUND(SUM(K44:K48),1)</f>
        <v>103.5</v>
      </c>
      <c r="L49" s="225"/>
      <c r="M49" s="897">
        <f>ROUND(SUM(M44:M48),1)</f>
        <v>1618.4</v>
      </c>
      <c r="N49" s="225"/>
      <c r="O49" s="897">
        <f>ROUND(SUM(O44:O48),1)</f>
        <v>207.4</v>
      </c>
      <c r="P49" s="225"/>
      <c r="Q49" s="3249">
        <f>ROUND(SUM(Q44:Q48),1)</f>
        <v>184.8</v>
      </c>
      <c r="R49" s="225"/>
      <c r="S49" s="897">
        <f>ROUND(SUM(S44:S48),1)</f>
        <v>1712.9</v>
      </c>
      <c r="T49" s="225"/>
      <c r="U49" s="897">
        <f>ROUND(SUM(U44:U48),1)</f>
        <v>251.5</v>
      </c>
      <c r="V49" s="225"/>
      <c r="W49" s="897">
        <f>ROUND(SUM(W44:W48),1)</f>
        <v>35.799999999999997</v>
      </c>
      <c r="X49" s="225"/>
      <c r="Y49" s="897">
        <f>ROUND(SUM(Y44:Y48),1)</f>
        <v>0</v>
      </c>
      <c r="Z49" s="225"/>
      <c r="AA49" s="971"/>
      <c r="AB49" s="3249">
        <f>ROUND(SUM(AB44:AB48),1)</f>
        <v>6631</v>
      </c>
      <c r="AC49" s="3243"/>
      <c r="AD49" s="3471"/>
      <c r="AE49" s="3249">
        <f>ROUND(SUM(AE44:AE48),1)</f>
        <v>5835.5</v>
      </c>
      <c r="AF49" s="3243"/>
      <c r="AG49" s="3243"/>
      <c r="AH49" s="3249">
        <f>ROUND(SUM(AH44:AH48),1)</f>
        <v>795.5</v>
      </c>
      <c r="AI49" s="115"/>
      <c r="AJ49" s="3478">
        <f t="shared" si="6"/>
        <v>0.13600000000000001</v>
      </c>
    </row>
    <row r="50" spans="1:36" ht="16.5" customHeight="1">
      <c r="A50" s="1062" t="s">
        <v>1163</v>
      </c>
      <c r="B50" s="680"/>
      <c r="C50" s="620"/>
      <c r="D50" s="620"/>
      <c r="E50" s="620"/>
      <c r="F50" s="620"/>
      <c r="G50" s="620"/>
      <c r="H50" s="225"/>
      <c r="I50" s="620"/>
      <c r="J50" s="225"/>
      <c r="K50" s="620"/>
      <c r="L50" s="225"/>
      <c r="M50" s="620"/>
      <c r="N50" s="225"/>
      <c r="O50" s="620"/>
      <c r="P50" s="225"/>
      <c r="Q50" s="3559"/>
      <c r="R50" s="225"/>
      <c r="S50" s="620"/>
      <c r="T50" s="225"/>
      <c r="U50" s="620"/>
      <c r="V50" s="225"/>
      <c r="W50" s="620"/>
      <c r="X50" s="225"/>
      <c r="Y50" s="620"/>
      <c r="Z50" s="225"/>
      <c r="AA50" s="971"/>
      <c r="AB50" s="3243"/>
      <c r="AC50" s="3243"/>
      <c r="AD50" s="3471"/>
      <c r="AE50" s="3475"/>
      <c r="AF50" s="3243"/>
      <c r="AG50" s="3243"/>
      <c r="AH50" s="115"/>
      <c r="AI50" s="115"/>
      <c r="AJ50" s="3476"/>
    </row>
    <row r="51" spans="1:36" ht="16.5" customHeight="1">
      <c r="A51" s="680" t="s">
        <v>1127</v>
      </c>
      <c r="B51" s="680"/>
      <c r="C51" s="1391">
        <f>+'Exhibit F'!D46</f>
        <v>0</v>
      </c>
      <c r="D51" s="624"/>
      <c r="E51" s="1391">
        <f>+'Exhibit F'!F46</f>
        <v>0</v>
      </c>
      <c r="F51" s="624"/>
      <c r="G51" s="1391">
        <f>+'Exhibit F'!H46</f>
        <v>0</v>
      </c>
      <c r="H51" s="529"/>
      <c r="I51" s="1391">
        <f>+'Exhibit F'!J46</f>
        <v>0</v>
      </c>
      <c r="J51" s="529"/>
      <c r="K51" s="1391">
        <f>+'Exhibit F'!L46</f>
        <v>0</v>
      </c>
      <c r="L51" s="225"/>
      <c r="M51" s="1391">
        <f>+'Exhibit F'!N46</f>
        <v>0</v>
      </c>
      <c r="N51" s="225"/>
      <c r="O51" s="1391">
        <f>+'Exhibit F'!P46</f>
        <v>0</v>
      </c>
      <c r="P51" s="225"/>
      <c r="Q51" s="1391">
        <f>+'Exhibit F'!R46</f>
        <v>0</v>
      </c>
      <c r="R51" s="225"/>
      <c r="S51" s="1391">
        <f>+'Exhibit F'!T46</f>
        <v>0</v>
      </c>
      <c r="T51" s="225"/>
      <c r="U51" s="1391">
        <f>+'Exhibit F'!V46</f>
        <v>0</v>
      </c>
      <c r="V51" s="225"/>
      <c r="W51" s="1391">
        <f>+'Exhibit F'!X46</f>
        <v>0</v>
      </c>
      <c r="X51" s="225"/>
      <c r="Y51" s="1391"/>
      <c r="Z51" s="225"/>
      <c r="AA51" s="971"/>
      <c r="AB51" s="1676">
        <f t="shared" ref="AB51:AB56" si="7">ROUND(SUM(C51:Y51),1)</f>
        <v>0</v>
      </c>
      <c r="AC51" s="3243"/>
      <c r="AD51" s="3471"/>
      <c r="AE51" s="1830">
        <f>+'Exhibit F'!AF46</f>
        <v>0</v>
      </c>
      <c r="AF51" s="3221"/>
      <c r="AG51" s="3221"/>
      <c r="AH51" s="2045">
        <f t="shared" ref="AH51:AH56" si="8">ROUND(SUM(+AB51-AE51),1)</f>
        <v>0</v>
      </c>
      <c r="AI51" s="1490"/>
      <c r="AJ51" s="1765">
        <f>-ROUND(IF(AE51=0,0,AH51/ABS(AE51)),3)</f>
        <v>0</v>
      </c>
    </row>
    <row r="52" spans="1:36" ht="16.5" customHeight="1">
      <c r="A52" s="680" t="s">
        <v>1128</v>
      </c>
      <c r="B52" s="680"/>
      <c r="C52" s="368">
        <f>+'Exhibit F'!D47</f>
        <v>79.7</v>
      </c>
      <c r="D52" s="624"/>
      <c r="E52" s="368">
        <f>+'Exhibit F'!F47</f>
        <v>57.3</v>
      </c>
      <c r="F52" s="624"/>
      <c r="G52" s="368">
        <f>+'Exhibit F'!H47</f>
        <v>62.199999999999989</v>
      </c>
      <c r="H52" s="529"/>
      <c r="I52" s="368">
        <f>+'Exhibit F'!J47</f>
        <v>124.69999999999999</v>
      </c>
      <c r="J52" s="529"/>
      <c r="K52" s="368">
        <f>+'Exhibit F'!L47</f>
        <v>41.800000000000011</v>
      </c>
      <c r="L52" s="529"/>
      <c r="M52" s="368">
        <f>+'Exhibit F'!N47</f>
        <v>53.800000000000011</v>
      </c>
      <c r="N52" s="225"/>
      <c r="O52" s="368">
        <f>+'Exhibit F'!P47</f>
        <v>163.20000000000005</v>
      </c>
      <c r="P52" s="225"/>
      <c r="Q52" s="368">
        <f>+'Exhibit F'!R47</f>
        <v>87.199999999999932</v>
      </c>
      <c r="R52" s="225"/>
      <c r="S52" s="368">
        <f>+'Exhibit F'!T47</f>
        <v>143.59999999999997</v>
      </c>
      <c r="T52" s="225"/>
      <c r="U52" s="368">
        <f>+'Exhibit F'!V47</f>
        <v>93.5</v>
      </c>
      <c r="V52" s="225"/>
      <c r="W52" s="368">
        <f>+'Exhibit F'!X47</f>
        <v>115.50000000000006</v>
      </c>
      <c r="X52" s="225"/>
      <c r="Y52" s="368"/>
      <c r="Z52" s="225"/>
      <c r="AA52" s="971"/>
      <c r="AB52" s="1676">
        <f t="shared" si="7"/>
        <v>1022.5</v>
      </c>
      <c r="AC52" s="3243"/>
      <c r="AD52" s="3471"/>
      <c r="AE52" s="3472">
        <f>+'Exhibit F'!AF47</f>
        <v>1014.4</v>
      </c>
      <c r="AF52" s="3243"/>
      <c r="AG52" s="3243"/>
      <c r="AH52" s="906">
        <f t="shared" si="8"/>
        <v>8.1</v>
      </c>
      <c r="AI52" s="115"/>
      <c r="AJ52" s="1766">
        <f t="shared" ref="AJ52:AJ58" si="9">ROUND(IF(AE52=0,0,AH52/ABS(AE52)),3)</f>
        <v>8.0000000000000002E-3</v>
      </c>
    </row>
    <row r="53" spans="1:36" ht="16.5" customHeight="1">
      <c r="A53" s="680" t="s">
        <v>1129</v>
      </c>
      <c r="B53" s="680"/>
      <c r="C53" s="368">
        <f>+'Exhibit F'!D48</f>
        <v>0.9</v>
      </c>
      <c r="D53" s="624"/>
      <c r="E53" s="368">
        <f>+'Exhibit F'!F48</f>
        <v>1.1000000000000001</v>
      </c>
      <c r="F53" s="624"/>
      <c r="G53" s="368">
        <f>+'Exhibit F'!H48</f>
        <v>1.6</v>
      </c>
      <c r="H53" s="529"/>
      <c r="I53" s="368">
        <f>+'Exhibit F'!J48</f>
        <v>1.1999999999999997</v>
      </c>
      <c r="J53" s="529"/>
      <c r="K53" s="368">
        <f>+'Exhibit F'!L48</f>
        <v>2.2000000000000002</v>
      </c>
      <c r="L53" s="529"/>
      <c r="M53" s="368">
        <f>+'Exhibit F'!N48</f>
        <v>2.1000000000000005</v>
      </c>
      <c r="N53" s="225"/>
      <c r="O53" s="368">
        <f>+'Exhibit F'!P48</f>
        <v>1</v>
      </c>
      <c r="P53" s="225"/>
      <c r="Q53" s="368">
        <f>+'Exhibit F'!R48</f>
        <v>1.0999999999999996</v>
      </c>
      <c r="R53" s="225"/>
      <c r="S53" s="368">
        <f>+'Exhibit F'!T48</f>
        <v>1</v>
      </c>
      <c r="T53" s="225"/>
      <c r="U53" s="368">
        <f>+'Exhibit F'!V48</f>
        <v>0.70000000000000107</v>
      </c>
      <c r="V53" s="225"/>
      <c r="W53" s="368">
        <f>+'Exhibit F'!X48</f>
        <v>0.90000000000000036</v>
      </c>
      <c r="X53" s="225"/>
      <c r="Y53" s="368"/>
      <c r="Z53" s="225"/>
      <c r="AA53" s="971"/>
      <c r="AB53" s="1676">
        <f t="shared" si="7"/>
        <v>13.8</v>
      </c>
      <c r="AC53" s="3243"/>
      <c r="AD53" s="3471"/>
      <c r="AE53" s="3472">
        <f>+'Exhibit F'!AF48</f>
        <v>14.4</v>
      </c>
      <c r="AF53" s="3243"/>
      <c r="AG53" s="3243"/>
      <c r="AH53" s="906">
        <f t="shared" si="8"/>
        <v>-0.6</v>
      </c>
      <c r="AI53" s="115"/>
      <c r="AJ53" s="1766">
        <f t="shared" si="9"/>
        <v>-4.2000000000000003E-2</v>
      </c>
    </row>
    <row r="54" spans="1:36" ht="16.5" customHeight="1">
      <c r="A54" s="680" t="s">
        <v>1130</v>
      </c>
      <c r="B54" s="680"/>
      <c r="C54" s="368">
        <f>+'Exhibit F'!D49+'Exhibit H'!B22+'Exhibit I'!E30</f>
        <v>82.9</v>
      </c>
      <c r="D54" s="624"/>
      <c r="E54" s="368">
        <f>+'Exhibit F'!F49+'Exhibit H'!D22+'Exhibit I'!G30</f>
        <v>86</v>
      </c>
      <c r="F54" s="624"/>
      <c r="G54" s="368">
        <f>+'Exhibit F'!H49+'Exhibit H'!F22+'Exhibit I'!I30</f>
        <v>98.6</v>
      </c>
      <c r="H54" s="529"/>
      <c r="I54" s="368">
        <f>+'Exhibit F'!J49+'Exhibit H'!H22+'Exhibit I'!K30</f>
        <v>130.80000000000004</v>
      </c>
      <c r="J54" s="529"/>
      <c r="K54" s="368">
        <f>+'Exhibit F'!L49+'Exhibit H'!J22+'Exhibit I'!M30</f>
        <v>90.69999999999996</v>
      </c>
      <c r="L54" s="529"/>
      <c r="M54" s="368">
        <f>+'Exhibit F'!N49+'Exhibit H'!L22+'Exhibit I'!O30</f>
        <v>97.200000000000074</v>
      </c>
      <c r="N54" s="225"/>
      <c r="O54" s="368">
        <f>+'Exhibit F'!P49+'Exhibit H'!N22+'Exhibit I'!Q30</f>
        <v>85.199999999999932</v>
      </c>
      <c r="P54" s="225"/>
      <c r="Q54" s="368">
        <f>+'Exhibit F'!R49+'Exhibit H'!P22+'Exhibit I'!S30</f>
        <v>99.700000000000074</v>
      </c>
      <c r="R54" s="225"/>
      <c r="S54" s="368">
        <f>+'Exhibit F'!T49+'Exhibit H'!R22+'Exhibit I'!U30</f>
        <v>86.09999999999998</v>
      </c>
      <c r="T54" s="225"/>
      <c r="U54" s="368">
        <f>+'Exhibit F'!V49+'Exhibit H'!T22+'Exhibit I'!W30</f>
        <v>94.800000000000082</v>
      </c>
      <c r="V54" s="225"/>
      <c r="W54" s="368">
        <f>+'Exhibit F'!X49+'Exhibit H'!V22+'Exhibit I'!Y30</f>
        <v>84.199999999999903</v>
      </c>
      <c r="X54" s="225"/>
      <c r="Y54" s="368"/>
      <c r="Z54" s="225"/>
      <c r="AA54" s="971"/>
      <c r="AB54" s="1676">
        <f t="shared" si="7"/>
        <v>1036.2</v>
      </c>
      <c r="AC54" s="3243"/>
      <c r="AD54" s="3471"/>
      <c r="AE54" s="3472">
        <f>+'Exhibit F'!AF49+'Exhibit H'!AD22+'Exhibit I'!AI30</f>
        <v>1069.2</v>
      </c>
      <c r="AF54" s="3243"/>
      <c r="AG54" s="3243"/>
      <c r="AH54" s="906">
        <f t="shared" si="8"/>
        <v>-33</v>
      </c>
      <c r="AI54" s="115"/>
      <c r="AJ54" s="1766">
        <f t="shared" si="9"/>
        <v>-3.1E-2</v>
      </c>
    </row>
    <row r="55" spans="1:36" ht="16.5" customHeight="1">
      <c r="A55" s="680" t="s">
        <v>1131</v>
      </c>
      <c r="B55" s="680"/>
      <c r="C55" s="368">
        <f>+'Exhibit F'!D50</f>
        <v>0.2</v>
      </c>
      <c r="D55" s="624"/>
      <c r="E55" s="368">
        <f>+'Exhibit F'!F50</f>
        <v>9.9999999999999978E-2</v>
      </c>
      <c r="F55" s="624"/>
      <c r="G55" s="368">
        <f>+'Exhibit F'!H50</f>
        <v>0.3</v>
      </c>
      <c r="H55" s="529"/>
      <c r="I55" s="368">
        <f>+'Exhibit F'!J50</f>
        <v>0.20000000000000012</v>
      </c>
      <c r="J55" s="529"/>
      <c r="K55" s="368">
        <f>+'Exhibit F'!L50</f>
        <v>9.9999999999999867E-2</v>
      </c>
      <c r="L55" s="529"/>
      <c r="M55" s="368">
        <f>+'Exhibit F'!N50</f>
        <v>0</v>
      </c>
      <c r="N55" s="225"/>
      <c r="O55" s="368">
        <f>+'Exhibit F'!P50</f>
        <v>0.39999999999999997</v>
      </c>
      <c r="P55" s="225"/>
      <c r="Q55" s="368">
        <f>+'Exhibit F'!R50</f>
        <v>0.60000000000000009</v>
      </c>
      <c r="R55" s="225"/>
      <c r="S55" s="368">
        <f>+'Exhibit F'!T50</f>
        <v>0.10000000000000009</v>
      </c>
      <c r="T55" s="225"/>
      <c r="U55" s="368">
        <f>+'Exhibit F'!V50</f>
        <v>-0.10000000000000009</v>
      </c>
      <c r="V55" s="225"/>
      <c r="W55" s="368">
        <f>+'Exhibit F'!X50</f>
        <v>0.10000000000000009</v>
      </c>
      <c r="X55" s="225"/>
      <c r="Y55" s="368"/>
      <c r="Z55" s="225"/>
      <c r="AA55" s="971"/>
      <c r="AB55" s="1676">
        <f t="shared" si="7"/>
        <v>2</v>
      </c>
      <c r="AC55" s="3243"/>
      <c r="AD55" s="3471"/>
      <c r="AE55" s="3472">
        <f>+'Exhibit F'!AF50</f>
        <v>2.6</v>
      </c>
      <c r="AF55" s="3243"/>
      <c r="AG55" s="3243"/>
      <c r="AH55" s="906">
        <f t="shared" si="8"/>
        <v>-0.6</v>
      </c>
      <c r="AI55" s="115"/>
      <c r="AJ55" s="1766">
        <f>ROUND(IF(AE55=0,0,AH55/ABS(AE55)),3)</f>
        <v>-0.23100000000000001</v>
      </c>
    </row>
    <row r="56" spans="1:36" ht="16.5" customHeight="1">
      <c r="A56" s="1089" t="s">
        <v>1132</v>
      </c>
      <c r="B56" s="680"/>
      <c r="C56" s="368">
        <f>+'Exhibit F'!D51</f>
        <v>0</v>
      </c>
      <c r="D56" s="624"/>
      <c r="E56" s="368">
        <f>+'Exhibit F'!F51</f>
        <v>0</v>
      </c>
      <c r="F56" s="624"/>
      <c r="G56" s="368">
        <f>+'Exhibit F'!H51</f>
        <v>0</v>
      </c>
      <c r="H56" s="529"/>
      <c r="I56" s="368">
        <f>+'Exhibit F'!J51</f>
        <v>0</v>
      </c>
      <c r="J56" s="529"/>
      <c r="K56" s="368">
        <f>+'Exhibit F'!L51</f>
        <v>0</v>
      </c>
      <c r="L56" s="225"/>
      <c r="M56" s="368">
        <f>+'Exhibit F'!N51</f>
        <v>0</v>
      </c>
      <c r="N56" s="225"/>
      <c r="O56" s="368">
        <f>+'Exhibit F'!P51</f>
        <v>0</v>
      </c>
      <c r="P56" s="225"/>
      <c r="Q56" s="368">
        <f>+'Exhibit F'!R51</f>
        <v>0</v>
      </c>
      <c r="R56" s="225"/>
      <c r="S56" s="368">
        <f>+'Exhibit F'!T51</f>
        <v>0</v>
      </c>
      <c r="T56" s="225"/>
      <c r="U56" s="368">
        <f>+'Exhibit F'!V51</f>
        <v>0</v>
      </c>
      <c r="V56" s="225"/>
      <c r="W56" s="368">
        <f>+'Exhibit F'!X51</f>
        <v>0</v>
      </c>
      <c r="X56" s="225"/>
      <c r="Y56" s="368"/>
      <c r="Z56" s="225"/>
      <c r="AA56" s="971"/>
      <c r="AB56" s="1676">
        <f t="shared" si="7"/>
        <v>0</v>
      </c>
      <c r="AC56" s="3243"/>
      <c r="AD56" s="3471"/>
      <c r="AE56" s="3472">
        <f>+'Exhibit F'!AF51</f>
        <v>0</v>
      </c>
      <c r="AF56" s="3243"/>
      <c r="AG56" s="3243"/>
      <c r="AH56" s="906">
        <f t="shared" si="8"/>
        <v>0</v>
      </c>
      <c r="AI56" s="115"/>
      <c r="AJ56" s="1766">
        <f t="shared" si="9"/>
        <v>0</v>
      </c>
    </row>
    <row r="57" spans="1:36" ht="16.5" customHeight="1">
      <c r="A57" s="2865" t="s">
        <v>1426</v>
      </c>
      <c r="B57" s="680"/>
      <c r="C57" s="368">
        <f>+'Exhibit F'!D52+'Exhibit H'!B23</f>
        <v>0.1</v>
      </c>
      <c r="D57" s="624"/>
      <c r="E57" s="368">
        <f>+'Exhibit F'!F52+'Exhibit H'!D23</f>
        <v>0.1</v>
      </c>
      <c r="F57" s="624"/>
      <c r="G57" s="3472">
        <f>+'Exhibit F'!H52+'Exhibit H'!F23</f>
        <v>0</v>
      </c>
      <c r="H57" s="529"/>
      <c r="I57" s="368">
        <f>+'Exhibit F'!J52+'Exhibit H'!H23</f>
        <v>0.2</v>
      </c>
      <c r="J57" s="529"/>
      <c r="K57" s="368">
        <f>+'Exhibit F'!L52+'Exhibit H'!J23</f>
        <v>0.19999999999999996</v>
      </c>
      <c r="L57" s="1568"/>
      <c r="M57" s="368">
        <f>+'Exhibit F'!N52+'Exhibit H'!L23</f>
        <v>0.10000000000000006</v>
      </c>
      <c r="N57" s="1568"/>
      <c r="O57" s="368">
        <f>+'Exhibit F'!P52+'Exhibit H'!N23</f>
        <v>0.20000000000000007</v>
      </c>
      <c r="P57" s="1568"/>
      <c r="Q57" s="368">
        <f>+'Exhibit F'!R52+'Exhibit H'!P23</f>
        <v>0.1</v>
      </c>
      <c r="R57" s="1568"/>
      <c r="S57" s="368">
        <f>+'Exhibit F'!T52+'Exhibit H'!R23</f>
        <v>0.39999999999999986</v>
      </c>
      <c r="T57" s="1568"/>
      <c r="U57" s="368">
        <f>+'Exhibit F'!V52+'Exhibit H'!T23</f>
        <v>0.50000000000000011</v>
      </c>
      <c r="V57" s="1568"/>
      <c r="W57" s="368">
        <f>+'Exhibit F'!X52+'Exhibit H'!V23</f>
        <v>-9.999999999999995E-2</v>
      </c>
      <c r="X57" s="1568"/>
      <c r="Y57" s="368"/>
      <c r="Z57" s="1568"/>
      <c r="AA57" s="971"/>
      <c r="AB57" s="1676">
        <f t="shared" ref="AB57" si="10">ROUND(SUM(C57:Y57),1)</f>
        <v>1.8</v>
      </c>
      <c r="AC57" s="3243"/>
      <c r="AD57" s="3471"/>
      <c r="AE57" s="3472">
        <f>+'Exhibit F'!AF52</f>
        <v>0</v>
      </c>
      <c r="AF57" s="3243"/>
      <c r="AG57" s="3243"/>
      <c r="AH57" s="906">
        <f>ROUND(SUM(+AB57-AE57),1)</f>
        <v>1.8</v>
      </c>
      <c r="AI57" s="3473"/>
      <c r="AJ57" s="1853">
        <f>ROUND(IF(AE57=0,1,AH57/ABS(AE57)),3)</f>
        <v>1</v>
      </c>
    </row>
    <row r="58" spans="1:36" ht="16.5" customHeight="1">
      <c r="A58" s="312" t="s">
        <v>1125</v>
      </c>
      <c r="B58" s="680"/>
      <c r="C58" s="897">
        <f>ROUND(SUM(C51:C57),1)</f>
        <v>163.80000000000001</v>
      </c>
      <c r="D58" s="26"/>
      <c r="E58" s="897">
        <f>ROUND(SUM(E51:E57),1)</f>
        <v>144.6</v>
      </c>
      <c r="F58" s="26"/>
      <c r="G58" s="897">
        <f>ROUND(SUM(G51:G57),1)</f>
        <v>162.69999999999999</v>
      </c>
      <c r="H58" s="225"/>
      <c r="I58" s="897">
        <f>ROUND(SUM(I51:I57),1)</f>
        <v>257.10000000000002</v>
      </c>
      <c r="J58" s="225"/>
      <c r="K58" s="897">
        <f>ROUND(SUM(K51:K57),1)</f>
        <v>135</v>
      </c>
      <c r="L58" s="225"/>
      <c r="M58" s="897">
        <f>ROUND(SUM(M51:M57),1)</f>
        <v>153.19999999999999</v>
      </c>
      <c r="N58" s="225"/>
      <c r="O58" s="897">
        <f>ROUND(SUM(O51:O57),1)</f>
        <v>250</v>
      </c>
      <c r="P58" s="225"/>
      <c r="Q58" s="3249">
        <f>ROUND(SUM(Q51:Q57),1)</f>
        <v>188.7</v>
      </c>
      <c r="R58" s="225"/>
      <c r="S58" s="897">
        <f>ROUND(SUM(S51:S57),1)</f>
        <v>231.2</v>
      </c>
      <c r="T58" s="225"/>
      <c r="U58" s="897">
        <f>ROUND(SUM(U51:U57),1)</f>
        <v>189.4</v>
      </c>
      <c r="V58" s="225"/>
      <c r="W58" s="897">
        <f>ROUND(SUM(W51:W57),1)</f>
        <v>200.6</v>
      </c>
      <c r="X58" s="225"/>
      <c r="Y58" s="897">
        <f>ROUND(SUM(Y51:Y57),1)</f>
        <v>0</v>
      </c>
      <c r="Z58" s="225"/>
      <c r="AA58" s="971"/>
      <c r="AB58" s="3249">
        <f>ROUND(SUM(AB51:AB57),1)</f>
        <v>2076.3000000000002</v>
      </c>
      <c r="AC58" s="3243"/>
      <c r="AD58" s="3471"/>
      <c r="AE58" s="3249">
        <f>ROUND(SUM(AE51:AE57),1)</f>
        <v>2100.6</v>
      </c>
      <c r="AF58" s="3243"/>
      <c r="AG58" s="3243"/>
      <c r="AH58" s="3249">
        <f>ROUND(SUM(AH51:AH57),1)</f>
        <v>-24.3</v>
      </c>
      <c r="AI58" s="115"/>
      <c r="AJ58" s="3478">
        <f t="shared" si="9"/>
        <v>-1.2E-2</v>
      </c>
    </row>
    <row r="59" spans="1:36" ht="16.5" customHeight="1">
      <c r="A59" s="312"/>
      <c r="B59" s="680"/>
      <c r="C59" s="27"/>
      <c r="D59" s="27"/>
      <c r="E59" s="27"/>
      <c r="F59" s="27"/>
      <c r="G59" s="27"/>
      <c r="H59" s="1087"/>
      <c r="I59" s="27"/>
      <c r="J59" s="1087"/>
      <c r="K59" s="27"/>
      <c r="L59" s="1087"/>
      <c r="M59" s="27"/>
      <c r="N59" s="1087"/>
      <c r="O59" s="27"/>
      <c r="P59" s="1087"/>
      <c r="Q59" s="3560"/>
      <c r="R59" s="1087"/>
      <c r="S59" s="27"/>
      <c r="T59" s="1087"/>
      <c r="U59" s="27"/>
      <c r="V59" s="1087"/>
      <c r="W59" s="27"/>
      <c r="X59" s="1087"/>
      <c r="Y59" s="27"/>
      <c r="Z59" s="225"/>
      <c r="AA59" s="528"/>
      <c r="AB59" s="3250"/>
      <c r="AC59" s="3243"/>
      <c r="AD59" s="3471"/>
      <c r="AE59" s="3250"/>
      <c r="AF59" s="3243"/>
      <c r="AG59" s="3243"/>
      <c r="AH59" s="658"/>
      <c r="AI59" s="3243"/>
      <c r="AJ59" s="658"/>
    </row>
    <row r="60" spans="1:36" ht="16.5" customHeight="1">
      <c r="A60" s="312" t="s">
        <v>1126</v>
      </c>
      <c r="B60" s="30"/>
      <c r="C60" s="28">
        <f>ROUND(SUM(C58+C49+C42+C30),1)</f>
        <v>11561.4</v>
      </c>
      <c r="D60" s="66"/>
      <c r="E60" s="28">
        <f>ROUND(SUM(E58+E49+E42+E30),1)</f>
        <v>3885.5</v>
      </c>
      <c r="F60" s="66"/>
      <c r="G60" s="28">
        <f>ROUND(SUM(G58+G49+G42+G30),1)</f>
        <v>8644.5</v>
      </c>
      <c r="H60" s="66"/>
      <c r="I60" s="28">
        <f>ROUND(SUM(I58+I49+I42+I30),1)</f>
        <v>5310.7</v>
      </c>
      <c r="J60" s="66"/>
      <c r="K60" s="28">
        <f>ROUND(SUM(K58+K49+K42+K30),1)</f>
        <v>4561.3999999999996</v>
      </c>
      <c r="L60" s="66"/>
      <c r="M60" s="28">
        <f>ROUND(SUM(M58+M49+M42+M30),1)</f>
        <v>8438.2000000000007</v>
      </c>
      <c r="N60" s="66"/>
      <c r="O60" s="28">
        <f>ROUND(SUM(O58+O49+O42+O30),1)</f>
        <v>4441.7</v>
      </c>
      <c r="P60" s="66"/>
      <c r="Q60" s="3561">
        <f>ROUND(SUM(Q58+Q49+Q42+Q30),1)</f>
        <v>4255.2</v>
      </c>
      <c r="R60" s="66"/>
      <c r="S60" s="28">
        <f>ROUND(SUM(S58+S49+S42+S30),1)</f>
        <v>8016</v>
      </c>
      <c r="T60" s="66"/>
      <c r="U60" s="28">
        <f>ROUND(SUM(U58+U49+U42+U30),1)</f>
        <v>10886.9</v>
      </c>
      <c r="V60" s="66"/>
      <c r="W60" s="28">
        <f>ROUND(SUM(W58+W49+W42+W30),1)</f>
        <v>5177.8</v>
      </c>
      <c r="X60" s="165"/>
      <c r="Y60" s="28">
        <f>ROUND(SUM(Y58+Y49+Y42+Y30),1)</f>
        <v>0</v>
      </c>
      <c r="Z60" s="165"/>
      <c r="AA60" s="45"/>
      <c r="AB60" s="315">
        <f>ROUND(+AB58+AB49+AB42+AB30,1)</f>
        <v>75179.3</v>
      </c>
      <c r="AC60" s="118"/>
      <c r="AD60" s="687"/>
      <c r="AE60" s="315">
        <f>ROUND(+AE58+AE49+AE42+AE30,1)</f>
        <v>68320.7</v>
      </c>
      <c r="AF60" s="67"/>
      <c r="AG60" s="3479"/>
      <c r="AH60" s="315">
        <f>ROUND(+AH58+AH49+AH42+AH30,1)</f>
        <v>6858.6</v>
      </c>
      <c r="AI60" s="1035"/>
      <c r="AJ60" s="3480">
        <f>ROUND(IF(AE60=0,0,AH60/ABS(AE60)),3)</f>
        <v>0.1</v>
      </c>
    </row>
    <row r="61" spans="1:36" ht="16.5" customHeight="1">
      <c r="A61" s="225"/>
      <c r="B61" s="225"/>
      <c r="C61" s="529"/>
      <c r="D61" s="529"/>
      <c r="E61" s="529"/>
      <c r="F61" s="529"/>
      <c r="G61" s="529"/>
      <c r="H61" s="529"/>
      <c r="I61" s="529"/>
      <c r="J61" s="529"/>
      <c r="K61" s="529"/>
      <c r="L61" s="529"/>
      <c r="M61" s="529"/>
      <c r="N61" s="529"/>
      <c r="O61" s="529"/>
      <c r="P61" s="529"/>
      <c r="Q61" s="1676"/>
      <c r="R61" s="529"/>
      <c r="S61" s="529"/>
      <c r="T61" s="529"/>
      <c r="U61" s="529"/>
      <c r="V61" s="529"/>
      <c r="W61" s="529"/>
      <c r="X61" s="529"/>
      <c r="Y61" s="529"/>
      <c r="Z61" s="529"/>
      <c r="AA61" s="530"/>
      <c r="AB61" s="1676"/>
      <c r="AC61" s="1676"/>
      <c r="AD61" s="3481"/>
      <c r="AE61" s="1676"/>
      <c r="AF61" s="1676"/>
      <c r="AG61" s="1676"/>
      <c r="AH61" s="1676"/>
      <c r="AI61" s="3243"/>
      <c r="AJ61" s="3482"/>
    </row>
    <row r="62" spans="1:36" ht="16.5" customHeight="1">
      <c r="A62" s="261" t="s">
        <v>1033</v>
      </c>
      <c r="B62" s="901"/>
      <c r="C62" s="529"/>
      <c r="D62" s="529"/>
      <c r="E62" s="529"/>
      <c r="F62" s="529"/>
      <c r="G62" s="529"/>
      <c r="H62" s="529"/>
      <c r="I62" s="529"/>
      <c r="J62" s="529"/>
      <c r="K62" s="529"/>
      <c r="L62" s="529"/>
      <c r="M62" s="529"/>
      <c r="N62" s="529"/>
      <c r="O62" s="529"/>
      <c r="P62" s="529"/>
      <c r="Q62" s="1676"/>
      <c r="R62" s="529"/>
      <c r="S62" s="529"/>
      <c r="T62" s="529"/>
      <c r="U62" s="529"/>
      <c r="V62" s="529"/>
      <c r="W62" s="529"/>
      <c r="X62" s="529"/>
      <c r="Y62" s="529"/>
      <c r="Z62" s="529"/>
      <c r="AA62" s="530"/>
      <c r="AB62" s="1676"/>
      <c r="AC62" s="1676"/>
      <c r="AD62" s="3481"/>
      <c r="AE62" s="1676"/>
      <c r="AF62" s="1676"/>
      <c r="AG62" s="1676"/>
      <c r="AH62" s="1676"/>
      <c r="AI62" s="3243"/>
      <c r="AJ62" s="3482"/>
    </row>
    <row r="63" spans="1:36" ht="16.5" customHeight="1">
      <c r="A63" s="903" t="s">
        <v>1154</v>
      </c>
      <c r="B63" s="901"/>
      <c r="C63" s="529"/>
      <c r="D63" s="529"/>
      <c r="E63" s="529"/>
      <c r="F63" s="529"/>
      <c r="G63" s="529"/>
      <c r="H63" s="529"/>
      <c r="I63" s="529"/>
      <c r="J63" s="529"/>
      <c r="K63" s="529"/>
      <c r="L63" s="529"/>
      <c r="M63" s="529"/>
      <c r="N63" s="529"/>
      <c r="O63" s="529"/>
      <c r="P63" s="529"/>
      <c r="Q63" s="1676"/>
      <c r="R63" s="529"/>
      <c r="S63" s="529"/>
      <c r="T63" s="529"/>
      <c r="U63" s="529"/>
      <c r="V63" s="529"/>
      <c r="W63" s="529"/>
      <c r="X63" s="529"/>
      <c r="Y63" s="529"/>
      <c r="Z63" s="529"/>
      <c r="AA63" s="530"/>
      <c r="AB63" s="1676"/>
      <c r="AC63" s="1676"/>
      <c r="AD63" s="3481"/>
      <c r="AE63" s="1676"/>
      <c r="AF63" s="1676"/>
      <c r="AG63" s="1676"/>
      <c r="AH63" s="1676"/>
      <c r="AI63" s="3243"/>
      <c r="AJ63" s="3482"/>
    </row>
    <row r="64" spans="1:36" ht="16.5" customHeight="1">
      <c r="A64" s="903" t="s">
        <v>1031</v>
      </c>
      <c r="B64" s="903"/>
      <c r="C64" s="529">
        <f>+'Exhibit F'!D59+'Exhibit G'!D42</f>
        <v>2</v>
      </c>
      <c r="D64" s="529"/>
      <c r="E64" s="529">
        <f>+'Exhibit F'!F59+'Exhibit G'!F42</f>
        <v>1.2000000000000002</v>
      </c>
      <c r="F64" s="529"/>
      <c r="G64" s="529">
        <f>+'Exhibit F'!H59+'Exhibit G'!H42</f>
        <v>0.89999999999999991</v>
      </c>
      <c r="H64" s="529"/>
      <c r="I64" s="529">
        <f>+'Exhibit F'!J59+'Exhibit G'!J42</f>
        <v>1.2</v>
      </c>
      <c r="J64" s="529"/>
      <c r="K64" s="529">
        <f>+'Exhibit F'!L59+'Exhibit G'!L42</f>
        <v>5.6</v>
      </c>
      <c r="L64" s="529"/>
      <c r="M64" s="529">
        <f>+'Exhibit F'!N59+'Exhibit G'!N42</f>
        <v>31</v>
      </c>
      <c r="N64" s="529"/>
      <c r="O64" s="529">
        <f>+'Exhibit F'!P59+'Exhibit G'!P42</f>
        <v>36.200000000000003</v>
      </c>
      <c r="P64" s="529"/>
      <c r="Q64" s="529">
        <f>+'Exhibit F'!R59+'Exhibit G'!R42</f>
        <v>215.9</v>
      </c>
      <c r="R64" s="529"/>
      <c r="S64" s="529">
        <f>+'Exhibit F'!T59+'Exhibit G'!T42</f>
        <v>1.100000000000001</v>
      </c>
      <c r="T64" s="529"/>
      <c r="U64" s="529">
        <f>+'Exhibit F'!V59+'Exhibit G'!V42</f>
        <v>0.89999999999999902</v>
      </c>
      <c r="V64" s="529"/>
      <c r="W64" s="529">
        <f>+'Exhibit F'!X59+'Exhibit G'!X42</f>
        <v>25.5</v>
      </c>
      <c r="X64" s="529"/>
      <c r="Y64" s="529"/>
      <c r="Z64" s="529"/>
      <c r="AA64" s="530"/>
      <c r="AB64" s="1676">
        <f t="shared" ref="AB64:AB104" si="11">ROUND(SUM(C64:Y64),1)</f>
        <v>321.5</v>
      </c>
      <c r="AC64" s="1676"/>
      <c r="AD64" s="3481"/>
      <c r="AE64" s="1676">
        <f>+'Exhibit F'!AF59+'Exhibit G'!AG42</f>
        <v>347.8</v>
      </c>
      <c r="AF64" s="1676"/>
      <c r="AG64" s="1676"/>
      <c r="AH64" s="1676">
        <f t="shared" ref="AH64:AH104" si="12">ROUND(SUM(AB64-AE64),1)</f>
        <v>-26.3</v>
      </c>
      <c r="AI64" s="3243"/>
      <c r="AJ64" s="1766">
        <f>ROUND(IF(AE64=0,0,AH64/ABS(AE64)),3)</f>
        <v>-7.5999999999999998E-2</v>
      </c>
    </row>
    <row r="65" spans="1:36" ht="16.5" customHeight="1">
      <c r="A65" s="903" t="s">
        <v>1032</v>
      </c>
      <c r="B65" s="903"/>
      <c r="C65" s="529">
        <f>+'Exhibit F'!D60+'Exhibit I'!E37</f>
        <v>0.2</v>
      </c>
      <c r="D65" s="529"/>
      <c r="E65" s="529">
        <f>+'Exhibit F'!F60+'Exhibit I'!G37</f>
        <v>0.3</v>
      </c>
      <c r="F65" s="529"/>
      <c r="G65" s="529">
        <f>+'Exhibit F'!H60+'Exhibit I'!I37</f>
        <v>31.2</v>
      </c>
      <c r="H65" s="529"/>
      <c r="I65" s="529">
        <f>+'Exhibit F'!J60+'Exhibit I'!K37</f>
        <v>0.30000000000000071</v>
      </c>
      <c r="J65" s="529"/>
      <c r="K65" s="529">
        <f>+'Exhibit F'!L60+'Exhibit I'!M37</f>
        <v>9.9999999999999645E-2</v>
      </c>
      <c r="L65" s="529"/>
      <c r="M65" s="529">
        <f>+'Exhibit F'!N60+'Exhibit I'!O37</f>
        <v>39.1</v>
      </c>
      <c r="N65" s="529"/>
      <c r="O65" s="529">
        <f>+'Exhibit F'!P60+'Exhibit I'!Q37</f>
        <v>0.29999999999999716</v>
      </c>
      <c r="P65" s="529"/>
      <c r="Q65" s="529">
        <f>+'Exhibit F'!R60+'Exhibit I'!S37</f>
        <v>0.29999999999999716</v>
      </c>
      <c r="R65" s="529"/>
      <c r="S65" s="529">
        <f>+'Exhibit F'!T60+'Exhibit I'!U37</f>
        <v>23.200000000000003</v>
      </c>
      <c r="T65" s="529"/>
      <c r="U65" s="529">
        <f>+'Exhibit F'!V60+'Exhibit I'!W37</f>
        <v>0.59999999999999432</v>
      </c>
      <c r="V65" s="529"/>
      <c r="W65" s="529">
        <f>+'Exhibit F'!X60+'Exhibit I'!Y37</f>
        <v>0.10000000000000853</v>
      </c>
      <c r="X65" s="529"/>
      <c r="Y65" s="529"/>
      <c r="Z65" s="529"/>
      <c r="AA65" s="530"/>
      <c r="AB65" s="1676">
        <f t="shared" si="11"/>
        <v>95.7</v>
      </c>
      <c r="AC65" s="1676"/>
      <c r="AD65" s="3481"/>
      <c r="AE65" s="1676">
        <f>+'Exhibit F'!AF60+'Exhibit I'!AI37</f>
        <v>96.5</v>
      </c>
      <c r="AF65" s="1676"/>
      <c r="AG65" s="1676"/>
      <c r="AH65" s="1676">
        <f t="shared" si="12"/>
        <v>-0.8</v>
      </c>
      <c r="AI65" s="3243"/>
      <c r="AJ65" s="1766">
        <f>ROUND(IF(AE65=0,0,AH65/ABS(AE65)),3)</f>
        <v>-8.0000000000000002E-3</v>
      </c>
    </row>
    <row r="66" spans="1:36" ht="16.5" customHeight="1">
      <c r="A66" s="903" t="s">
        <v>1155</v>
      </c>
      <c r="B66" s="903"/>
      <c r="C66" s="529"/>
      <c r="D66" s="529"/>
      <c r="E66" s="529"/>
      <c r="F66" s="529"/>
      <c r="G66" s="529"/>
      <c r="H66" s="529"/>
      <c r="I66" s="529"/>
      <c r="J66" s="529"/>
      <c r="K66" s="529"/>
      <c r="L66" s="529"/>
      <c r="M66" s="529"/>
      <c r="N66" s="529"/>
      <c r="O66" s="529"/>
      <c r="P66" s="529"/>
      <c r="Q66" s="529"/>
      <c r="R66" s="529"/>
      <c r="S66" s="529"/>
      <c r="T66" s="529"/>
      <c r="U66" s="529"/>
      <c r="V66" s="529"/>
      <c r="W66" s="529"/>
      <c r="X66" s="529"/>
      <c r="Y66" s="529"/>
      <c r="Z66" s="529"/>
      <c r="AA66" s="530"/>
      <c r="AB66" s="1676"/>
      <c r="AC66" s="1676"/>
      <c r="AD66" s="3481"/>
      <c r="AE66" s="1676"/>
      <c r="AF66" s="1676"/>
      <c r="AG66" s="1676"/>
      <c r="AH66" s="1676"/>
      <c r="AI66" s="3243"/>
      <c r="AJ66" s="1766"/>
    </row>
    <row r="67" spans="1:36" ht="16.5" customHeight="1">
      <c r="A67" s="903" t="s">
        <v>1036</v>
      </c>
      <c r="B67" s="903"/>
      <c r="C67" s="529">
        <f>+'Exhibit F'!D62+'Exhibit G'!D44+'Exhibit I'!E39</f>
        <v>81</v>
      </c>
      <c r="D67" s="529"/>
      <c r="E67" s="529">
        <f>+'Exhibit F'!F62+'Exhibit G'!F44+'Exhibit I'!G39</f>
        <v>81.999999999999986</v>
      </c>
      <c r="F67" s="529"/>
      <c r="G67" s="529">
        <f>+'Exhibit F'!H62+'Exhibit G'!H44+'Exhibit I'!I39</f>
        <v>103.09999999999998</v>
      </c>
      <c r="H67" s="529"/>
      <c r="I67" s="529">
        <f>+'Exhibit F'!J62+'Exhibit G'!J44+'Exhibit I'!K39</f>
        <v>60.200000000000017</v>
      </c>
      <c r="J67" s="529"/>
      <c r="K67" s="529">
        <f>+'Exhibit F'!L62+'Exhibit G'!L44+'Exhibit I'!M39</f>
        <v>63.2</v>
      </c>
      <c r="L67" s="529"/>
      <c r="M67" s="529">
        <f>+'Exhibit F'!N62+'Exhibit G'!N44+'Exhibit I'!O39</f>
        <v>76.800000000000054</v>
      </c>
      <c r="N67" s="529"/>
      <c r="O67" s="529">
        <f>+'Exhibit F'!P62+'Exhibit G'!P44+'Exhibit I'!Q39</f>
        <v>78.699999999999875</v>
      </c>
      <c r="P67" s="529"/>
      <c r="Q67" s="529">
        <f>+'Exhibit F'!R62+'Exhibit G'!R44+'Exhibit I'!S39</f>
        <v>43.300000000000068</v>
      </c>
      <c r="R67" s="529"/>
      <c r="S67" s="529">
        <f>+'Exhibit F'!T62+'Exhibit G'!T44+'Exhibit I'!U39</f>
        <v>80.300000000000068</v>
      </c>
      <c r="T67" s="529"/>
      <c r="U67" s="529">
        <f>+'Exhibit F'!V62+'Exhibit G'!V44+'Exhibit I'!W39</f>
        <v>101.69999999999996</v>
      </c>
      <c r="V67" s="529"/>
      <c r="W67" s="529">
        <f>+'Exhibit F'!X62+'Exhibit G'!X44+'Exhibit I'!Y39</f>
        <v>52.20000000000006</v>
      </c>
      <c r="X67" s="529"/>
      <c r="Y67" s="529"/>
      <c r="Z67" s="529"/>
      <c r="AA67" s="530"/>
      <c r="AB67" s="1676">
        <f>ROUND(SUM(C67:Y67),1)</f>
        <v>822.5</v>
      </c>
      <c r="AC67" s="1676"/>
      <c r="AD67" s="3481"/>
      <c r="AE67" s="1676">
        <f>+'Exhibit F'!AF62+'Exhibit G'!AG44+'Exhibit I'!AI39</f>
        <v>775</v>
      </c>
      <c r="AF67" s="1676"/>
      <c r="AG67" s="1676"/>
      <c r="AH67" s="1676">
        <f t="shared" si="12"/>
        <v>47.5</v>
      </c>
      <c r="AI67" s="3243"/>
      <c r="AJ67" s="1766">
        <f>ROUND(IF(AE67=0,0,AH67/ABS(AE67)),3)</f>
        <v>6.0999999999999999E-2</v>
      </c>
    </row>
    <row r="68" spans="1:36" ht="16.5" customHeight="1">
      <c r="A68" s="903" t="s">
        <v>1037</v>
      </c>
      <c r="B68" s="903"/>
      <c r="C68" s="529">
        <f>+'Exhibit F'!D63+'Exhibit G'!D45</f>
        <v>625.70000000000005</v>
      </c>
      <c r="D68" s="529"/>
      <c r="E68" s="529">
        <f>+'Exhibit F'!F63+'Exhibit G'!F45</f>
        <v>523.90000000000009</v>
      </c>
      <c r="F68" s="529"/>
      <c r="G68" s="529">
        <f>+'Exhibit F'!H63+'Exhibit G'!H45</f>
        <v>508.99999999999983</v>
      </c>
      <c r="H68" s="529"/>
      <c r="I68" s="529">
        <f>+'Exhibit F'!J63+'Exhibit G'!J45</f>
        <v>571.29999999999995</v>
      </c>
      <c r="J68" s="529"/>
      <c r="K68" s="529">
        <f>+'Exhibit F'!L63+'Exhibit G'!L45</f>
        <v>518.50000000000034</v>
      </c>
      <c r="L68" s="529"/>
      <c r="M68" s="529">
        <f>+'Exhibit F'!N63+'Exhibit G'!N45</f>
        <v>544.1</v>
      </c>
      <c r="N68" s="529"/>
      <c r="O68" s="529">
        <f>+'Exhibit F'!P63+'Exhibit G'!P45</f>
        <v>531.19999999999982</v>
      </c>
      <c r="P68" s="529"/>
      <c r="Q68" s="529">
        <f>+'Exhibit F'!R63+'Exhibit G'!R45</f>
        <v>472.50000000000034</v>
      </c>
      <c r="R68" s="529"/>
      <c r="S68" s="529">
        <f>+'Exhibit F'!T63+'Exhibit G'!T45</f>
        <v>529.39999999999941</v>
      </c>
      <c r="T68" s="529"/>
      <c r="U68" s="529">
        <f>+'Exhibit F'!V63+'Exhibit G'!V45</f>
        <v>578.00000000000023</v>
      </c>
      <c r="V68" s="529"/>
      <c r="W68" s="529">
        <f>+'Exhibit F'!X63+'Exhibit G'!X45</f>
        <v>535.20000000000005</v>
      </c>
      <c r="X68" s="529"/>
      <c r="Y68" s="529"/>
      <c r="Z68" s="529"/>
      <c r="AA68" s="530"/>
      <c r="AB68" s="1676">
        <f t="shared" si="11"/>
        <v>5938.8</v>
      </c>
      <c r="AC68" s="1676"/>
      <c r="AD68" s="3481"/>
      <c r="AE68" s="1676">
        <f>+'Exhibit F'!AF63+'Exhibit G'!AG45+'Exhibit H'!AD30</f>
        <v>5608.9000000000005</v>
      </c>
      <c r="AF68" s="1676"/>
      <c r="AG68" s="1676"/>
      <c r="AH68" s="1676">
        <f t="shared" si="12"/>
        <v>329.9</v>
      </c>
      <c r="AI68" s="3243"/>
      <c r="AJ68" s="1766">
        <f>ROUND(IF(AE68=0,0,AH68/ABS(AE68)),3)</f>
        <v>5.8999999999999997E-2</v>
      </c>
    </row>
    <row r="69" spans="1:36" ht="16.5" customHeight="1">
      <c r="A69" s="903" t="s">
        <v>1038</v>
      </c>
      <c r="B69" s="903"/>
      <c r="C69" s="529">
        <f>+'Exhibit F'!D64+'Exhibit G'!D46</f>
        <v>5.0999999999999996</v>
      </c>
      <c r="D69" s="529"/>
      <c r="E69" s="529">
        <f>+'Exhibit F'!F64+'Exhibit G'!F46</f>
        <v>0</v>
      </c>
      <c r="F69" s="529"/>
      <c r="G69" s="529">
        <f>+'Exhibit F'!H64+'Exhibit G'!H46</f>
        <v>0.70000000000000018</v>
      </c>
      <c r="H69" s="529"/>
      <c r="I69" s="529">
        <f>+'Exhibit F'!J64+'Exhibit G'!J46</f>
        <v>0</v>
      </c>
      <c r="J69" s="529"/>
      <c r="K69" s="529">
        <f>+'Exhibit F'!L64+'Exhibit G'!L46</f>
        <v>0.90000000000000036</v>
      </c>
      <c r="L69" s="529"/>
      <c r="M69" s="529">
        <f>+'Exhibit F'!N64+'Exhibit G'!N46</f>
        <v>44.199999999999996</v>
      </c>
      <c r="N69" s="529"/>
      <c r="O69" s="529">
        <f>+'Exhibit F'!P64+'Exhibit G'!P46</f>
        <v>-6</v>
      </c>
      <c r="P69" s="529"/>
      <c r="Q69" s="529">
        <f>+'Exhibit F'!R64+'Exhibit G'!R46</f>
        <v>-1.6999999999999957</v>
      </c>
      <c r="R69" s="529"/>
      <c r="S69" s="529">
        <f>+'Exhibit F'!T64+'Exhibit G'!T46</f>
        <v>0.79999999999999716</v>
      </c>
      <c r="T69" s="529"/>
      <c r="U69" s="529">
        <f>+'Exhibit F'!V64+'Exhibit G'!V46</f>
        <v>0</v>
      </c>
      <c r="V69" s="529"/>
      <c r="W69" s="529">
        <f>+'Exhibit F'!X64+'Exhibit G'!X46</f>
        <v>11</v>
      </c>
      <c r="X69" s="529"/>
      <c r="Y69" s="529"/>
      <c r="Z69" s="529"/>
      <c r="AA69" s="530"/>
      <c r="AB69" s="1676">
        <f t="shared" si="11"/>
        <v>55</v>
      </c>
      <c r="AC69" s="1676"/>
      <c r="AD69" s="3481"/>
      <c r="AE69" s="1676">
        <f>+'Exhibit F'!AF64+'Exhibit G'!AG46</f>
        <v>40.700000000000003</v>
      </c>
      <c r="AF69" s="1676"/>
      <c r="AG69" s="1676"/>
      <c r="AH69" s="1676">
        <f t="shared" si="12"/>
        <v>14.3</v>
      </c>
      <c r="AI69" s="3243"/>
      <c r="AJ69" s="1766">
        <f>ROUND(IF(AE69=0,0,AH69/ABS(AE69)),3)</f>
        <v>0.35099999999999998</v>
      </c>
    </row>
    <row r="70" spans="1:36" ht="16.5" customHeight="1">
      <c r="A70" s="903" t="s">
        <v>1039</v>
      </c>
      <c r="B70" s="903"/>
      <c r="C70" s="529">
        <f>+'Exhibit F'!D65+'Exhibit G'!D47</f>
        <v>0</v>
      </c>
      <c r="D70" s="529"/>
      <c r="E70" s="529">
        <f>+'Exhibit F'!F65+'Exhibit G'!F47</f>
        <v>0.2</v>
      </c>
      <c r="F70" s="529"/>
      <c r="G70" s="529">
        <f>+'Exhibit F'!H65+'Exhibit G'!H47</f>
        <v>0.1</v>
      </c>
      <c r="H70" s="529"/>
      <c r="I70" s="529">
        <f>+'Exhibit F'!J65+'Exhibit G'!J47</f>
        <v>0</v>
      </c>
      <c r="J70" s="529"/>
      <c r="K70" s="529">
        <f>+'Exhibit F'!L65+'Exhibit G'!L47</f>
        <v>0.19999999999999998</v>
      </c>
      <c r="L70" s="529"/>
      <c r="M70" s="529">
        <f>+'Exhibit F'!N65+'Exhibit G'!N47</f>
        <v>0</v>
      </c>
      <c r="N70" s="529"/>
      <c r="O70" s="529">
        <f>+'Exhibit F'!P65+'Exhibit G'!P47</f>
        <v>0</v>
      </c>
      <c r="P70" s="529"/>
      <c r="Q70" s="529">
        <f>+'Exhibit F'!R65+'Exhibit G'!R47</f>
        <v>0.10000000000000003</v>
      </c>
      <c r="R70" s="529"/>
      <c r="S70" s="529">
        <f>+'Exhibit F'!T65+'Exhibit G'!T47</f>
        <v>0.1</v>
      </c>
      <c r="T70" s="529"/>
      <c r="U70" s="529">
        <f>+'Exhibit F'!V65+'Exhibit G'!V47</f>
        <v>0.20000000000000007</v>
      </c>
      <c r="V70" s="529"/>
      <c r="W70" s="529">
        <f>+'Exhibit F'!X65+'Exhibit G'!X47</f>
        <v>9.9999999999999978E-2</v>
      </c>
      <c r="X70" s="529"/>
      <c r="Y70" s="529"/>
      <c r="Z70" s="529"/>
      <c r="AA70" s="530"/>
      <c r="AB70" s="1676">
        <f t="shared" si="11"/>
        <v>1</v>
      </c>
      <c r="AC70" s="1676"/>
      <c r="AD70" s="3481"/>
      <c r="AE70" s="1676">
        <f>+'Exhibit F'!AF65+'Exhibit G'!AG47</f>
        <v>2</v>
      </c>
      <c r="AF70" s="1676"/>
      <c r="AG70" s="1676"/>
      <c r="AH70" s="1676">
        <f t="shared" si="12"/>
        <v>-1</v>
      </c>
      <c r="AI70" s="3243"/>
      <c r="AJ70" s="1766">
        <f>ROUND(IF(AE70=0,0,AH70/ABS(AE70)),3)</f>
        <v>-0.5</v>
      </c>
    </row>
    <row r="71" spans="1:36" ht="16.5" customHeight="1">
      <c r="A71" s="903" t="s">
        <v>1160</v>
      </c>
      <c r="B71" s="903"/>
      <c r="C71" s="529"/>
      <c r="D71" s="529"/>
      <c r="E71" s="529"/>
      <c r="F71" s="529"/>
      <c r="G71" s="529"/>
      <c r="H71" s="529"/>
      <c r="I71" s="529"/>
      <c r="J71" s="529"/>
      <c r="K71" s="529"/>
      <c r="L71" s="529"/>
      <c r="M71" s="529"/>
      <c r="N71" s="529"/>
      <c r="O71" s="529"/>
      <c r="P71" s="529"/>
      <c r="Q71" s="529"/>
      <c r="R71" s="529"/>
      <c r="S71" s="529"/>
      <c r="T71" s="529"/>
      <c r="U71" s="529"/>
      <c r="V71" s="529"/>
      <c r="W71" s="529"/>
      <c r="X71" s="529"/>
      <c r="Y71" s="529"/>
      <c r="Z71" s="529"/>
      <c r="AA71" s="530"/>
      <c r="AB71" s="1676"/>
      <c r="AC71" s="1676"/>
      <c r="AD71" s="3481"/>
      <c r="AE71" s="1676"/>
      <c r="AF71" s="1676"/>
      <c r="AG71" s="1676"/>
      <c r="AH71" s="1676"/>
      <c r="AI71" s="3243"/>
      <c r="AJ71" s="1766"/>
    </row>
    <row r="72" spans="1:36" ht="16.5" customHeight="1">
      <c r="A72" s="903" t="s">
        <v>1040</v>
      </c>
      <c r="B72" s="903"/>
      <c r="C72" s="529">
        <f>+'Exhibit F'!D67+'Exhibit H'!B32</f>
        <v>5.7</v>
      </c>
      <c r="D72" s="529"/>
      <c r="E72" s="529">
        <f>+'Exhibit F'!F67+'Exhibit H'!D32</f>
        <v>5.9999999999999991</v>
      </c>
      <c r="F72" s="529"/>
      <c r="G72" s="529">
        <f>+'Exhibit F'!H67+'Exhibit H'!F32</f>
        <v>5.400000000000003</v>
      </c>
      <c r="H72" s="529"/>
      <c r="I72" s="529">
        <f>+'Exhibit F'!J67+'Exhibit H'!H32</f>
        <v>5.9999999999999991</v>
      </c>
      <c r="J72" s="529"/>
      <c r="K72" s="529">
        <f>+'Exhibit F'!L67+'Exhibit H'!J32</f>
        <v>6.8999999999999995</v>
      </c>
      <c r="L72" s="529"/>
      <c r="M72" s="529">
        <f>+'Exhibit F'!N67+'Exhibit H'!L32</f>
        <v>6.9999999999999991</v>
      </c>
      <c r="N72" s="529"/>
      <c r="O72" s="529">
        <f>+'Exhibit F'!P67+'Exhibit H'!N32</f>
        <v>7.3999999999999959</v>
      </c>
      <c r="P72" s="529"/>
      <c r="Q72" s="529">
        <f>+'Exhibit F'!R67+'Exhibit H'!P32</f>
        <v>7.1999999999999984</v>
      </c>
      <c r="R72" s="529"/>
      <c r="S72" s="529">
        <f>+'Exhibit F'!T67+'Exhibit H'!R32</f>
        <v>5.5000000000000009</v>
      </c>
      <c r="T72" s="529"/>
      <c r="U72" s="529">
        <f>+'Exhibit F'!V67+'Exhibit H'!T32</f>
        <v>5.6999999999999948</v>
      </c>
      <c r="V72" s="529"/>
      <c r="W72" s="529">
        <f>+'Exhibit F'!X67+'Exhibit H'!V32</f>
        <v>5.2000000000000037</v>
      </c>
      <c r="X72" s="529"/>
      <c r="Y72" s="529"/>
      <c r="Z72" s="529"/>
      <c r="AA72" s="530"/>
      <c r="AB72" s="1676">
        <f t="shared" si="11"/>
        <v>68</v>
      </c>
      <c r="AC72" s="1676"/>
      <c r="AD72" s="3481"/>
      <c r="AE72" s="1676">
        <f>+'Exhibit F'!AF67+'Exhibit H'!AD32</f>
        <v>68.7</v>
      </c>
      <c r="AF72" s="1676"/>
      <c r="AG72" s="1676"/>
      <c r="AH72" s="1676">
        <f t="shared" si="12"/>
        <v>-0.7</v>
      </c>
      <c r="AI72" s="3243"/>
      <c r="AJ72" s="1766">
        <f t="shared" ref="AJ72:AJ79" si="13">ROUND(IF(AE72=0,0,AH72/ABS(AE72)),3)</f>
        <v>-0.01</v>
      </c>
    </row>
    <row r="73" spans="1:36" ht="16.5" customHeight="1">
      <c r="A73" s="903" t="s">
        <v>1256</v>
      </c>
      <c r="B73" s="903"/>
      <c r="C73" s="529">
        <f>'Exhibit G'!D49</f>
        <v>0</v>
      </c>
      <c r="D73" s="529"/>
      <c r="E73" s="529">
        <f>'Exhibit G'!F49</f>
        <v>0.8</v>
      </c>
      <c r="F73" s="529"/>
      <c r="G73" s="529">
        <f>'Exhibit G'!H49</f>
        <v>1.4999999999999998</v>
      </c>
      <c r="H73" s="529"/>
      <c r="I73" s="529">
        <f>'Exhibit G'!J49</f>
        <v>0</v>
      </c>
      <c r="J73" s="529"/>
      <c r="K73" s="529">
        <f>'Exhibit G'!L49</f>
        <v>0.10000000000000009</v>
      </c>
      <c r="L73" s="529"/>
      <c r="M73" s="529">
        <f>'Exhibit G'!N49</f>
        <v>0.20000000000000018</v>
      </c>
      <c r="N73" s="529"/>
      <c r="O73" s="529">
        <f>'Exhibit G'!P49</f>
        <v>0</v>
      </c>
      <c r="P73" s="529"/>
      <c r="Q73" s="529">
        <f>'Exhibit G'!R49</f>
        <v>0</v>
      </c>
      <c r="R73" s="529"/>
      <c r="S73" s="529">
        <f>'Exhibit G'!T49</f>
        <v>0</v>
      </c>
      <c r="T73" s="529"/>
      <c r="U73" s="529">
        <f>'Exhibit G'!V49</f>
        <v>0</v>
      </c>
      <c r="V73" s="529"/>
      <c r="W73" s="529">
        <f>'Exhibit G'!X49</f>
        <v>0</v>
      </c>
      <c r="X73" s="529"/>
      <c r="Y73" s="529"/>
      <c r="Z73" s="529"/>
      <c r="AA73" s="972"/>
      <c r="AB73" s="1676">
        <f t="shared" si="11"/>
        <v>2.6</v>
      </c>
      <c r="AC73" s="1676"/>
      <c r="AD73" s="3481"/>
      <c r="AE73" s="1676">
        <f>'Exhibit G'!AG49</f>
        <v>2.1</v>
      </c>
      <c r="AF73" s="1676"/>
      <c r="AG73" s="1676"/>
      <c r="AH73" s="1676">
        <f>ROUND(SUM(AB73-AE73),1)</f>
        <v>0.5</v>
      </c>
      <c r="AI73" s="3243"/>
      <c r="AJ73" s="1765">
        <f>ROUND(IF(AE73=0,0,AH73/ABS(AE73)),3)</f>
        <v>0.23799999999999999</v>
      </c>
    </row>
    <row r="74" spans="1:36" ht="16.5" customHeight="1">
      <c r="A74" s="903" t="s">
        <v>1156</v>
      </c>
      <c r="B74" s="903"/>
      <c r="C74" s="529">
        <f>+'Exhibit F'!D69+'Exhibit G'!D50+'Exhibit I'!E41+'Exhibit H'!B33</f>
        <v>60.5</v>
      </c>
      <c r="D74" s="529"/>
      <c r="E74" s="529">
        <f>+'Exhibit F'!F69+'Exhibit G'!F50+'Exhibit I'!G41+'Exhibit H'!D33</f>
        <v>60.6</v>
      </c>
      <c r="F74" s="529"/>
      <c r="G74" s="529">
        <f>+'Exhibit F'!H69+'Exhibit G'!H50+'Exhibit I'!I41+'Exhibit H'!F33</f>
        <v>131.5</v>
      </c>
      <c r="H74" s="529"/>
      <c r="I74" s="529">
        <f>+'Exhibit F'!J69+'Exhibit G'!J50+'Exhibit I'!K41+'Exhibit H'!H33</f>
        <v>65</v>
      </c>
      <c r="J74" s="529"/>
      <c r="K74" s="529">
        <f>+'Exhibit F'!L69+'Exhibit G'!L50+'Exhibit I'!M41+'Exhibit H'!J33</f>
        <v>46.90000000000002</v>
      </c>
      <c r="L74" s="529"/>
      <c r="M74" s="529">
        <f>+'Exhibit F'!N69+'Exhibit G'!N50+'Exhibit I'!O41+'Exhibit H'!L33</f>
        <v>131.99999999999997</v>
      </c>
      <c r="N74" s="529"/>
      <c r="O74" s="529">
        <f>+'Exhibit F'!P69+'Exhibit G'!P50+'Exhibit I'!Q41+'Exhibit H'!N33</f>
        <v>80.900000000000048</v>
      </c>
      <c r="P74" s="529"/>
      <c r="Q74" s="529">
        <f>+'Exhibit F'!R69+'Exhibit G'!R50+'Exhibit I'!S41+'Exhibit H'!P33</f>
        <v>71.799999999999955</v>
      </c>
      <c r="R74" s="529"/>
      <c r="S74" s="529">
        <f>+'Exhibit F'!T69+'Exhibit G'!T50+'Exhibit I'!U41+'Exhibit H'!R33</f>
        <v>108.50000000000003</v>
      </c>
      <c r="T74" s="529"/>
      <c r="U74" s="529">
        <f>+'Exhibit F'!V69+'Exhibit G'!V50+'Exhibit I'!W41+'Exhibit H'!T33</f>
        <v>88.799999999999926</v>
      </c>
      <c r="V74" s="529"/>
      <c r="W74" s="529">
        <f>+'Exhibit F'!X69+'Exhibit G'!X50+'Exhibit I'!Y41+'Exhibit H'!V33</f>
        <v>43.400000000000134</v>
      </c>
      <c r="X74" s="529"/>
      <c r="Y74" s="529"/>
      <c r="Z74" s="529"/>
      <c r="AA74" s="530"/>
      <c r="AB74" s="1676">
        <f t="shared" si="11"/>
        <v>889.9</v>
      </c>
      <c r="AC74" s="1676"/>
      <c r="AD74" s="3481"/>
      <c r="AE74" s="1676">
        <f>+'Exhibit F'!AF69+'Exhibit G'!AG50+'Exhibit I'!AI41+'Exhibit H'!AD33</f>
        <v>818.19999999999993</v>
      </c>
      <c r="AF74" s="1676"/>
      <c r="AG74" s="1676"/>
      <c r="AH74" s="1676">
        <f>ROUND(SUM(AB74-AE74),1)</f>
        <v>71.7</v>
      </c>
      <c r="AI74" s="3243"/>
      <c r="AJ74" s="1766">
        <f>ROUND(IF(AE74=0,0,AH74/ABS(AE74)),3)</f>
        <v>8.7999999999999995E-2</v>
      </c>
    </row>
    <row r="75" spans="1:36" ht="16.5" customHeight="1">
      <c r="A75" s="903" t="s">
        <v>1042</v>
      </c>
      <c r="B75" s="903"/>
      <c r="C75" s="529">
        <f>+'Exhibit F'!D70+'Exhibit G'!D51+'Exhibit H'!B34</f>
        <v>28.6</v>
      </c>
      <c r="D75" s="529"/>
      <c r="E75" s="529">
        <f>+'Exhibit F'!F70+'Exhibit G'!F51+'Exhibit H'!D34</f>
        <v>18</v>
      </c>
      <c r="F75" s="529"/>
      <c r="G75" s="529">
        <f>+'Exhibit F'!H70+'Exhibit G'!H51+'Exhibit H'!F34</f>
        <v>22.900000000000006</v>
      </c>
      <c r="H75" s="529"/>
      <c r="I75" s="529">
        <f>+'Exhibit F'!J70+'Exhibit G'!J51+'Exhibit H'!H34</f>
        <v>22.599999999999991</v>
      </c>
      <c r="J75" s="529"/>
      <c r="K75" s="529">
        <f>+'Exhibit F'!L70+'Exhibit G'!L51+'Exhibit H'!J34</f>
        <v>17.800000000000004</v>
      </c>
      <c r="L75" s="529"/>
      <c r="M75" s="529">
        <f>+'Exhibit F'!N70+'Exhibit G'!N51+'Exhibit H'!L34</f>
        <v>34.499999999999993</v>
      </c>
      <c r="N75" s="529"/>
      <c r="O75" s="529">
        <f>+'Exhibit F'!P70+'Exhibit G'!P51+'Exhibit H'!N34</f>
        <v>20.499999999999979</v>
      </c>
      <c r="P75" s="529"/>
      <c r="Q75" s="529">
        <f>+'Exhibit F'!R70+'Exhibit G'!R51+'Exhibit H'!P34</f>
        <v>22.199999999999996</v>
      </c>
      <c r="R75" s="529"/>
      <c r="S75" s="529">
        <f>+'Exhibit F'!T70+'Exhibit G'!T51+'Exhibit H'!R34</f>
        <v>33.400000000000027</v>
      </c>
      <c r="T75" s="529"/>
      <c r="U75" s="529">
        <f>+'Exhibit F'!V70+'Exhibit G'!V51+'Exhibit H'!T34</f>
        <v>16.000000000000007</v>
      </c>
      <c r="V75" s="529"/>
      <c r="W75" s="529">
        <f>+'Exhibit F'!X70+'Exhibit G'!X51+'Exhibit H'!V34</f>
        <v>29.799999999999955</v>
      </c>
      <c r="X75" s="529"/>
      <c r="Y75" s="529"/>
      <c r="Z75" s="529"/>
      <c r="AA75" s="530"/>
      <c r="AB75" s="1676">
        <f t="shared" si="11"/>
        <v>266.3</v>
      </c>
      <c r="AC75" s="1676"/>
      <c r="AD75" s="3481"/>
      <c r="AE75" s="1676">
        <f>+'Exhibit F'!AF70+'Exhibit G'!AG51+'Exhibit H'!AD34+'Exhibit I'!AI42</f>
        <v>253.7</v>
      </c>
      <c r="AF75" s="1676"/>
      <c r="AG75" s="1676"/>
      <c r="AH75" s="1676">
        <f t="shared" si="12"/>
        <v>12.6</v>
      </c>
      <c r="AI75" s="3243"/>
      <c r="AJ75" s="1766">
        <f t="shared" si="13"/>
        <v>0.05</v>
      </c>
    </row>
    <row r="76" spans="1:36" ht="16.5" customHeight="1">
      <c r="A76" s="903" t="s">
        <v>1043</v>
      </c>
      <c r="B76" s="903"/>
      <c r="C76" s="529">
        <f>+'Exhibit F'!D71+'Exhibit G'!D52+'Exhibit H'!B35</f>
        <v>0.5</v>
      </c>
      <c r="D76" s="529"/>
      <c r="E76" s="529">
        <f>+'Exhibit F'!F71+'Exhibit G'!F52+'Exhibit H'!D35</f>
        <v>0.49999999999999994</v>
      </c>
      <c r="F76" s="529"/>
      <c r="G76" s="529">
        <f>+'Exhibit F'!H71+'Exhibit G'!H52+'Exhibit H'!F35</f>
        <v>1.2000000000000002</v>
      </c>
      <c r="H76" s="529"/>
      <c r="I76" s="529">
        <f>+'Exhibit F'!J71+'Exhibit G'!J52+'Exhibit H'!H35</f>
        <v>0.19999999999999996</v>
      </c>
      <c r="J76" s="529"/>
      <c r="K76" s="529">
        <f>+'Exhibit F'!L71+'Exhibit G'!L52+'Exhibit H'!J35</f>
        <v>0.60000000000000031</v>
      </c>
      <c r="L76" s="529"/>
      <c r="M76" s="529">
        <f>+'Exhibit F'!N71+'Exhibit G'!N52+'Exhibit H'!L35</f>
        <v>1.2999999999999998</v>
      </c>
      <c r="N76" s="529"/>
      <c r="O76" s="529">
        <f>+'Exhibit F'!P71+'Exhibit G'!P52+'Exhibit H'!N35</f>
        <v>0.5</v>
      </c>
      <c r="P76" s="529"/>
      <c r="Q76" s="529">
        <f>+'Exhibit F'!R71+'Exhibit G'!R52+'Exhibit H'!P35</f>
        <v>0.39999999999999991</v>
      </c>
      <c r="R76" s="529"/>
      <c r="S76" s="529">
        <f>+'Exhibit F'!T71+'Exhibit G'!T52+'Exhibit H'!R35</f>
        <v>1.0000000000000002</v>
      </c>
      <c r="T76" s="529"/>
      <c r="U76" s="529">
        <f>+'Exhibit F'!V71+'Exhibit G'!V52+'Exhibit H'!T35</f>
        <v>1.1999999999999986</v>
      </c>
      <c r="V76" s="529"/>
      <c r="W76" s="529">
        <f>+'Exhibit F'!X71+'Exhibit G'!X52+'Exhibit H'!V35</f>
        <v>0.20000000000000023</v>
      </c>
      <c r="X76" s="529"/>
      <c r="Y76" s="529"/>
      <c r="Z76" s="529"/>
      <c r="AA76" s="530"/>
      <c r="AB76" s="1676">
        <f t="shared" si="11"/>
        <v>7.6</v>
      </c>
      <c r="AC76" s="1676"/>
      <c r="AD76" s="3481"/>
      <c r="AE76" s="1676">
        <f>+'Exhibit F'!AF71+'Exhibit G'!AG52+'Exhibit H'!AD35</f>
        <v>9.3000000000000007</v>
      </c>
      <c r="AF76" s="1676"/>
      <c r="AG76" s="1676"/>
      <c r="AH76" s="1676">
        <f t="shared" si="12"/>
        <v>-1.7</v>
      </c>
      <c r="AI76" s="3243"/>
      <c r="AJ76" s="1766">
        <f t="shared" si="13"/>
        <v>-0.183</v>
      </c>
    </row>
    <row r="77" spans="1:36" ht="16.5" customHeight="1">
      <c r="A77" s="903" t="s">
        <v>1044</v>
      </c>
      <c r="B77" s="903"/>
      <c r="C77" s="529">
        <f>+'Exhibit F'!D72+'Exhibit G'!D53+'Exhibit I'!E43+'Exhibit H'!B36</f>
        <v>126.2</v>
      </c>
      <c r="D77" s="529"/>
      <c r="E77" s="529">
        <f>+'Exhibit F'!F72+'Exhibit G'!F53+'Exhibit I'!G43+'Exhibit H'!D36</f>
        <v>130.80000000000001</v>
      </c>
      <c r="F77" s="529"/>
      <c r="G77" s="529">
        <f>+'Exhibit F'!H72+'Exhibit G'!H53+'Exhibit I'!I43+'Exhibit H'!F36</f>
        <v>105.69999999999999</v>
      </c>
      <c r="H77" s="529"/>
      <c r="I77" s="529">
        <f>+'Exhibit F'!J72+'Exhibit G'!J53+'Exhibit I'!K43+'Exhibit H'!H36</f>
        <v>119.80000000000001</v>
      </c>
      <c r="J77" s="529"/>
      <c r="K77" s="529">
        <f>+'Exhibit F'!L72+'Exhibit G'!L53+'Exhibit I'!M43+'Exhibit H'!J36</f>
        <v>116.30000000000001</v>
      </c>
      <c r="L77" s="529"/>
      <c r="M77" s="529">
        <f>+'Exhibit F'!N72+'Exhibit G'!N53+'Exhibit I'!O43+'Exhibit H'!L36</f>
        <v>94.600000000000009</v>
      </c>
      <c r="N77" s="529"/>
      <c r="O77" s="529">
        <f>+'Exhibit F'!P72+'Exhibit G'!P53+'Exhibit I'!Q43+'Exhibit H'!N36</f>
        <v>116.49999999999997</v>
      </c>
      <c r="P77" s="529"/>
      <c r="Q77" s="529">
        <f>+'Exhibit F'!R72+'Exhibit G'!R53+'Exhibit I'!S43+'Exhibit H'!P36</f>
        <v>94.399999999999991</v>
      </c>
      <c r="R77" s="529"/>
      <c r="S77" s="529">
        <f>+'Exhibit F'!T72+'Exhibit G'!T53+'Exhibit I'!U43+'Exhibit H'!R36</f>
        <v>115.99999999999997</v>
      </c>
      <c r="T77" s="529"/>
      <c r="U77" s="529">
        <f>+'Exhibit F'!V72+'Exhibit G'!V53+'Exhibit I'!W43+'Exhibit H'!T36</f>
        <v>123.40000000000009</v>
      </c>
      <c r="V77" s="529"/>
      <c r="W77" s="529">
        <f>+'Exhibit F'!X72+'Exhibit G'!X53+'Exhibit I'!Y43+'Exhibit H'!V36</f>
        <v>102.30000000000005</v>
      </c>
      <c r="X77" s="529"/>
      <c r="Y77" s="529"/>
      <c r="Z77" s="529"/>
      <c r="AA77" s="530"/>
      <c r="AB77" s="1676">
        <f t="shared" si="11"/>
        <v>1246</v>
      </c>
      <c r="AC77" s="1676"/>
      <c r="AD77" s="3481"/>
      <c r="AE77" s="1676">
        <f>+'Exhibit F'!AF72+'Exhibit G'!AG53+'Exhibit I'!AI43+'Exhibit H'!AD36</f>
        <v>1386.3</v>
      </c>
      <c r="AF77" s="1676"/>
      <c r="AG77" s="1676"/>
      <c r="AH77" s="1676">
        <f t="shared" si="12"/>
        <v>-140.30000000000001</v>
      </c>
      <c r="AI77" s="3243"/>
      <c r="AJ77" s="1766">
        <f t="shared" si="13"/>
        <v>-0.10100000000000001</v>
      </c>
    </row>
    <row r="78" spans="1:36" ht="16.5" customHeight="1">
      <c r="A78" s="903" t="s">
        <v>1045</v>
      </c>
      <c r="B78" s="903"/>
      <c r="C78" s="529">
        <f>+'Exhibit F'!D73+'Exhibit G'!D54+'Exhibit I'!E44+'Exhibit H'!B37</f>
        <v>55.400000000000006</v>
      </c>
      <c r="D78" s="529"/>
      <c r="E78" s="529">
        <f>+'Exhibit F'!F73+'Exhibit G'!F54+'Exhibit I'!G44+'Exhibit H'!D37</f>
        <v>47.199999999999996</v>
      </c>
      <c r="F78" s="529"/>
      <c r="G78" s="529">
        <f>+'Exhibit F'!H73+'Exhibit G'!H54+'Exhibit I'!I44+'Exhibit H'!F37</f>
        <v>67.300000000000011</v>
      </c>
      <c r="H78" s="529"/>
      <c r="I78" s="529">
        <f>+'Exhibit F'!J73+'Exhibit G'!J54+'Exhibit I'!K44+'Exhibit H'!H37</f>
        <v>67.5</v>
      </c>
      <c r="J78" s="529"/>
      <c r="K78" s="529">
        <f>+'Exhibit F'!L73+'Exhibit G'!L54+'Exhibit I'!M44+'Exhibit H'!J37</f>
        <v>95.399999999999977</v>
      </c>
      <c r="L78" s="529"/>
      <c r="M78" s="529">
        <f>+'Exhibit F'!N73+'Exhibit G'!N54+'Exhibit I'!O44+'Exhibit H'!L37</f>
        <v>134.30000000000004</v>
      </c>
      <c r="N78" s="529"/>
      <c r="O78" s="529">
        <f>+'Exhibit F'!P73+'Exhibit G'!P54+'Exhibit I'!Q44+'Exhibit H'!N37</f>
        <v>70.700000000000045</v>
      </c>
      <c r="P78" s="529"/>
      <c r="Q78" s="529">
        <f>+'Exhibit F'!R73+'Exhibit G'!R54+'Exhibit I'!S44+'Exhibit H'!P37</f>
        <v>71.399999999999878</v>
      </c>
      <c r="R78" s="529"/>
      <c r="S78" s="529">
        <f>+'Exhibit F'!T73+'Exhibit G'!T54+'Exhibit I'!U44+'Exhibit H'!R37</f>
        <v>62.500000000000043</v>
      </c>
      <c r="T78" s="529"/>
      <c r="U78" s="529">
        <f>+'Exhibit F'!V73+'Exhibit G'!V54+'Exhibit I'!W44+'Exhibit H'!T37</f>
        <v>65.999999999999943</v>
      </c>
      <c r="V78" s="529"/>
      <c r="W78" s="529">
        <f>+'Exhibit F'!X73+'Exhibit G'!X54+'Exhibit I'!Y44+'Exhibit H'!V37</f>
        <v>131.8000000000001</v>
      </c>
      <c r="X78" s="529"/>
      <c r="Y78" s="529"/>
      <c r="Z78" s="529"/>
      <c r="AA78" s="530"/>
      <c r="AB78" s="1676">
        <f t="shared" si="11"/>
        <v>869.5</v>
      </c>
      <c r="AC78" s="1676"/>
      <c r="AD78" s="3481"/>
      <c r="AE78" s="1676">
        <f>+'Exhibit F'!AF73+'Exhibit G'!AG54+'Exhibit I'!AI44+'Exhibit H'!AD37</f>
        <v>744.19999999999993</v>
      </c>
      <c r="AF78" s="1676"/>
      <c r="AG78" s="1676"/>
      <c r="AH78" s="1676">
        <f t="shared" si="12"/>
        <v>125.3</v>
      </c>
      <c r="AI78" s="3243"/>
      <c r="AJ78" s="1766">
        <f t="shared" si="13"/>
        <v>0.16800000000000001</v>
      </c>
    </row>
    <row r="79" spans="1:36" ht="16.5" customHeight="1">
      <c r="A79" s="903" t="s">
        <v>1034</v>
      </c>
      <c r="B79" s="903"/>
      <c r="C79" s="529">
        <f>+'Exhibit F'!D74+'Exhibit G'!D55+'Exhibit I'!E45</f>
        <v>628.69999999999993</v>
      </c>
      <c r="D79" s="529"/>
      <c r="E79" s="529">
        <f>+'Exhibit F'!F74+'Exhibit G'!F55+'Exhibit I'!G45</f>
        <v>224.60000000000002</v>
      </c>
      <c r="F79" s="529"/>
      <c r="G79" s="529">
        <f>+'Exhibit F'!H74+'Exhibit G'!H55+'Exhibit I'!I45</f>
        <v>136</v>
      </c>
      <c r="H79" s="529"/>
      <c r="I79" s="529">
        <f>+'Exhibit F'!J74+'Exhibit G'!J55+'Exhibit I'!K45</f>
        <v>50.79999999999999</v>
      </c>
      <c r="J79" s="529"/>
      <c r="K79" s="529">
        <f>+'Exhibit F'!L74+'Exhibit G'!L55+'Exhibit I'!M45</f>
        <v>31.900000000000031</v>
      </c>
      <c r="L79" s="529"/>
      <c r="M79" s="529">
        <f>+'Exhibit F'!N74+'Exhibit G'!N55+'Exhibit I'!O45</f>
        <v>39.199999999999953</v>
      </c>
      <c r="N79" s="529"/>
      <c r="O79" s="529">
        <f>+'Exhibit F'!P74+'Exhibit G'!P55+'Exhibit I'!Q45</f>
        <v>88.199999999999989</v>
      </c>
      <c r="P79" s="529"/>
      <c r="Q79" s="529">
        <f>+'Exhibit F'!R74+'Exhibit G'!R55+'Exhibit I'!S45</f>
        <v>37.800000000000068</v>
      </c>
      <c r="R79" s="529"/>
      <c r="S79" s="529">
        <f>+'Exhibit F'!T74+'Exhibit G'!T55+'Exhibit I'!U45</f>
        <v>44.399999999999984</v>
      </c>
      <c r="T79" s="529"/>
      <c r="U79" s="529">
        <f>+'Exhibit F'!V74+'Exhibit G'!V55+'Exhibit I'!W45</f>
        <v>36.700000000000102</v>
      </c>
      <c r="V79" s="529"/>
      <c r="W79" s="529">
        <f>+'Exhibit F'!X74+'Exhibit G'!X55+'Exhibit I'!Y45</f>
        <v>19.099999999999874</v>
      </c>
      <c r="X79" s="529"/>
      <c r="Y79" s="529"/>
      <c r="Z79" s="529"/>
      <c r="AA79" s="530"/>
      <c r="AB79" s="1676">
        <f t="shared" si="11"/>
        <v>1337.4</v>
      </c>
      <c r="AC79" s="1676"/>
      <c r="AD79" s="3481"/>
      <c r="AE79" s="1676">
        <f>+'Exhibit F'!AF74+'Exhibit G'!AG55+'Exhibit I'!AI45</f>
        <v>1483.7</v>
      </c>
      <c r="AF79" s="1676"/>
      <c r="AG79" s="1676"/>
      <c r="AH79" s="1676">
        <f t="shared" si="12"/>
        <v>-146.30000000000001</v>
      </c>
      <c r="AI79" s="3243"/>
      <c r="AJ79" s="1766">
        <f t="shared" si="13"/>
        <v>-9.9000000000000005E-2</v>
      </c>
    </row>
    <row r="80" spans="1:36" ht="16.5" customHeight="1">
      <c r="A80" s="903" t="s">
        <v>1157</v>
      </c>
      <c r="B80" s="903"/>
      <c r="C80" s="529"/>
      <c r="D80" s="529"/>
      <c r="E80" s="529"/>
      <c r="F80" s="529"/>
      <c r="G80" s="529"/>
      <c r="H80" s="529"/>
      <c r="I80" s="529"/>
      <c r="J80" s="529"/>
      <c r="K80" s="529"/>
      <c r="L80" s="529"/>
      <c r="M80" s="529"/>
      <c r="N80" s="529"/>
      <c r="O80" s="529"/>
      <c r="P80" s="529"/>
      <c r="Q80" s="529"/>
      <c r="R80" s="529"/>
      <c r="S80" s="529"/>
      <c r="T80" s="529"/>
      <c r="U80" s="529"/>
      <c r="V80" s="529"/>
      <c r="W80" s="529"/>
      <c r="X80" s="529"/>
      <c r="Y80" s="529"/>
      <c r="Z80" s="529"/>
      <c r="AA80" s="530"/>
      <c r="AB80" s="1676"/>
      <c r="AC80" s="1676"/>
      <c r="AD80" s="3481"/>
      <c r="AE80" s="1676"/>
      <c r="AF80" s="1676"/>
      <c r="AG80" s="1676"/>
      <c r="AH80" s="1676"/>
      <c r="AI80" s="3243"/>
      <c r="AJ80" s="1766"/>
    </row>
    <row r="81" spans="1:36" ht="16.5" customHeight="1">
      <c r="A81" s="903" t="s">
        <v>1046</v>
      </c>
      <c r="B81" s="903"/>
      <c r="C81" s="529">
        <f>+'Exhibit G'!D57</f>
        <v>31.4</v>
      </c>
      <c r="D81" s="529"/>
      <c r="E81" s="529">
        <f>+'Exhibit G'!F57</f>
        <v>18.800000000000004</v>
      </c>
      <c r="F81" s="529"/>
      <c r="G81" s="529">
        <f>+'Exhibit G'!H57</f>
        <v>19.700000000000003</v>
      </c>
      <c r="H81" s="529"/>
      <c r="I81" s="529">
        <f>+'Exhibit G'!J57</f>
        <v>37.699999999999982</v>
      </c>
      <c r="J81" s="529"/>
      <c r="K81" s="529">
        <f>+'Exhibit G'!L57</f>
        <v>15.300000000000004</v>
      </c>
      <c r="L81" s="529"/>
      <c r="M81" s="529">
        <f>+'Exhibit G'!N57</f>
        <v>20</v>
      </c>
      <c r="N81" s="529"/>
      <c r="O81" s="529">
        <f>+'Exhibit G'!P57</f>
        <v>36.79999999999999</v>
      </c>
      <c r="P81" s="529"/>
      <c r="Q81" s="529">
        <f>+'Exhibit G'!R57</f>
        <v>13.300000000000004</v>
      </c>
      <c r="R81" s="529"/>
      <c r="S81" s="529">
        <f>+'Exhibit G'!T57</f>
        <v>17.599999999999994</v>
      </c>
      <c r="T81" s="529"/>
      <c r="U81" s="529">
        <f>+'Exhibit G'!V57</f>
        <v>35.699999999999996</v>
      </c>
      <c r="V81" s="529"/>
      <c r="W81" s="529">
        <f>+'Exhibit G'!X57</f>
        <v>15.199999999999982</v>
      </c>
      <c r="X81" s="529"/>
      <c r="Y81" s="529"/>
      <c r="Z81" s="529"/>
      <c r="AA81" s="530"/>
      <c r="AB81" s="1676">
        <f t="shared" si="11"/>
        <v>261.5</v>
      </c>
      <c r="AC81" s="1676"/>
      <c r="AD81" s="3481"/>
      <c r="AE81" s="1676">
        <f>+'Exhibit G'!AG57</f>
        <v>236.7</v>
      </c>
      <c r="AF81" s="1676"/>
      <c r="AG81" s="1676"/>
      <c r="AH81" s="1676">
        <f t="shared" si="12"/>
        <v>24.8</v>
      </c>
      <c r="AI81" s="3243"/>
      <c r="AJ81" s="3477">
        <f>ROUND(IF(AE81=0,0,AH81/ABS(AE81)),3)</f>
        <v>0.105</v>
      </c>
    </row>
    <row r="82" spans="1:36" ht="16.5" customHeight="1">
      <c r="A82" s="903" t="s">
        <v>1047</v>
      </c>
      <c r="B82" s="903"/>
      <c r="C82" s="529">
        <f>+'Exhibit G'!D58</f>
        <v>218.4</v>
      </c>
      <c r="D82" s="529"/>
      <c r="E82" s="529">
        <f>+'Exhibit G'!F58</f>
        <v>262</v>
      </c>
      <c r="F82" s="529"/>
      <c r="G82" s="529">
        <f>+'Exhibit G'!H58</f>
        <v>202.30000000000007</v>
      </c>
      <c r="H82" s="529"/>
      <c r="I82" s="529">
        <f>+'Exhibit G'!J58</f>
        <v>225.69999999999993</v>
      </c>
      <c r="J82" s="529"/>
      <c r="K82" s="529">
        <f>+'Exhibit G'!L58</f>
        <v>170.19999999999993</v>
      </c>
      <c r="L82" s="529"/>
      <c r="M82" s="529">
        <f>+'Exhibit G'!N58</f>
        <v>176.30000000000007</v>
      </c>
      <c r="N82" s="529"/>
      <c r="O82" s="529">
        <f>+'Exhibit G'!P58</f>
        <v>220.09999999999991</v>
      </c>
      <c r="P82" s="529"/>
      <c r="Q82" s="529">
        <f>+'Exhibit G'!R58</f>
        <v>177.79999999999995</v>
      </c>
      <c r="R82" s="529"/>
      <c r="S82" s="529">
        <f>+'Exhibit G'!T58</f>
        <v>180.00000000000011</v>
      </c>
      <c r="T82" s="529"/>
      <c r="U82" s="529">
        <f>+'Exhibit G'!V58</f>
        <v>221.50000000000011</v>
      </c>
      <c r="V82" s="529"/>
      <c r="W82" s="529">
        <f>+'Exhibit G'!X58</f>
        <v>170.19999999999993</v>
      </c>
      <c r="X82" s="529"/>
      <c r="Y82" s="529"/>
      <c r="Z82" s="529"/>
      <c r="AA82" s="530"/>
      <c r="AB82" s="1676">
        <f t="shared" si="11"/>
        <v>2224.5</v>
      </c>
      <c r="AC82" s="1676"/>
      <c r="AD82" s="3481"/>
      <c r="AE82" s="1676">
        <f>+'Exhibit G'!AG58</f>
        <v>2352.6</v>
      </c>
      <c r="AF82" s="1676"/>
      <c r="AG82" s="1676"/>
      <c r="AH82" s="1676">
        <f t="shared" si="12"/>
        <v>-128.1</v>
      </c>
      <c r="AI82" s="3243"/>
      <c r="AJ82" s="3477">
        <f>ROUND(IF(AE82=0,0,AH82/ABS(AE82)),3)</f>
        <v>-5.3999999999999999E-2</v>
      </c>
    </row>
    <row r="83" spans="1:36" ht="16.5" customHeight="1">
      <c r="A83" s="903" t="s">
        <v>1048</v>
      </c>
      <c r="B83" s="903"/>
      <c r="C83" s="529">
        <f>+'Exhibit G'!D59</f>
        <v>76.599999999999994</v>
      </c>
      <c r="D83" s="529"/>
      <c r="E83" s="529">
        <f>+'Exhibit G'!F59</f>
        <v>88.5</v>
      </c>
      <c r="F83" s="529"/>
      <c r="G83" s="529">
        <f>+'Exhibit G'!H59</f>
        <v>63.200000000000017</v>
      </c>
      <c r="H83" s="529"/>
      <c r="I83" s="529">
        <f>+'Exhibit G'!J59</f>
        <v>89.5</v>
      </c>
      <c r="J83" s="529"/>
      <c r="K83" s="529">
        <f>+'Exhibit G'!L59</f>
        <v>76.500000000000028</v>
      </c>
      <c r="L83" s="529"/>
      <c r="M83" s="529">
        <f>+'Exhibit G'!N59</f>
        <v>77.5</v>
      </c>
      <c r="N83" s="529"/>
      <c r="O83" s="529">
        <f>+'Exhibit G'!P59</f>
        <v>94.599999999999881</v>
      </c>
      <c r="P83" s="529"/>
      <c r="Q83" s="529">
        <f>+'Exhibit G'!R59</f>
        <v>72.700000000000045</v>
      </c>
      <c r="R83" s="529"/>
      <c r="S83" s="529">
        <f>+'Exhibit G'!T59</f>
        <v>70.600000000000051</v>
      </c>
      <c r="T83" s="529"/>
      <c r="U83" s="529">
        <f>+'Exhibit G'!V59</f>
        <v>99</v>
      </c>
      <c r="V83" s="529"/>
      <c r="W83" s="529">
        <f>+'Exhibit G'!X59</f>
        <v>79.099999999999881</v>
      </c>
      <c r="X83" s="529"/>
      <c r="Y83" s="529"/>
      <c r="Z83" s="529"/>
      <c r="AA83" s="530"/>
      <c r="AB83" s="1676">
        <f t="shared" si="11"/>
        <v>887.8</v>
      </c>
      <c r="AC83" s="1676"/>
      <c r="AD83" s="3481"/>
      <c r="AE83" s="1676">
        <f>+'Exhibit G'!AG59</f>
        <v>874.7</v>
      </c>
      <c r="AF83" s="1676"/>
      <c r="AG83" s="1676"/>
      <c r="AH83" s="1676">
        <f t="shared" si="12"/>
        <v>13.1</v>
      </c>
      <c r="AI83" s="3243"/>
      <c r="AJ83" s="3477">
        <f>ROUND(IF(AE83=0,0,AH83/ABS(AE83)),3)</f>
        <v>1.4999999999999999E-2</v>
      </c>
    </row>
    <row r="84" spans="1:36" ht="16.5" customHeight="1">
      <c r="A84" s="903" t="s">
        <v>1035</v>
      </c>
      <c r="B84" s="903"/>
      <c r="C84" s="529">
        <f>+'Exhibit F'!D75+'Exhibit G'!D60+'Exhibit H'!B38+'Exhibit I'!E46</f>
        <v>44.000000000000007</v>
      </c>
      <c r="D84" s="529"/>
      <c r="E84" s="529">
        <f>+'Exhibit F'!F75+'Exhibit G'!F60+'Exhibit H'!D38+'Exhibit I'!G46</f>
        <v>38.800000000000004</v>
      </c>
      <c r="F84" s="529"/>
      <c r="G84" s="529">
        <f>+'Exhibit F'!H75+'Exhibit G'!H60+'Exhibit H'!F38+'Exhibit I'!I46</f>
        <v>44.899999999999991</v>
      </c>
      <c r="H84" s="529"/>
      <c r="I84" s="529">
        <f>+'Exhibit F'!J75+'Exhibit G'!J60+'Exhibit H'!H38+'Exhibit I'!K46</f>
        <v>36.000000000000014</v>
      </c>
      <c r="J84" s="529"/>
      <c r="K84" s="529">
        <f>+'Exhibit F'!L75+'Exhibit G'!L60+'Exhibit H'!J38+'Exhibit I'!M46</f>
        <v>39.40000000000002</v>
      </c>
      <c r="L84" s="529"/>
      <c r="M84" s="529">
        <f>+'Exhibit F'!N75+'Exhibit G'!N60+'Exhibit H'!L38+'Exhibit I'!O46</f>
        <v>35.799999999999983</v>
      </c>
      <c r="N84" s="529"/>
      <c r="O84" s="529">
        <f>+'Exhibit F'!P75+'Exhibit G'!P60+'Exhibit H'!N38+'Exhibit I'!Q46</f>
        <v>36.899999999999984</v>
      </c>
      <c r="P84" s="529"/>
      <c r="Q84" s="529">
        <f>+'Exhibit F'!R75+'Exhibit G'!R60+'Exhibit H'!P38+'Exhibit I'!S46</f>
        <v>34.20000000000001</v>
      </c>
      <c r="R84" s="529"/>
      <c r="S84" s="529">
        <f>+'Exhibit F'!T75+'Exhibit G'!T60+'Exhibit H'!R38+'Exhibit I'!U46</f>
        <v>27.900000000000016</v>
      </c>
      <c r="T84" s="529"/>
      <c r="U84" s="529">
        <f>+'Exhibit F'!V75+'Exhibit G'!V60+'Exhibit H'!T38+'Exhibit I'!W46</f>
        <v>27.200000000000028</v>
      </c>
      <c r="V84" s="529"/>
      <c r="W84" s="529">
        <f>+'Exhibit F'!X75+'Exhibit G'!X60+'Exhibit H'!V38+'Exhibit I'!Y46</f>
        <v>32.799999999999955</v>
      </c>
      <c r="X84" s="529"/>
      <c r="Y84" s="529"/>
      <c r="Z84" s="529"/>
      <c r="AA84" s="530"/>
      <c r="AB84" s="1676">
        <f t="shared" si="11"/>
        <v>397.9</v>
      </c>
      <c r="AC84" s="1676"/>
      <c r="AD84" s="3481"/>
      <c r="AE84" s="1676">
        <f>+'Exhibit F'!AF75+'Exhibit G'!AG60+'Exhibit H'!AD38+'Exhibit I'!AI46</f>
        <v>302.29999999999995</v>
      </c>
      <c r="AF84" s="1676"/>
      <c r="AG84" s="1676"/>
      <c r="AH84" s="1676">
        <f t="shared" si="12"/>
        <v>95.6</v>
      </c>
      <c r="AI84" s="3243"/>
      <c r="AJ84" s="3477">
        <f>ROUND(IF(AE84=0,0,AH84/ABS(AE84)),3)</f>
        <v>0.316</v>
      </c>
    </row>
    <row r="85" spans="1:36" ht="16.5" customHeight="1">
      <c r="A85" s="903" t="s">
        <v>1158</v>
      </c>
      <c r="B85" s="903"/>
      <c r="C85" s="529"/>
      <c r="D85" s="529"/>
      <c r="E85" s="529"/>
      <c r="F85" s="529"/>
      <c r="G85" s="529"/>
      <c r="H85" s="529"/>
      <c r="I85" s="529"/>
      <c r="J85" s="529"/>
      <c r="K85" s="529"/>
      <c r="L85" s="529"/>
      <c r="M85" s="529"/>
      <c r="N85" s="529"/>
      <c r="O85" s="529"/>
      <c r="P85" s="529"/>
      <c r="Q85" s="529"/>
      <c r="R85" s="529"/>
      <c r="S85" s="529"/>
      <c r="T85" s="529"/>
      <c r="U85" s="529"/>
      <c r="V85" s="529"/>
      <c r="W85" s="529"/>
      <c r="X85" s="529"/>
      <c r="Y85" s="529"/>
      <c r="Z85" s="529"/>
      <c r="AA85" s="530"/>
      <c r="AB85" s="1676"/>
      <c r="AC85" s="1676"/>
      <c r="AD85" s="3481"/>
      <c r="AE85" s="1676"/>
      <c r="AF85" s="1676"/>
      <c r="AG85" s="1676"/>
      <c r="AH85" s="1676"/>
      <c r="AI85" s="3243"/>
      <c r="AJ85" s="1766"/>
    </row>
    <row r="86" spans="1:36" ht="16.5" customHeight="1">
      <c r="A86" s="903" t="s">
        <v>1049</v>
      </c>
      <c r="B86" s="903"/>
      <c r="C86" s="529">
        <f>+'Exhibit G'!D62+'Exhibit I'!E48</f>
        <v>200.8</v>
      </c>
      <c r="D86" s="529"/>
      <c r="E86" s="529">
        <f>+'Exhibit G'!F62+'Exhibit I'!G48</f>
        <v>2.8</v>
      </c>
      <c r="F86" s="529"/>
      <c r="G86" s="529">
        <f>+'Exhibit G'!H62+'Exhibit I'!I48</f>
        <v>146.39999999999998</v>
      </c>
      <c r="H86" s="529"/>
      <c r="I86" s="529">
        <f>+'Exhibit G'!J62+'Exhibit I'!K48</f>
        <v>155.30000000000001</v>
      </c>
      <c r="J86" s="529"/>
      <c r="K86" s="529">
        <f>+'Exhibit G'!L62+'Exhibit I'!M48</f>
        <v>79.199999999999989</v>
      </c>
      <c r="L86" s="529"/>
      <c r="M86" s="529">
        <f>+'Exhibit G'!N62+'Exhibit I'!O48</f>
        <v>499.09999999999997</v>
      </c>
      <c r="N86" s="529"/>
      <c r="O86" s="529">
        <f>+'Exhibit G'!P62+'Exhibit I'!Q48</f>
        <v>1588.1999999999998</v>
      </c>
      <c r="P86" s="529"/>
      <c r="Q86" s="529">
        <f>+'Exhibit G'!R62+'Exhibit I'!S48</f>
        <v>23.599999999999909</v>
      </c>
      <c r="R86" s="529"/>
      <c r="S86" s="529">
        <f>+'Exhibit G'!T62+'Exhibit I'!U48</f>
        <v>328.29999999999973</v>
      </c>
      <c r="T86" s="529"/>
      <c r="U86" s="529">
        <f>+'Exhibit G'!V62+'Exhibit I'!W48</f>
        <v>519.40000000000009</v>
      </c>
      <c r="V86" s="529"/>
      <c r="W86" s="529">
        <f>+'Exhibit G'!X62+'Exhibit I'!Y48</f>
        <v>11.900000000000091</v>
      </c>
      <c r="X86" s="529"/>
      <c r="Y86" s="529"/>
      <c r="Z86" s="529"/>
      <c r="AA86" s="530"/>
      <c r="AB86" s="1676">
        <f t="shared" si="11"/>
        <v>3555</v>
      </c>
      <c r="AC86" s="1676"/>
      <c r="AD86" s="3481"/>
      <c r="AE86" s="1676">
        <f>+'Exhibit G'!AG62+'Exhibit I'!AI48</f>
        <v>4960.7</v>
      </c>
      <c r="AF86" s="1676"/>
      <c r="AG86" s="1676"/>
      <c r="AH86" s="1676">
        <f t="shared" si="12"/>
        <v>-1405.7</v>
      </c>
      <c r="AI86" s="3243"/>
      <c r="AJ86" s="1770">
        <f>ROUND(IF(AE86=0,1,AH86/ABS(AE86)),3)</f>
        <v>-0.28299999999999997</v>
      </c>
    </row>
    <row r="87" spans="1:36" ht="16.5" customHeight="1">
      <c r="A87" s="903" t="s">
        <v>1050</v>
      </c>
      <c r="B87" s="903"/>
      <c r="C87" s="529">
        <f>+'Exhibit F'!D77+'Exhibit G'!D63</f>
        <v>0</v>
      </c>
      <c r="D87" s="529"/>
      <c r="E87" s="529">
        <f>+'Exhibit F'!F77+'Exhibit G'!F63</f>
        <v>0</v>
      </c>
      <c r="F87" s="529"/>
      <c r="G87" s="529">
        <f>+'Exhibit F'!H77+'Exhibit G'!H63</f>
        <v>0</v>
      </c>
      <c r="H87" s="529"/>
      <c r="I87" s="529">
        <f>+'Exhibit F'!J77+'Exhibit G'!J63</f>
        <v>0</v>
      </c>
      <c r="J87" s="529"/>
      <c r="K87" s="529">
        <f>+'Exhibit F'!L77+'Exhibit G'!L63</f>
        <v>5.0999999999999996</v>
      </c>
      <c r="L87" s="529"/>
      <c r="M87" s="529">
        <f>+'Exhibit F'!N77+'Exhibit G'!N63</f>
        <v>28.1</v>
      </c>
      <c r="N87" s="529"/>
      <c r="O87" s="529">
        <f>+'Exhibit F'!P77+'Exhibit G'!P63</f>
        <v>13.499999999999998</v>
      </c>
      <c r="P87" s="529"/>
      <c r="Q87" s="529">
        <f>+'Exhibit F'!R77+'Exhibit G'!R63</f>
        <v>0</v>
      </c>
      <c r="R87" s="529"/>
      <c r="S87" s="529">
        <f>+'Exhibit F'!T77+'Exhibit G'!T63</f>
        <v>6.0000000000000036</v>
      </c>
      <c r="T87" s="529"/>
      <c r="U87" s="529">
        <f>+'Exhibit F'!V77+'Exhibit G'!V63</f>
        <v>-12.200000000000003</v>
      </c>
      <c r="V87" s="529"/>
      <c r="W87" s="529">
        <f>+'Exhibit F'!X77+'Exhibit G'!X63</f>
        <v>3</v>
      </c>
      <c r="X87" s="529"/>
      <c r="Y87" s="529"/>
      <c r="Z87" s="529"/>
      <c r="AA87" s="530"/>
      <c r="AB87" s="1676">
        <f t="shared" si="11"/>
        <v>43.5</v>
      </c>
      <c r="AC87" s="1676"/>
      <c r="AD87" s="3481"/>
      <c r="AE87" s="1676">
        <f>+'Exhibit F'!AF77+'Exhibit G'!AG63</f>
        <v>40.700000000000003</v>
      </c>
      <c r="AF87" s="1676"/>
      <c r="AG87" s="1676"/>
      <c r="AH87" s="1676">
        <f t="shared" si="12"/>
        <v>2.8</v>
      </c>
      <c r="AI87" s="3243"/>
      <c r="AJ87" s="1765">
        <f>ROUND(IF(AE87=0,0,AH87/ABS(AE87)),3)</f>
        <v>6.9000000000000006E-2</v>
      </c>
    </row>
    <row r="88" spans="1:36" ht="16.5" customHeight="1">
      <c r="A88" s="903" t="s">
        <v>1051</v>
      </c>
      <c r="B88" s="903"/>
      <c r="C88" s="529">
        <f>+'Exhibit F'!D78+'Exhibit G'!D64</f>
        <v>2</v>
      </c>
      <c r="D88" s="529"/>
      <c r="E88" s="529">
        <f>+'Exhibit F'!F78+'Exhibit G'!F64</f>
        <v>1</v>
      </c>
      <c r="F88" s="529"/>
      <c r="G88" s="529">
        <f>+'Exhibit F'!H78+'Exhibit G'!H64</f>
        <v>15.100000000000001</v>
      </c>
      <c r="H88" s="529"/>
      <c r="I88" s="529">
        <f>+'Exhibit F'!J78+'Exhibit G'!J64</f>
        <v>6.9999999999999982</v>
      </c>
      <c r="J88" s="529"/>
      <c r="K88" s="529">
        <f>+'Exhibit F'!L78+'Exhibit G'!L64</f>
        <v>0</v>
      </c>
      <c r="L88" s="529"/>
      <c r="M88" s="529">
        <f>+'Exhibit F'!N78+'Exhibit G'!N64</f>
        <v>0.80000000000000071</v>
      </c>
      <c r="N88" s="529"/>
      <c r="O88" s="529">
        <f>+'Exhibit F'!P78+'Exhibit G'!P64</f>
        <v>14.800000000000002</v>
      </c>
      <c r="P88" s="529"/>
      <c r="Q88" s="529">
        <f>+'Exhibit F'!R78+'Exhibit G'!R64</f>
        <v>3.4999999999999982</v>
      </c>
      <c r="R88" s="529"/>
      <c r="S88" s="529">
        <f>+'Exhibit F'!T78+'Exhibit G'!T64</f>
        <v>9.5</v>
      </c>
      <c r="T88" s="529"/>
      <c r="U88" s="529">
        <f>+'Exhibit F'!V78+'Exhibit G'!V64</f>
        <v>29.79999999999999</v>
      </c>
      <c r="V88" s="529"/>
      <c r="W88" s="529">
        <f>+'Exhibit F'!X78+'Exhibit G'!X64</f>
        <v>0</v>
      </c>
      <c r="X88" s="529"/>
      <c r="Y88" s="529"/>
      <c r="Z88" s="529"/>
      <c r="AA88" s="530"/>
      <c r="AB88" s="1676">
        <f t="shared" si="11"/>
        <v>83.5</v>
      </c>
      <c r="AC88" s="1676"/>
      <c r="AD88" s="3481"/>
      <c r="AE88" s="1676">
        <f>+'Exhibit F'!AF78+'Exhibit G'!AG64</f>
        <v>91.7</v>
      </c>
      <c r="AF88" s="1676"/>
      <c r="AG88" s="1676"/>
      <c r="AH88" s="1676">
        <f t="shared" si="12"/>
        <v>-8.1999999999999993</v>
      </c>
      <c r="AI88" s="3243"/>
      <c r="AJ88" s="1770">
        <f t="shared" ref="AJ88:AJ91" si="14">ROUND(IF(AE88=0,0,AH88/ABS(AE88)),3)</f>
        <v>-8.8999999999999996E-2</v>
      </c>
    </row>
    <row r="89" spans="1:36" ht="16.5" customHeight="1">
      <c r="A89" s="903" t="s">
        <v>1052</v>
      </c>
      <c r="B89" s="903"/>
      <c r="C89" s="529">
        <f>+'Exhibit F'!D79+'Exhibit G'!D65+'Exhibit I'!E50</f>
        <v>4.2</v>
      </c>
      <c r="D89" s="529"/>
      <c r="E89" s="529">
        <f>+'Exhibit F'!F79+'Exhibit G'!F65+'Exhibit I'!G50</f>
        <v>4.8000000000000007</v>
      </c>
      <c r="F89" s="529"/>
      <c r="G89" s="529">
        <f>+'Exhibit F'!H79+'Exhibit G'!H65+'Exhibit I'!I50</f>
        <v>4.6999999999999993</v>
      </c>
      <c r="H89" s="529"/>
      <c r="I89" s="529">
        <f>+'Exhibit F'!J79+'Exhibit G'!J65+'Exhibit I'!K50</f>
        <v>13.4</v>
      </c>
      <c r="J89" s="529"/>
      <c r="K89" s="529">
        <f>+'Exhibit F'!L79+'Exhibit G'!L65+'Exhibit I'!M50</f>
        <v>0</v>
      </c>
      <c r="L89" s="529"/>
      <c r="M89" s="529">
        <f>+'Exhibit F'!N79+'Exhibit G'!N65+'Exhibit I'!O50</f>
        <v>26.699999999999996</v>
      </c>
      <c r="N89" s="529"/>
      <c r="O89" s="529">
        <f>+'Exhibit F'!P79+'Exhibit G'!P65+'Exhibit I'!Q50</f>
        <v>24.900000000000002</v>
      </c>
      <c r="P89" s="529"/>
      <c r="Q89" s="529">
        <f>+'Exhibit F'!R79+'Exhibit G'!R65+'Exhibit I'!S50</f>
        <v>25.3</v>
      </c>
      <c r="R89" s="529"/>
      <c r="S89" s="529">
        <f>+'Exhibit F'!T79+'Exhibit G'!T65+'Exhibit I'!U50</f>
        <v>3</v>
      </c>
      <c r="T89" s="529"/>
      <c r="U89" s="529">
        <f>+'Exhibit F'!V79+'Exhibit G'!V65+'Exhibit I'!W50</f>
        <v>25.399999999999995</v>
      </c>
      <c r="V89" s="529"/>
      <c r="W89" s="529">
        <f>+'Exhibit F'!X79+'Exhibit G'!X65+'Exhibit I'!Y50</f>
        <v>3.100000000000005</v>
      </c>
      <c r="X89" s="529"/>
      <c r="Y89" s="529"/>
      <c r="Z89" s="529"/>
      <c r="AA89" s="530"/>
      <c r="AB89" s="1676">
        <f t="shared" si="11"/>
        <v>135.5</v>
      </c>
      <c r="AC89" s="1676"/>
      <c r="AD89" s="3481"/>
      <c r="AE89" s="1676">
        <f>+'Exhibit F'!AF79+'Exhibit G'!AG65+'Exhibit I'!AI50</f>
        <v>81.699999999999989</v>
      </c>
      <c r="AF89" s="1676"/>
      <c r="AG89" s="1676"/>
      <c r="AH89" s="1676">
        <f t="shared" si="12"/>
        <v>53.8</v>
      </c>
      <c r="AI89" s="3243"/>
      <c r="AJ89" s="1765">
        <f t="shared" si="14"/>
        <v>0.65900000000000003</v>
      </c>
    </row>
    <row r="90" spans="1:36" ht="16.5" customHeight="1">
      <c r="A90" s="903" t="s">
        <v>1053</v>
      </c>
      <c r="B90" s="903"/>
      <c r="C90" s="529">
        <f>+'Exhibit F'!D80+'Exhibit G'!D66+'Exhibit H'!B39+'Exhibit I'!E51</f>
        <v>26.400000000000002</v>
      </c>
      <c r="D90" s="529"/>
      <c r="E90" s="529">
        <f>+'Exhibit F'!F80+'Exhibit G'!F66+'Exhibit H'!D39+'Exhibit I'!G51</f>
        <v>3.1999999999999993</v>
      </c>
      <c r="F90" s="529"/>
      <c r="G90" s="529">
        <f>+'Exhibit F'!H80+'Exhibit G'!H66+'Exhibit H'!F39+'Exhibit I'!I51</f>
        <v>6.5999999999999988</v>
      </c>
      <c r="H90" s="529"/>
      <c r="I90" s="529">
        <f>+'Exhibit F'!J80+'Exhibit G'!J66+'Exhibit H'!H39+'Exhibit I'!K51</f>
        <v>4.4000000000000012</v>
      </c>
      <c r="J90" s="529"/>
      <c r="K90" s="529">
        <f>+'Exhibit F'!L80+'Exhibit G'!L66+'Exhibit H'!J39+'Exhibit I'!M51</f>
        <v>2.600000000000001</v>
      </c>
      <c r="L90" s="529"/>
      <c r="M90" s="529">
        <f>+'Exhibit F'!N80+'Exhibit G'!N66+'Exhibit H'!L39+'Exhibit I'!O51</f>
        <v>6.099999999999997</v>
      </c>
      <c r="N90" s="529"/>
      <c r="O90" s="529">
        <f>+'Exhibit F'!P80+'Exhibit G'!P66+'Exhibit H'!N39+'Exhibit I'!Q51</f>
        <v>4.6000000000000076</v>
      </c>
      <c r="P90" s="529"/>
      <c r="Q90" s="529">
        <f>+'Exhibit F'!R80+'Exhibit G'!R66+'Exhibit H'!P39+'Exhibit I'!S51</f>
        <v>2.2999999999999954</v>
      </c>
      <c r="R90" s="529"/>
      <c r="S90" s="529">
        <f>+'Exhibit F'!T80+'Exhibit G'!T66+'Exhibit H'!R39+'Exhibit I'!U51</f>
        <v>5.9999999999999982</v>
      </c>
      <c r="T90" s="529"/>
      <c r="U90" s="529">
        <f>+'Exhibit F'!V80+'Exhibit G'!V66+'Exhibit H'!T39+'Exhibit I'!W51</f>
        <v>3.4000000000000021</v>
      </c>
      <c r="V90" s="529"/>
      <c r="W90" s="529">
        <f>+'Exhibit F'!X80+'Exhibit G'!X66+'Exhibit H'!V39+'Exhibit I'!Y51</f>
        <v>3.5000000000000018</v>
      </c>
      <c r="X90" s="529"/>
      <c r="Y90" s="529"/>
      <c r="Z90" s="529"/>
      <c r="AA90" s="530"/>
      <c r="AB90" s="1676">
        <f t="shared" si="11"/>
        <v>69.099999999999994</v>
      </c>
      <c r="AC90" s="1676"/>
      <c r="AD90" s="3481"/>
      <c r="AE90" s="1676">
        <f>+'Exhibit F'!AF80+'Exhibit G'!AG66+'Exhibit H'!AD39+'Exhibit I'!AI51</f>
        <v>285.2</v>
      </c>
      <c r="AF90" s="1676"/>
      <c r="AG90" s="1676"/>
      <c r="AH90" s="1676">
        <f t="shared" si="12"/>
        <v>-216.1</v>
      </c>
      <c r="AI90" s="3243"/>
      <c r="AJ90" s="1765">
        <f t="shared" si="14"/>
        <v>-0.75800000000000001</v>
      </c>
    </row>
    <row r="91" spans="1:36" ht="16.5" customHeight="1">
      <c r="A91" s="903" t="s">
        <v>1054</v>
      </c>
      <c r="B91" s="903"/>
      <c r="C91" s="529">
        <f>+'Exhibit F'!D81+'Exhibit G'!D67+'Exhibit H'!B40+'Exhibit I'!E52</f>
        <v>40.199999999999996</v>
      </c>
      <c r="D91" s="529"/>
      <c r="E91" s="529">
        <f>+'Exhibit F'!F81+'Exhibit G'!F67+'Exhibit H'!D40+'Exhibit I'!G52</f>
        <v>29.100000000000005</v>
      </c>
      <c r="F91" s="529"/>
      <c r="G91" s="529">
        <f>+'Exhibit F'!H81+'Exhibit G'!H67+'Exhibit H'!F40+'Exhibit I'!I52</f>
        <v>9.0999999999999908</v>
      </c>
      <c r="H91" s="529"/>
      <c r="I91" s="529">
        <f>+'Exhibit F'!J81+'Exhibit G'!J67+'Exhibit H'!H40+'Exhibit I'!K52</f>
        <v>30.200000000000014</v>
      </c>
      <c r="J91" s="529"/>
      <c r="K91" s="529">
        <f>+'Exhibit F'!L81+'Exhibit G'!L67+'Exhibit H'!J40+'Exhibit I'!M52</f>
        <v>2.6000000000000059</v>
      </c>
      <c r="L91" s="529"/>
      <c r="M91" s="529">
        <f>+'Exhibit F'!N81+'Exhibit G'!N67+'Exhibit H'!L40+'Exhibit I'!O52</f>
        <v>1.3999999999999855</v>
      </c>
      <c r="N91" s="529"/>
      <c r="O91" s="529">
        <f>+'Exhibit F'!P81+'Exhibit G'!P67+'Exhibit H'!N40+'Exhibit I'!Q52</f>
        <v>66.40000000000002</v>
      </c>
      <c r="P91" s="529"/>
      <c r="Q91" s="529">
        <f>+'Exhibit F'!R81+'Exhibit G'!R67+'Exhibit H'!P40+'Exhibit I'!S52</f>
        <v>24.900000000000016</v>
      </c>
      <c r="R91" s="529"/>
      <c r="S91" s="529">
        <f>+'Exhibit F'!T81+'Exhibit G'!T67+'Exhibit H'!R40+'Exhibit I'!U52</f>
        <v>23.499999999999993</v>
      </c>
      <c r="T91" s="529"/>
      <c r="U91" s="529">
        <f>+'Exhibit F'!V81+'Exhibit G'!V67+'Exhibit H'!T40+'Exhibit I'!W52</f>
        <v>49.30000000000004</v>
      </c>
      <c r="V91" s="529"/>
      <c r="W91" s="529">
        <f>+'Exhibit F'!X81+'Exhibit G'!X67+'Exhibit H'!V40+'Exhibit I'!Y52</f>
        <v>87.600000000000009</v>
      </c>
      <c r="X91" s="529"/>
      <c r="Y91" s="529"/>
      <c r="Z91" s="529"/>
      <c r="AA91" s="530"/>
      <c r="AB91" s="1676">
        <f t="shared" si="11"/>
        <v>364.3</v>
      </c>
      <c r="AC91" s="1676"/>
      <c r="AD91" s="3481"/>
      <c r="AE91" s="1676">
        <f>+'Exhibit F'!AF81+'Exhibit G'!AG67+'Exhibit H'!AD40+'Exhibit I'!AI52</f>
        <v>394.59999999999997</v>
      </c>
      <c r="AF91" s="1676"/>
      <c r="AG91" s="1676"/>
      <c r="AH91" s="1676">
        <f t="shared" si="12"/>
        <v>-30.3</v>
      </c>
      <c r="AI91" s="3243"/>
      <c r="AJ91" s="1765">
        <f t="shared" si="14"/>
        <v>-7.6999999999999999E-2</v>
      </c>
    </row>
    <row r="92" spans="1:36" ht="16.5" customHeight="1">
      <c r="A92" s="903" t="s">
        <v>1159</v>
      </c>
      <c r="B92" s="903"/>
      <c r="C92" s="529"/>
      <c r="D92" s="529"/>
      <c r="E92" s="529"/>
      <c r="F92" s="529"/>
      <c r="G92" s="529"/>
      <c r="H92" s="529"/>
      <c r="I92" s="529"/>
      <c r="J92" s="529"/>
      <c r="K92" s="529"/>
      <c r="L92" s="529"/>
      <c r="M92" s="529"/>
      <c r="N92" s="529"/>
      <c r="O92" s="529"/>
      <c r="P92" s="529"/>
      <c r="Q92" s="529"/>
      <c r="R92" s="529"/>
      <c r="S92" s="529"/>
      <c r="T92" s="529"/>
      <c r="U92" s="529"/>
      <c r="V92" s="529"/>
      <c r="W92" s="529"/>
      <c r="X92" s="529"/>
      <c r="Y92" s="529"/>
      <c r="Z92" s="529"/>
      <c r="AA92" s="530"/>
      <c r="AB92" s="1676"/>
      <c r="AC92" s="1676"/>
      <c r="AD92" s="3481"/>
      <c r="AE92" s="1676"/>
      <c r="AF92" s="1676"/>
      <c r="AG92" s="1676"/>
      <c r="AH92" s="1676"/>
      <c r="AI92" s="3243"/>
      <c r="AJ92" s="1765"/>
    </row>
    <row r="93" spans="1:36" ht="16.5" customHeight="1">
      <c r="A93" s="903" t="s">
        <v>1055</v>
      </c>
      <c r="B93" s="903"/>
      <c r="C93" s="529">
        <f>+'Exhibit F'!D83+'Exhibit G'!D69+'Exhibit I'!E54</f>
        <v>1.9</v>
      </c>
      <c r="D93" s="529"/>
      <c r="E93" s="529">
        <f>+'Exhibit F'!F83+'Exhibit G'!F69+'Exhibit I'!G54</f>
        <v>2.8000000000000003</v>
      </c>
      <c r="F93" s="529"/>
      <c r="G93" s="529">
        <f>+'Exhibit F'!H83+'Exhibit G'!H69+'Exhibit I'!I54</f>
        <v>24.700000000000003</v>
      </c>
      <c r="H93" s="529"/>
      <c r="I93" s="529">
        <f>+'Exhibit F'!J83+'Exhibit G'!J69+'Exhibit I'!K54</f>
        <v>17.7</v>
      </c>
      <c r="J93" s="529"/>
      <c r="K93" s="529">
        <f>+'Exhibit F'!L83+'Exhibit G'!L69+'Exhibit I'!M54</f>
        <v>4.5999999999999979</v>
      </c>
      <c r="L93" s="529"/>
      <c r="M93" s="529">
        <f>+'Exhibit F'!N83+'Exhibit G'!N69+'Exhibit I'!O54</f>
        <v>21.900000000000006</v>
      </c>
      <c r="N93" s="529"/>
      <c r="O93" s="529">
        <f>+'Exhibit F'!P83+'Exhibit G'!P69+'Exhibit I'!Q54</f>
        <v>26.700000000000003</v>
      </c>
      <c r="P93" s="529"/>
      <c r="Q93" s="529">
        <f>+'Exhibit F'!R83+'Exhibit G'!R69+'Exhibit I'!S54</f>
        <v>27.6</v>
      </c>
      <c r="R93" s="529"/>
      <c r="S93" s="529">
        <f>+'Exhibit F'!T83+'Exhibit G'!T69+'Exhibit I'!U54</f>
        <v>32.000000000000007</v>
      </c>
      <c r="T93" s="529"/>
      <c r="U93" s="529">
        <f>+'Exhibit F'!V83+'Exhibit G'!V69+'Exhibit I'!W54</f>
        <v>15.899999999999977</v>
      </c>
      <c r="V93" s="529"/>
      <c r="W93" s="529">
        <f>+'Exhibit F'!X83+'Exhibit G'!X69+'Exhibit I'!Y54</f>
        <v>32.300000000000011</v>
      </c>
      <c r="X93" s="529"/>
      <c r="Y93" s="529"/>
      <c r="Z93" s="529"/>
      <c r="AA93" s="530"/>
      <c r="AB93" s="1676">
        <f t="shared" si="11"/>
        <v>208.1</v>
      </c>
      <c r="AC93" s="1676"/>
      <c r="AD93" s="3481"/>
      <c r="AE93" s="1676">
        <f>+'Exhibit F'!AF83+'Exhibit G'!AG69+'Exhibit I'!AI54</f>
        <v>172.2</v>
      </c>
      <c r="AF93" s="1676"/>
      <c r="AG93" s="1676"/>
      <c r="AH93" s="1676">
        <f t="shared" si="12"/>
        <v>35.9</v>
      </c>
      <c r="AI93" s="3243"/>
      <c r="AJ93" s="1765">
        <f>ROUND(IF(AE93=0,0,AH93/ABS(AE93)),3)</f>
        <v>0.20799999999999999</v>
      </c>
    </row>
    <row r="94" spans="1:36" ht="16.5" customHeight="1">
      <c r="A94" s="903" t="s">
        <v>1056</v>
      </c>
      <c r="B94" s="903"/>
      <c r="C94" s="529">
        <f>+'Exhibit G'!D70+'Exhibit F'!D84</f>
        <v>0.6</v>
      </c>
      <c r="D94" s="529"/>
      <c r="E94" s="529">
        <f>+'Exhibit G'!F70+'Exhibit F'!F84</f>
        <v>0.6</v>
      </c>
      <c r="F94" s="529"/>
      <c r="G94" s="529">
        <f>+'Exhibit G'!H70+'Exhibit F'!H84</f>
        <v>0.6</v>
      </c>
      <c r="H94" s="529"/>
      <c r="I94" s="529">
        <f>+'Exhibit G'!J70+'Exhibit F'!J84</f>
        <v>0.60000000000000586</v>
      </c>
      <c r="J94" s="529"/>
      <c r="K94" s="529">
        <f>+'Exhibit G'!L70+'Exhibit F'!L84</f>
        <v>0.19999999999999143</v>
      </c>
      <c r="L94" s="529"/>
      <c r="M94" s="529">
        <f>+'Exhibit G'!N70+'Exhibit F'!N84</f>
        <v>0.79999999999999716</v>
      </c>
      <c r="N94" s="529"/>
      <c r="O94" s="529">
        <f>+'Exhibit G'!P70+'Exhibit F'!P84</f>
        <v>0.70000000000001705</v>
      </c>
      <c r="P94" s="529"/>
      <c r="Q94" s="529">
        <f>+'Exhibit G'!R70+'Exhibit F'!R84</f>
        <v>0.79999999999999405</v>
      </c>
      <c r="R94" s="529"/>
      <c r="S94" s="529">
        <f>+'Exhibit G'!T70+'Exhibit F'!T84</f>
        <v>82.300000000000011</v>
      </c>
      <c r="T94" s="529"/>
      <c r="U94" s="529">
        <f>+'Exhibit G'!V70+'Exhibit F'!V84</f>
        <v>-66.899999999999977</v>
      </c>
      <c r="V94" s="529"/>
      <c r="W94" s="529">
        <f>+'Exhibit G'!X70+'Exhibit F'!X84</f>
        <v>7.2999999999999829</v>
      </c>
      <c r="X94" s="529"/>
      <c r="Y94" s="529"/>
      <c r="Z94" s="529"/>
      <c r="AA94" s="530"/>
      <c r="AB94" s="1676">
        <f t="shared" si="11"/>
        <v>27.6</v>
      </c>
      <c r="AC94" s="1676"/>
      <c r="AD94" s="3481"/>
      <c r="AE94" s="1676">
        <f>+'Exhibit G'!AG70+'Exhibit F'!AF84</f>
        <v>14.8</v>
      </c>
      <c r="AF94" s="1676"/>
      <c r="AG94" s="1676"/>
      <c r="AH94" s="1676">
        <f t="shared" si="12"/>
        <v>12.8</v>
      </c>
      <c r="AI94" s="3243"/>
      <c r="AJ94" s="1765">
        <f>ROUND(IF(AE94=0,0,AH94/ABS(AE94)),3)</f>
        <v>0.86499999999999999</v>
      </c>
    </row>
    <row r="95" spans="1:36" ht="16.5" customHeight="1">
      <c r="A95" s="903" t="s">
        <v>1429</v>
      </c>
      <c r="B95" s="903"/>
      <c r="C95" s="529">
        <v>0</v>
      </c>
      <c r="D95" s="529"/>
      <c r="E95" s="529">
        <v>0</v>
      </c>
      <c r="F95" s="529"/>
      <c r="G95" s="529">
        <v>0</v>
      </c>
      <c r="H95" s="529"/>
      <c r="I95" s="529">
        <v>0</v>
      </c>
      <c r="J95" s="529"/>
      <c r="K95" s="529">
        <v>0</v>
      </c>
      <c r="L95" s="529"/>
      <c r="M95" s="529">
        <v>0</v>
      </c>
      <c r="N95" s="529"/>
      <c r="O95" s="529">
        <v>0</v>
      </c>
      <c r="P95" s="529"/>
      <c r="Q95" s="529">
        <v>0</v>
      </c>
      <c r="R95" s="529"/>
      <c r="S95" s="529">
        <v>0</v>
      </c>
      <c r="T95" s="529"/>
      <c r="U95" s="529">
        <f>+'Exhibit G'!V71</f>
        <v>468</v>
      </c>
      <c r="V95" s="529"/>
      <c r="W95" s="529">
        <f>+'Exhibit G'!X71</f>
        <v>0</v>
      </c>
      <c r="X95" s="529"/>
      <c r="Y95" s="1676"/>
      <c r="Z95" s="529"/>
      <c r="AA95" s="972"/>
      <c r="AB95" s="1676">
        <f t="shared" si="11"/>
        <v>468</v>
      </c>
      <c r="AC95" s="1676"/>
      <c r="AD95" s="3481"/>
      <c r="AE95" s="1676">
        <f>'Exhibit G'!AG71</f>
        <v>1068</v>
      </c>
      <c r="AF95" s="1676"/>
      <c r="AG95" s="1676"/>
      <c r="AH95" s="1676">
        <f t="shared" ref="AH95" si="15">ROUND(SUM(AB95-AE95),1)</f>
        <v>-600</v>
      </c>
      <c r="AI95" s="3243"/>
      <c r="AJ95" s="1765">
        <f>ROUND(IF(AE95=0,0,AH95/ABS(AE95)),3)</f>
        <v>-0.56200000000000006</v>
      </c>
    </row>
    <row r="96" spans="1:36" ht="16.5" customHeight="1">
      <c r="A96" s="903" t="s">
        <v>1057</v>
      </c>
      <c r="B96" s="903"/>
      <c r="C96" s="529">
        <f>+'Exhibit F'!D85+'Exhibit G'!D72+'Exhibit I'!E55</f>
        <v>10.9</v>
      </c>
      <c r="D96" s="529"/>
      <c r="E96" s="529">
        <f>+'Exhibit F'!F85+'Exhibit G'!F72+'Exhibit I'!G55</f>
        <v>1.5</v>
      </c>
      <c r="F96" s="529"/>
      <c r="G96" s="529">
        <f>+'Exhibit F'!H85+'Exhibit G'!H72+'Exhibit I'!I55</f>
        <v>3.1000000000000005</v>
      </c>
      <c r="H96" s="529"/>
      <c r="I96" s="529">
        <f>+'Exhibit F'!J85+'Exhibit G'!J72+'Exhibit I'!K55</f>
        <v>0.90000000000000036</v>
      </c>
      <c r="J96" s="529"/>
      <c r="K96" s="529">
        <f>+'Exhibit F'!L85+'Exhibit G'!L72+'Exhibit I'!M55</f>
        <v>0.90000000000000036</v>
      </c>
      <c r="L96" s="529"/>
      <c r="M96" s="529">
        <f>+'Exhibit F'!N85+'Exhibit G'!N72+'Exhibit I'!O55</f>
        <v>0.29999999999999893</v>
      </c>
      <c r="N96" s="529"/>
      <c r="O96" s="529">
        <f>+'Exhibit F'!P85+'Exhibit G'!P72+'Exhibit I'!Q55</f>
        <v>3.7</v>
      </c>
      <c r="P96" s="529"/>
      <c r="Q96" s="529">
        <f>+'Exhibit F'!R85+'Exhibit G'!R72+'Exhibit I'!S55</f>
        <v>1.9999999999999991</v>
      </c>
      <c r="R96" s="529"/>
      <c r="S96" s="529">
        <f>+'Exhibit F'!T85+'Exhibit G'!T72+'Exhibit I'!U55</f>
        <v>3.1000000000000014</v>
      </c>
      <c r="T96" s="529"/>
      <c r="U96" s="529">
        <f>+'Exhibit F'!V85+'Exhibit G'!V72+'Exhibit I'!W55</f>
        <v>0.89999999999999858</v>
      </c>
      <c r="V96" s="529"/>
      <c r="W96" s="529">
        <f>+'Exhibit F'!X85+'Exhibit G'!X72+'Exhibit I'!Y55</f>
        <v>14.900000000000002</v>
      </c>
      <c r="X96" s="529"/>
      <c r="Y96" s="529"/>
      <c r="Z96" s="529"/>
      <c r="AA96" s="530"/>
      <c r="AB96" s="1676">
        <f t="shared" si="11"/>
        <v>42.2</v>
      </c>
      <c r="AC96" s="1676"/>
      <c r="AD96" s="3481"/>
      <c r="AE96" s="1676">
        <f>+'Exhibit F'!AF85+'Exhibit G'!AG72+'Exhibit I'!AI55</f>
        <v>112.8</v>
      </c>
      <c r="AF96" s="1676"/>
      <c r="AG96" s="1676"/>
      <c r="AH96" s="1676">
        <f t="shared" si="12"/>
        <v>-70.599999999999994</v>
      </c>
      <c r="AI96" s="3243"/>
      <c r="AJ96" s="1766">
        <f t="shared" ref="AJ96:AJ103" si="16">ROUND(IF(AE96=0,0,AH96/ABS(AE96)),3)</f>
        <v>-0.626</v>
      </c>
    </row>
    <row r="97" spans="1:45" ht="16.5" customHeight="1">
      <c r="A97" s="903" t="s">
        <v>1058</v>
      </c>
      <c r="B97" s="903"/>
      <c r="C97" s="529">
        <f>+'Exhibit F'!D86+'Exhibit G'!D73+'Exhibit I'!E56</f>
        <v>5.6</v>
      </c>
      <c r="D97" s="529"/>
      <c r="E97" s="529">
        <f>+'Exhibit F'!F86+'Exhibit G'!F73+'Exhibit I'!G56</f>
        <v>5.2000000000000011</v>
      </c>
      <c r="F97" s="529"/>
      <c r="G97" s="529">
        <f>+'Exhibit F'!H86+'Exhibit G'!H73+'Exhibit I'!I56</f>
        <v>8.6999999999999993</v>
      </c>
      <c r="H97" s="529"/>
      <c r="I97" s="529">
        <f>+'Exhibit F'!J86+'Exhibit G'!J73+'Exhibit I'!K56</f>
        <v>8.3000000000000007</v>
      </c>
      <c r="J97" s="529"/>
      <c r="K97" s="529">
        <f>+'Exhibit F'!L86+'Exhibit G'!L73+'Exhibit I'!M56</f>
        <v>7.1999999999999957</v>
      </c>
      <c r="L97" s="529"/>
      <c r="M97" s="529">
        <f>+'Exhibit F'!N86+'Exhibit G'!N73+'Exhibit I'!O56</f>
        <v>5.7999999999999972</v>
      </c>
      <c r="N97" s="529"/>
      <c r="O97" s="529">
        <f>+'Exhibit F'!P86+'Exhibit G'!P73+'Exhibit I'!Q56</f>
        <v>7</v>
      </c>
      <c r="P97" s="529"/>
      <c r="Q97" s="529">
        <f>+'Exhibit F'!R86+'Exhibit G'!R73+'Exhibit I'!S56</f>
        <v>6.2000000000000064</v>
      </c>
      <c r="R97" s="529"/>
      <c r="S97" s="529">
        <f>+'Exhibit F'!T86+'Exhibit G'!T73+'Exhibit I'!U56</f>
        <v>6.5999999999999979</v>
      </c>
      <c r="T97" s="529"/>
      <c r="U97" s="529">
        <f>+'Exhibit F'!V86+'Exhibit G'!V73+'Exhibit I'!W56</f>
        <v>9.9000000000000057</v>
      </c>
      <c r="V97" s="529"/>
      <c r="W97" s="529">
        <f>+'Exhibit F'!X86+'Exhibit G'!X73+'Exhibit I'!Y56</f>
        <v>8.4000000000000057</v>
      </c>
      <c r="X97" s="529"/>
      <c r="Y97" s="529"/>
      <c r="Z97" s="529"/>
      <c r="AA97" s="530"/>
      <c r="AB97" s="1676">
        <f>ROUND(SUM(C97:Y97),1)</f>
        <v>78.900000000000006</v>
      </c>
      <c r="AC97" s="1676"/>
      <c r="AD97" s="3481"/>
      <c r="AE97" s="1676">
        <f>+'Exhibit F'!AF86+'Exhibit G'!AG73+'Exhibit I'!AI56</f>
        <v>87.1</v>
      </c>
      <c r="AF97" s="1676"/>
      <c r="AG97" s="1676"/>
      <c r="AH97" s="1676">
        <f t="shared" si="12"/>
        <v>-8.1999999999999993</v>
      </c>
      <c r="AI97" s="3243"/>
      <c r="AJ97" s="1766">
        <f t="shared" si="16"/>
        <v>-9.4E-2</v>
      </c>
    </row>
    <row r="98" spans="1:45" ht="16.5" customHeight="1">
      <c r="A98" s="903" t="s">
        <v>1059</v>
      </c>
      <c r="B98" s="903"/>
      <c r="C98" s="529">
        <f>+'Exhibit F'!D87+'Exhibit G'!D74+'Exhibit H'!B42</f>
        <v>239.4</v>
      </c>
      <c r="D98" s="529"/>
      <c r="E98" s="529">
        <f>+'Exhibit F'!F87+'Exhibit G'!F74+'Exhibit H'!D42</f>
        <v>194.89999999999998</v>
      </c>
      <c r="F98" s="529"/>
      <c r="G98" s="529">
        <f>+'Exhibit F'!H87+'Exhibit G'!H74+'Exhibit H'!F42</f>
        <v>198.09999999999997</v>
      </c>
      <c r="H98" s="529"/>
      <c r="I98" s="529">
        <f>+'Exhibit F'!J87+'Exhibit G'!J74+'Exhibit H'!H42</f>
        <v>240.80000000000013</v>
      </c>
      <c r="J98" s="529"/>
      <c r="K98" s="529">
        <f>+'Exhibit F'!L87+'Exhibit G'!L74+'Exhibit H'!J42</f>
        <v>208.29999999999984</v>
      </c>
      <c r="L98" s="529"/>
      <c r="M98" s="529">
        <f>+'Exhibit F'!N87+'Exhibit G'!N74+'Exhibit H'!L42</f>
        <v>264.5</v>
      </c>
      <c r="N98" s="529"/>
      <c r="O98" s="529">
        <f>+'Exhibit F'!P87+'Exhibit G'!P74+'Exhibit H'!N42</f>
        <v>208.10000000000025</v>
      </c>
      <c r="P98" s="529"/>
      <c r="Q98" s="529">
        <f>+'Exhibit F'!R87+'Exhibit G'!R74+'Exhibit H'!P42</f>
        <v>183.49999999999986</v>
      </c>
      <c r="R98" s="529"/>
      <c r="S98" s="529">
        <f>+'Exhibit F'!T87+'Exhibit G'!T74+'Exhibit H'!R42</f>
        <v>247.09999999999974</v>
      </c>
      <c r="T98" s="529"/>
      <c r="U98" s="529">
        <f>+'Exhibit F'!V87+'Exhibit G'!V74+'Exhibit H'!T42</f>
        <v>135.40000000000032</v>
      </c>
      <c r="V98" s="529"/>
      <c r="W98" s="529">
        <f>+'Exhibit F'!X87+'Exhibit G'!X74+'Exhibit H'!V42</f>
        <v>340.5999999999998</v>
      </c>
      <c r="X98" s="529"/>
      <c r="Y98" s="529"/>
      <c r="Z98" s="529"/>
      <c r="AA98" s="530"/>
      <c r="AB98" s="1676">
        <f t="shared" si="11"/>
        <v>2460.6999999999998</v>
      </c>
      <c r="AC98" s="1676"/>
      <c r="AD98" s="3481"/>
      <c r="AE98" s="1676">
        <f>+'Exhibit F'!AF87+'Exhibit G'!AG74+'Exhibit H'!AD42</f>
        <v>2306.1999999999998</v>
      </c>
      <c r="AF98" s="1676"/>
      <c r="AG98" s="1676"/>
      <c r="AH98" s="1676">
        <f t="shared" si="12"/>
        <v>154.5</v>
      </c>
      <c r="AI98" s="3243"/>
      <c r="AJ98" s="1766">
        <f t="shared" si="16"/>
        <v>6.7000000000000004E-2</v>
      </c>
    </row>
    <row r="99" spans="1:45" ht="16.5" customHeight="1">
      <c r="A99" s="903" t="s">
        <v>1060</v>
      </c>
      <c r="B99" s="903"/>
      <c r="C99" s="529">
        <f>+'Exhibit G'!D75+'Exhibit F'!D88+'Exhibit I'!E57</f>
        <v>12.3</v>
      </c>
      <c r="D99" s="529"/>
      <c r="E99" s="529">
        <f>+'Exhibit G'!F75+'Exhibit F'!F88+'Exhibit I'!G57</f>
        <v>11.499999999999998</v>
      </c>
      <c r="F99" s="529"/>
      <c r="G99" s="529">
        <f>+'Exhibit G'!H75+'Exhibit F'!H88+'Exhibit I'!I57</f>
        <v>14.7</v>
      </c>
      <c r="H99" s="529"/>
      <c r="I99" s="529">
        <f>+'Exhibit G'!J75+'Exhibit F'!J88+'Exhibit I'!K57</f>
        <v>22.100000000000005</v>
      </c>
      <c r="J99" s="529"/>
      <c r="K99" s="529">
        <f>+'Exhibit G'!L75+'Exhibit F'!L88+'Exhibit I'!M57</f>
        <v>11.7</v>
      </c>
      <c r="L99" s="529"/>
      <c r="M99" s="529">
        <f>+'Exhibit G'!N75+'Exhibit F'!N88+'Exhibit I'!O57</f>
        <v>12.099999999999991</v>
      </c>
      <c r="N99" s="529"/>
      <c r="O99" s="529">
        <f>+'Exhibit G'!P75+'Exhibit F'!P88+'Exhibit I'!Q57</f>
        <v>17.700000000000006</v>
      </c>
      <c r="P99" s="529"/>
      <c r="Q99" s="529">
        <f>+'Exhibit G'!R75+'Exhibit F'!R88+'Exhibit I'!S57</f>
        <v>14.499999999999993</v>
      </c>
      <c r="R99" s="529"/>
      <c r="S99" s="529">
        <f>+'Exhibit G'!T75+'Exhibit F'!T88+'Exhibit I'!U57</f>
        <v>11.499999999999996</v>
      </c>
      <c r="T99" s="529"/>
      <c r="U99" s="529">
        <f>+'Exhibit G'!V75+'Exhibit F'!V88+'Exhibit I'!W57</f>
        <v>13.299999999999995</v>
      </c>
      <c r="V99" s="529"/>
      <c r="W99" s="529">
        <f>+'Exhibit G'!X75+'Exhibit F'!X88+'Exhibit I'!Y57</f>
        <v>12.200000000000003</v>
      </c>
      <c r="X99" s="529"/>
      <c r="Y99" s="529"/>
      <c r="Z99" s="529"/>
      <c r="AA99" s="530"/>
      <c r="AB99" s="1676">
        <f t="shared" si="11"/>
        <v>153.6</v>
      </c>
      <c r="AC99" s="1676"/>
      <c r="AD99" s="3481"/>
      <c r="AE99" s="1676">
        <f>+'Exhibit G'!AG75+'Exhibit F'!AF88+'Exhibit I'!AI57</f>
        <v>148.80000000000001</v>
      </c>
      <c r="AF99" s="1676"/>
      <c r="AG99" s="1676"/>
      <c r="AH99" s="1676">
        <f t="shared" si="12"/>
        <v>4.8</v>
      </c>
      <c r="AI99" s="3243"/>
      <c r="AJ99" s="1766">
        <f t="shared" si="16"/>
        <v>3.2000000000000001E-2</v>
      </c>
    </row>
    <row r="100" spans="1:45" ht="16.5" customHeight="1">
      <c r="A100" s="903" t="s">
        <v>1061</v>
      </c>
      <c r="B100" s="903"/>
      <c r="C100" s="529">
        <f>+'Exhibit F'!D89+'Exhibit G'!D76+'Exhibit I'!E58</f>
        <v>7.8</v>
      </c>
      <c r="D100" s="529"/>
      <c r="E100" s="529">
        <f>+'Exhibit F'!F89+'Exhibit G'!F76+'Exhibit I'!G58</f>
        <v>1.7000000000000011</v>
      </c>
      <c r="F100" s="529"/>
      <c r="G100" s="529">
        <f>+'Exhibit F'!H89+'Exhibit G'!H76+'Exhibit I'!I58</f>
        <v>1.399999999999999</v>
      </c>
      <c r="H100" s="529"/>
      <c r="I100" s="529">
        <f>+'Exhibit F'!J89+'Exhibit G'!J76+'Exhibit I'!K58</f>
        <v>1.0999999999999999</v>
      </c>
      <c r="J100" s="529"/>
      <c r="K100" s="529">
        <f>+'Exhibit F'!L89+'Exhibit G'!L76+'Exhibit I'!M58</f>
        <v>6.1000000000000005</v>
      </c>
      <c r="L100" s="529"/>
      <c r="M100" s="529">
        <f>+'Exhibit F'!N89+'Exhibit G'!N76+'Exhibit I'!O58</f>
        <v>0.59999999999999842</v>
      </c>
      <c r="N100" s="529"/>
      <c r="O100" s="529">
        <f>+'Exhibit F'!P89+'Exhibit G'!P76+'Exhibit I'!Q58</f>
        <v>3.0000000000000022</v>
      </c>
      <c r="P100" s="529"/>
      <c r="Q100" s="529">
        <f>+'Exhibit F'!R89+'Exhibit G'!R76+'Exhibit I'!S58</f>
        <v>3.9000000000000021</v>
      </c>
      <c r="R100" s="529"/>
      <c r="S100" s="529">
        <f>+'Exhibit F'!T89+'Exhibit G'!T76+'Exhibit I'!U58</f>
        <v>12.200000000000003</v>
      </c>
      <c r="T100" s="529"/>
      <c r="U100" s="529">
        <f>+'Exhibit F'!V89+'Exhibit G'!V76+'Exhibit I'!W58</f>
        <v>25.599999999999998</v>
      </c>
      <c r="V100" s="529"/>
      <c r="W100" s="529">
        <f>+'Exhibit F'!X89+'Exhibit G'!X76+'Exhibit I'!Y58</f>
        <v>0.90000000000000213</v>
      </c>
      <c r="X100" s="529"/>
      <c r="Y100" s="529"/>
      <c r="Z100" s="529"/>
      <c r="AA100" s="530"/>
      <c r="AB100" s="1676">
        <f t="shared" si="11"/>
        <v>64.3</v>
      </c>
      <c r="AC100" s="1676"/>
      <c r="AD100" s="3481"/>
      <c r="AE100" s="1676">
        <f>+'Exhibit F'!AF89+'Exhibit G'!AG76+'Exhibit I'!AI58</f>
        <v>194.60000000000002</v>
      </c>
      <c r="AF100" s="1676"/>
      <c r="AG100" s="1676"/>
      <c r="AH100" s="1676">
        <f t="shared" si="12"/>
        <v>-130.30000000000001</v>
      </c>
      <c r="AI100" s="3243"/>
      <c r="AJ100" s="3477">
        <f t="shared" si="16"/>
        <v>-0.67</v>
      </c>
    </row>
    <row r="101" spans="1:45" ht="16.5" customHeight="1">
      <c r="A101" s="903" t="s">
        <v>1062</v>
      </c>
      <c r="B101" s="903"/>
      <c r="C101" s="529">
        <f>+'Exhibit F'!D90+'Exhibit G'!D77</f>
        <v>7.5</v>
      </c>
      <c r="D101" s="529"/>
      <c r="E101" s="529">
        <f>+'Exhibit F'!F90+'Exhibit G'!F77</f>
        <v>3.0999999999999996</v>
      </c>
      <c r="F101" s="529"/>
      <c r="G101" s="529">
        <f>+'Exhibit F'!H90+'Exhibit G'!H77</f>
        <v>8.5000000000000018</v>
      </c>
      <c r="H101" s="529"/>
      <c r="I101" s="529">
        <f>+'Exhibit F'!J90+'Exhibit G'!J77</f>
        <v>7.4999999999999982</v>
      </c>
      <c r="J101" s="529"/>
      <c r="K101" s="529">
        <f>+'Exhibit F'!L90+'Exhibit G'!L77</f>
        <v>1.7000000000000028</v>
      </c>
      <c r="L101" s="529"/>
      <c r="M101" s="529">
        <f>+'Exhibit F'!N90+'Exhibit G'!N77</f>
        <v>10.9</v>
      </c>
      <c r="N101" s="529"/>
      <c r="O101" s="529">
        <f>+'Exhibit F'!P90+'Exhibit G'!P77</f>
        <v>2.2999999999999972</v>
      </c>
      <c r="P101" s="529"/>
      <c r="Q101" s="529">
        <f>+'Exhibit F'!R90+'Exhibit G'!R77</f>
        <v>2.2000000000000011</v>
      </c>
      <c r="R101" s="529"/>
      <c r="S101" s="529">
        <f>+'Exhibit F'!T90+'Exhibit G'!T77</f>
        <v>10.799999999999997</v>
      </c>
      <c r="T101" s="529"/>
      <c r="U101" s="529">
        <f>+'Exhibit F'!V90+'Exhibit G'!V77</f>
        <v>2.5000000000000018</v>
      </c>
      <c r="V101" s="529"/>
      <c r="W101" s="529">
        <f>+'Exhibit F'!X90+'Exhibit G'!X77</f>
        <v>3.7999999999999954</v>
      </c>
      <c r="X101" s="529"/>
      <c r="Y101" s="529"/>
      <c r="Z101" s="529"/>
      <c r="AA101" s="530"/>
      <c r="AB101" s="1676">
        <f t="shared" si="11"/>
        <v>60.8</v>
      </c>
      <c r="AC101" s="1676"/>
      <c r="AD101" s="3481"/>
      <c r="AE101" s="1676">
        <f>+'Exhibit F'!AF90+'Exhibit G'!AG77</f>
        <v>83.9</v>
      </c>
      <c r="AF101" s="1676"/>
      <c r="AG101" s="1676"/>
      <c r="AH101" s="1676">
        <f t="shared" si="12"/>
        <v>-23.1</v>
      </c>
      <c r="AI101" s="3243"/>
      <c r="AJ101" s="1766">
        <f t="shared" si="16"/>
        <v>-0.27500000000000002</v>
      </c>
    </row>
    <row r="102" spans="1:45" ht="16.5" customHeight="1">
      <c r="A102" s="903" t="s">
        <v>1063</v>
      </c>
      <c r="B102" s="903"/>
      <c r="C102" s="529">
        <f>+'Exhibit F'!D91+'Exhibit G'!D78+'Exhibit I'!E59+'Exhibit H'!B43</f>
        <v>52.9</v>
      </c>
      <c r="D102" s="529"/>
      <c r="E102" s="529">
        <f>+'Exhibit F'!F91+'Exhibit G'!F78+'Exhibit I'!G59+'Exhibit H'!D43</f>
        <v>55.999999999999993</v>
      </c>
      <c r="F102" s="529"/>
      <c r="G102" s="529">
        <f>+'Exhibit F'!H91+'Exhibit G'!H78+'Exhibit I'!I59+'Exhibit H'!F43</f>
        <v>47.099999999999994</v>
      </c>
      <c r="H102" s="529"/>
      <c r="I102" s="529">
        <f>+'Exhibit F'!J91+'Exhibit G'!J78+'Exhibit I'!K59+'Exhibit H'!H43</f>
        <v>57.800000000000011</v>
      </c>
      <c r="J102" s="529"/>
      <c r="K102" s="529">
        <f>+'Exhibit F'!L91+'Exhibit G'!L78+'Exhibit I'!M59+'Exhibit H'!J43</f>
        <v>56.7</v>
      </c>
      <c r="L102" s="529"/>
      <c r="M102" s="529">
        <f>+'Exhibit F'!N91+'Exhibit G'!N78+'Exhibit I'!O59+'Exhibit H'!L43</f>
        <v>82.500000000000014</v>
      </c>
      <c r="N102" s="529"/>
      <c r="O102" s="529">
        <f>+'Exhibit F'!P91+'Exhibit G'!P78+'Exhibit I'!Q59+'Exhibit H'!N43</f>
        <v>60.800000000000018</v>
      </c>
      <c r="P102" s="529"/>
      <c r="Q102" s="529">
        <f>+'Exhibit F'!R91+'Exhibit G'!R78+'Exhibit I'!S59+'Exhibit H'!P43</f>
        <v>44.200000000000038</v>
      </c>
      <c r="R102" s="529"/>
      <c r="S102" s="529">
        <f>+'Exhibit F'!T91+'Exhibit G'!T78+'Exhibit I'!U59+'Exhibit H'!R43</f>
        <v>45.699999999999967</v>
      </c>
      <c r="T102" s="529"/>
      <c r="U102" s="529">
        <f>+'Exhibit F'!V91+'Exhibit G'!V78+'Exhibit I'!W59+'Exhibit H'!T43</f>
        <v>60.100000000000058</v>
      </c>
      <c r="V102" s="529"/>
      <c r="W102" s="529">
        <f>+'Exhibit F'!X91+'Exhibit G'!X78+'Exhibit I'!Y59+'Exhibit H'!V43</f>
        <v>68.899999999999977</v>
      </c>
      <c r="X102" s="529"/>
      <c r="Y102" s="529"/>
      <c r="Z102" s="529"/>
      <c r="AA102" s="530"/>
      <c r="AB102" s="1676">
        <f t="shared" si="11"/>
        <v>632.70000000000005</v>
      </c>
      <c r="AC102" s="1676"/>
      <c r="AD102" s="3481"/>
      <c r="AE102" s="1676">
        <f>+'Exhibit F'!AF91+'Exhibit G'!AG78+'Exhibit I'!AI59+'Exhibit H'!AD43</f>
        <v>510.2</v>
      </c>
      <c r="AF102" s="1676"/>
      <c r="AG102" s="1676"/>
      <c r="AH102" s="1676">
        <f t="shared" si="12"/>
        <v>122.5</v>
      </c>
      <c r="AI102" s="3243"/>
      <c r="AJ102" s="1766">
        <f t="shared" si="16"/>
        <v>0.24</v>
      </c>
    </row>
    <row r="103" spans="1:45" ht="16.5" customHeight="1">
      <c r="A103" s="903" t="s">
        <v>1064</v>
      </c>
      <c r="B103" s="903"/>
      <c r="C103" s="529">
        <f>+'Exhibit F'!D92+'Exhibit G'!D79+'Exhibit I'!E60+'Exhibit H'!B44</f>
        <v>5.1999999999999993</v>
      </c>
      <c r="D103" s="529"/>
      <c r="E103" s="529">
        <f>+'Exhibit F'!F92+'Exhibit G'!F79+'Exhibit I'!G60+'Exhibit H'!D44</f>
        <v>0.79999999999999993</v>
      </c>
      <c r="F103" s="529"/>
      <c r="G103" s="529">
        <f>+'Exhibit F'!H92+'Exhibit G'!H79+'Exhibit I'!I60+'Exhibit H'!F44</f>
        <v>1.2000000000000004</v>
      </c>
      <c r="H103" s="529"/>
      <c r="I103" s="529">
        <f>+'Exhibit F'!J92+'Exhibit G'!J79+'Exhibit I'!K60+'Exhibit H'!H44</f>
        <v>2.6999999999999997</v>
      </c>
      <c r="J103" s="529"/>
      <c r="K103" s="529">
        <f>+'Exhibit F'!L92+'Exhibit G'!L79+'Exhibit I'!M60+'Exhibit H'!J44</f>
        <v>1.6999999999999997</v>
      </c>
      <c r="L103" s="529"/>
      <c r="M103" s="529">
        <f>+'Exhibit F'!N92+'Exhibit G'!N79+'Exhibit I'!O60+'Exhibit H'!L44</f>
        <v>2.4999999999999996</v>
      </c>
      <c r="N103" s="529"/>
      <c r="O103" s="529">
        <f>+'Exhibit F'!P92+'Exhibit G'!P79+'Exhibit I'!Q60+'Exhibit H'!N44</f>
        <v>0.89999999999999947</v>
      </c>
      <c r="P103" s="529"/>
      <c r="Q103" s="529">
        <f>+'Exhibit F'!R92+'Exhibit G'!R79+'Exhibit I'!S60+'Exhibit H'!P44</f>
        <v>1.6999999999999997</v>
      </c>
      <c r="R103" s="529"/>
      <c r="S103" s="529">
        <f>+'Exhibit F'!T92+'Exhibit G'!T79+'Exhibit I'!U60+'Exhibit H'!R44</f>
        <v>1.4000000000000012</v>
      </c>
      <c r="T103" s="529"/>
      <c r="U103" s="529">
        <f>+'Exhibit F'!V92+'Exhibit G'!V79+'Exhibit I'!W60+'Exhibit H'!T44</f>
        <v>1.5</v>
      </c>
      <c r="V103" s="529"/>
      <c r="W103" s="529">
        <f>+'Exhibit F'!X92+'Exhibit G'!X79+'Exhibit I'!Y60+'Exhibit H'!V44</f>
        <v>1.4999999999999989</v>
      </c>
      <c r="X103" s="529"/>
      <c r="Y103" s="529"/>
      <c r="Z103" s="529"/>
      <c r="AA103" s="530"/>
      <c r="AB103" s="1676">
        <f t="shared" si="11"/>
        <v>21.1</v>
      </c>
      <c r="AC103" s="1676"/>
      <c r="AD103" s="3481"/>
      <c r="AE103" s="1676">
        <f>+'Exhibit F'!AF92+'Exhibit G'!AG79+'Exhibit I'!AI60+'Exhibit H'!AD44</f>
        <v>25</v>
      </c>
      <c r="AF103" s="1676"/>
      <c r="AG103" s="1676"/>
      <c r="AH103" s="1676">
        <f t="shared" si="12"/>
        <v>-3.9</v>
      </c>
      <c r="AI103" s="3243"/>
      <c r="AJ103" s="1766">
        <f t="shared" si="16"/>
        <v>-0.156</v>
      </c>
    </row>
    <row r="104" spans="1:45" ht="16.5" customHeight="1">
      <c r="A104" s="903" t="s">
        <v>1065</v>
      </c>
      <c r="B104" s="903"/>
      <c r="C104" s="529">
        <f>+'Exhibit G'!D80</f>
        <v>52</v>
      </c>
      <c r="D104" s="529"/>
      <c r="E104" s="529">
        <f>+'Exhibit G'!F80</f>
        <v>48.099999999999994</v>
      </c>
      <c r="F104" s="529"/>
      <c r="G104" s="529">
        <f>+'Exhibit G'!H80</f>
        <v>34.900000000000006</v>
      </c>
      <c r="H104" s="529"/>
      <c r="I104" s="529">
        <f>+'Exhibit G'!J80</f>
        <v>45</v>
      </c>
      <c r="J104" s="529"/>
      <c r="K104" s="529">
        <f>+'Exhibit G'!L80</f>
        <v>240</v>
      </c>
      <c r="L104" s="529"/>
      <c r="M104" s="529">
        <f>+'Exhibit G'!N80</f>
        <v>309.89999999999998</v>
      </c>
      <c r="N104" s="529"/>
      <c r="O104" s="529">
        <f>+'Exhibit G'!P80</f>
        <v>137.5</v>
      </c>
      <c r="P104" s="529"/>
      <c r="Q104" s="529">
        <f>+'Exhibit G'!R80</f>
        <v>37.5</v>
      </c>
      <c r="R104" s="529"/>
      <c r="S104" s="529">
        <f>+'Exhibit G'!T80</f>
        <v>14.100000000000023</v>
      </c>
      <c r="T104" s="529"/>
      <c r="U104" s="529">
        <f>+'Exhibit G'!V80</f>
        <v>261.79999999999995</v>
      </c>
      <c r="V104" s="529"/>
      <c r="W104" s="529">
        <f>+'Exhibit G'!X80</f>
        <v>352.60000000000014</v>
      </c>
      <c r="X104" s="529"/>
      <c r="Y104" s="529"/>
      <c r="Z104" s="529"/>
      <c r="AA104" s="530"/>
      <c r="AB104" s="1676">
        <f t="shared" si="11"/>
        <v>1533.4</v>
      </c>
      <c r="AC104" s="1676"/>
      <c r="AD104" s="3481"/>
      <c r="AE104" s="1676">
        <f>+'Exhibit G'!AG80</f>
        <v>1691.8</v>
      </c>
      <c r="AF104" s="1676"/>
      <c r="AG104" s="1676"/>
      <c r="AH104" s="1676">
        <f t="shared" si="12"/>
        <v>-158.4</v>
      </c>
      <c r="AI104" s="3243"/>
      <c r="AJ104" s="1766">
        <f>ROUND(IF(AE104=0,0,AH104/ABS(AE104)),3)</f>
        <v>-9.4E-2</v>
      </c>
    </row>
    <row r="105" spans="1:45" s="435" customFormat="1" ht="16.5" customHeight="1">
      <c r="A105" s="312" t="s">
        <v>1099</v>
      </c>
      <c r="B105" s="209"/>
      <c r="C105" s="258">
        <f>ROUND(SUM(C64:C104),1)</f>
        <v>2659.7</v>
      </c>
      <c r="D105" s="1081"/>
      <c r="E105" s="258">
        <f>ROUND(SUM(E64:E104),1)</f>
        <v>1871.3</v>
      </c>
      <c r="F105" s="1081"/>
      <c r="G105" s="258">
        <f>ROUND(SUM(G64:G104),1)</f>
        <v>1971.5</v>
      </c>
      <c r="H105" s="933"/>
      <c r="I105" s="258">
        <f>ROUND(SUM(I64:I104),1)</f>
        <v>1968.6</v>
      </c>
      <c r="J105" s="933"/>
      <c r="K105" s="258">
        <f>ROUND(SUM(K64:K104),1)</f>
        <v>1834.4</v>
      </c>
      <c r="L105" s="933"/>
      <c r="M105" s="258">
        <f>ROUND(SUM(M64:M104),1)</f>
        <v>2761.9</v>
      </c>
      <c r="N105" s="933"/>
      <c r="O105" s="2102">
        <f>ROUND(SUM(O64:O104),1)</f>
        <v>3594.3</v>
      </c>
      <c r="P105" s="933"/>
      <c r="Q105" s="2102">
        <f>ROUND(SUM(Q64:Q104),1)</f>
        <v>1737.3</v>
      </c>
      <c r="R105" s="933"/>
      <c r="S105" s="258">
        <f>ROUND(SUM(S64:S104),1)</f>
        <v>2145.4</v>
      </c>
      <c r="T105" s="933"/>
      <c r="U105" s="258">
        <f>ROUND(SUM(U64:U104),1)</f>
        <v>2945.7</v>
      </c>
      <c r="V105" s="933"/>
      <c r="W105" s="258">
        <f>ROUND(SUM(W64:W104),1)</f>
        <v>2205.6999999999998</v>
      </c>
      <c r="X105" s="207"/>
      <c r="Y105" s="258">
        <f>ROUND(SUM(Y64:Y104),1)</f>
        <v>0</v>
      </c>
      <c r="Z105" s="207"/>
      <c r="AA105" s="259"/>
      <c r="AB105" s="1574">
        <f>ROUND(SUM(AB64:AB104),1)</f>
        <v>25695.8</v>
      </c>
      <c r="AC105" s="112"/>
      <c r="AD105" s="688"/>
      <c r="AE105" s="1574">
        <f>ROUND(SUM(AE64:AE104),1)</f>
        <v>27673.4</v>
      </c>
      <c r="AF105" s="115"/>
      <c r="AG105" s="3483"/>
      <c r="AH105" s="1574">
        <f>ROUND(SUM(AH64:AH104),1)</f>
        <v>-1977.6</v>
      </c>
      <c r="AI105" s="115"/>
      <c r="AJ105" s="3478">
        <f>ROUND(IF(AE105=0,0,AH105/ABS(AE105)),3)</f>
        <v>-7.0999999999999994E-2</v>
      </c>
      <c r="AK105" s="3470"/>
    </row>
    <row r="106" spans="1:45" s="435" customFormat="1" ht="16.5" customHeight="1">
      <c r="A106" s="521"/>
      <c r="B106" s="521"/>
      <c r="C106" s="534"/>
      <c r="D106" s="534"/>
      <c r="E106" s="534"/>
      <c r="F106" s="534"/>
      <c r="G106" s="534"/>
      <c r="H106" s="534"/>
      <c r="I106" s="534"/>
      <c r="J106" s="534"/>
      <c r="K106" s="534"/>
      <c r="L106" s="534"/>
      <c r="M106" s="534"/>
      <c r="N106" s="534"/>
      <c r="O106" s="534"/>
      <c r="P106" s="534"/>
      <c r="Q106" s="3251"/>
      <c r="R106" s="534"/>
      <c r="S106" s="534"/>
      <c r="T106" s="534"/>
      <c r="U106" s="534"/>
      <c r="V106" s="534"/>
      <c r="W106" s="534"/>
      <c r="X106" s="534"/>
      <c r="Y106" s="534"/>
      <c r="Z106" s="534"/>
      <c r="AA106" s="535"/>
      <c r="AB106" s="3251"/>
      <c r="AC106" s="3252"/>
      <c r="AD106" s="3484"/>
      <c r="AE106" s="3251"/>
      <c r="AF106" s="3252"/>
      <c r="AG106" s="3251"/>
      <c r="AH106" s="3251"/>
      <c r="AI106" s="3244"/>
      <c r="AJ106" s="3469"/>
      <c r="AK106" s="3470"/>
    </row>
    <row r="107" spans="1:45" ht="16.5" customHeight="1">
      <c r="A107" s="225" t="s">
        <v>21</v>
      </c>
      <c r="B107" s="225"/>
      <c r="C107" s="532">
        <f>+'Exhibit F'!D95+'Exhibit G'!D83+'Exhibit H'!B47+'Exhibit I'!E63</f>
        <v>6242</v>
      </c>
      <c r="D107" s="529"/>
      <c r="E107" s="532">
        <f>+'Exhibit F'!F95+'Exhibit G'!F83+'Exhibit H'!D47+'Exhibit I'!G63</f>
        <v>4959.2</v>
      </c>
      <c r="F107" s="529"/>
      <c r="G107" s="532">
        <f>+'Exhibit F'!H95+'Exhibit G'!H83+'Exhibit H'!F47+'Exhibit I'!I63</f>
        <v>5803.7999999999993</v>
      </c>
      <c r="H107" s="529"/>
      <c r="I107" s="532">
        <f>+'Exhibit F'!J95+'Exhibit G'!J83+'Exhibit H'!H47+'Exhibit I'!K63</f>
        <v>3275.4000000000005</v>
      </c>
      <c r="J107" s="529"/>
      <c r="K107" s="532">
        <f>+'Exhibit F'!L95+'Exhibit G'!L83+'Exhibit H'!J47+'Exhibit I'!M63</f>
        <v>6082.2999999999984</v>
      </c>
      <c r="L107" s="529"/>
      <c r="M107" s="532">
        <f>+'Exhibit F'!N95+'Exhibit G'!N83+'Exhibit H'!L47+'Exhibit I'!O63</f>
        <v>5663.8000000000029</v>
      </c>
      <c r="N107" s="529"/>
      <c r="O107" s="532">
        <f>+'Exhibit F'!P95+'Exhibit G'!P83+'Exhibit H'!N47+'Exhibit I'!Q63</f>
        <v>5708.8000000000011</v>
      </c>
      <c r="P107" s="529"/>
      <c r="Q107" s="532">
        <f>+'Exhibit F'!R95+'Exhibit G'!R83+'Exhibit H'!P47+'Exhibit I'!S63</f>
        <v>5394.3000000000011</v>
      </c>
      <c r="R107" s="529"/>
      <c r="S107" s="532">
        <f>+'Exhibit F'!T95+'Exhibit G'!T83+'Exhibit H'!R47+'Exhibit I'!U63</f>
        <v>6605.8000000000011</v>
      </c>
      <c r="T107" s="529"/>
      <c r="U107" s="532">
        <f>+'Exhibit F'!V95+'Exhibit G'!V83+'Exhibit H'!T47+'Exhibit I'!W63</f>
        <v>5728.7999999999993</v>
      </c>
      <c r="V107" s="529"/>
      <c r="W107" s="532">
        <f>+'Exhibit F'!X95+'Exhibit G'!X83+'Exhibit H'!V47+'Exhibit I'!Y63</f>
        <v>5138.8900000000012</v>
      </c>
      <c r="X107" s="529"/>
      <c r="Y107" s="532"/>
      <c r="Z107" s="529"/>
      <c r="AA107" s="530"/>
      <c r="AB107" s="3253">
        <f>ROUND(SUM(C107:Y107),1)</f>
        <v>60603.1</v>
      </c>
      <c r="AC107" s="1676"/>
      <c r="AD107" s="3481"/>
      <c r="AE107" s="3485">
        <f>+'Exhibit F'!AF95+'Exhibit G'!AG83+'Exhibit H'!AD47+'Exhibit I'!AI63</f>
        <v>56661.899999999994</v>
      </c>
      <c r="AF107" s="2218"/>
      <c r="AG107" s="1676"/>
      <c r="AH107" s="3253">
        <f>ROUND(SUM(AB107-AE107),1)</f>
        <v>3941.2</v>
      </c>
      <c r="AI107" s="3243"/>
      <c r="AJ107" s="3486">
        <f>ROUND(IF(AE107=0,0,AH107/ABS(AE107)),3)</f>
        <v>7.0000000000000007E-2</v>
      </c>
    </row>
    <row r="108" spans="1:45" ht="16.5" customHeight="1">
      <c r="A108" s="225"/>
      <c r="B108" s="225"/>
      <c r="C108" s="529"/>
      <c r="D108" s="529"/>
      <c r="E108" s="529"/>
      <c r="F108" s="529"/>
      <c r="G108" s="529"/>
      <c r="H108" s="529"/>
      <c r="I108" s="529"/>
      <c r="J108" s="529"/>
      <c r="K108" s="529"/>
      <c r="L108" s="529"/>
      <c r="M108" s="529"/>
      <c r="N108" s="529"/>
      <c r="O108" s="529"/>
      <c r="P108" s="529"/>
      <c r="Q108" s="1676"/>
      <c r="R108" s="529"/>
      <c r="S108" s="529"/>
      <c r="T108" s="529"/>
      <c r="U108" s="529"/>
      <c r="V108" s="529"/>
      <c r="W108" s="529"/>
      <c r="X108" s="529"/>
      <c r="Y108" s="529"/>
      <c r="Z108" s="529"/>
      <c r="AA108" s="530"/>
      <c r="AB108" s="1676"/>
      <c r="AC108" s="1676"/>
      <c r="AD108" s="3481"/>
      <c r="AE108" s="1676"/>
      <c r="AF108" s="2218"/>
      <c r="AG108" s="1676"/>
      <c r="AH108" s="1676"/>
      <c r="AI108" s="3243"/>
      <c r="AJ108" s="3487"/>
    </row>
    <row r="109" spans="1:45" ht="16.5" customHeight="1">
      <c r="A109" s="29" t="s">
        <v>151</v>
      </c>
      <c r="B109" s="30"/>
      <c r="C109" s="839">
        <f>ROUND(SUM(C107+C105+C60),1)</f>
        <v>20463.099999999999</v>
      </c>
      <c r="D109" s="933"/>
      <c r="E109" s="839">
        <f>ROUND(SUM(E107+E105+E60),1)</f>
        <v>10716</v>
      </c>
      <c r="F109" s="933"/>
      <c r="G109" s="839">
        <f>ROUND(SUM(G107+G105+G60),1)</f>
        <v>16419.8</v>
      </c>
      <c r="H109" s="933"/>
      <c r="I109" s="839">
        <f>ROUND(SUM(I107+I105+I60),1)</f>
        <v>10554.7</v>
      </c>
      <c r="J109" s="933"/>
      <c r="K109" s="839">
        <f>ROUND(SUM(K107+K105+K60),1)</f>
        <v>12478.1</v>
      </c>
      <c r="L109" s="933"/>
      <c r="M109" s="839">
        <f>ROUND(SUM(M107+M105+M60),1)</f>
        <v>16863.900000000001</v>
      </c>
      <c r="N109" s="933"/>
      <c r="O109" s="1121">
        <f>ROUND(SUM(O107+O105+O60),1)</f>
        <v>13744.8</v>
      </c>
      <c r="P109" s="933"/>
      <c r="Q109" s="1121">
        <f>ROUND(SUM(Q107+Q105+Q60),1)</f>
        <v>11386.8</v>
      </c>
      <c r="R109" s="933"/>
      <c r="S109" s="839">
        <f>ROUND(SUM(S107+S105+S60),1)</f>
        <v>16767.2</v>
      </c>
      <c r="T109" s="933"/>
      <c r="U109" s="839">
        <f>ROUND(SUM(U107+U105+U60),1)</f>
        <v>19561.400000000001</v>
      </c>
      <c r="V109" s="933"/>
      <c r="W109" s="839">
        <f>ROUND(SUM(W107+W105+W60),1)</f>
        <v>12522.4</v>
      </c>
      <c r="X109" s="207"/>
      <c r="Y109" s="839">
        <f>ROUND(SUM(Y107+Y105+Y60),1)</f>
        <v>0</v>
      </c>
      <c r="Z109" s="253"/>
      <c r="AA109" s="254"/>
      <c r="AB109" s="1121">
        <f>ROUND(SUM(AB107+AB105+AB60),1)</f>
        <v>161478.20000000001</v>
      </c>
      <c r="AC109" s="112"/>
      <c r="AD109" s="688"/>
      <c r="AE109" s="1121">
        <f>ROUND(SUM(AE107+AE105+AE60),1)</f>
        <v>152656</v>
      </c>
      <c r="AF109" s="115"/>
      <c r="AG109" s="3483"/>
      <c r="AH109" s="1121">
        <f>ROUND(SUM(AH107+AH105+AH60),1)</f>
        <v>8822.2000000000007</v>
      </c>
      <c r="AI109" s="115"/>
      <c r="AJ109" s="3480">
        <f>ROUND(IF(AE109=0,0,AH109/ABS(AE109)),3)</f>
        <v>5.8000000000000003E-2</v>
      </c>
      <c r="AK109" s="3470"/>
      <c r="AL109" s="435"/>
      <c r="AM109" s="435"/>
      <c r="AN109" s="435"/>
      <c r="AO109" s="435"/>
      <c r="AP109" s="435"/>
      <c r="AQ109" s="435"/>
      <c r="AR109" s="435"/>
      <c r="AS109" s="435"/>
    </row>
    <row r="110" spans="1:45" ht="16.5" customHeight="1">
      <c r="A110" s="207"/>
      <c r="B110" s="225"/>
      <c r="C110" s="536"/>
      <c r="D110" s="529"/>
      <c r="E110" s="536"/>
      <c r="F110" s="529"/>
      <c r="G110" s="536"/>
      <c r="H110" s="529"/>
      <c r="I110" s="536"/>
      <c r="J110" s="529"/>
      <c r="K110" s="536"/>
      <c r="L110" s="529"/>
      <c r="M110" s="536"/>
      <c r="N110" s="529"/>
      <c r="O110" s="536"/>
      <c r="P110" s="529"/>
      <c r="Q110" s="3254"/>
      <c r="R110" s="529"/>
      <c r="S110" s="536"/>
      <c r="T110" s="529"/>
      <c r="U110" s="536"/>
      <c r="V110" s="529"/>
      <c r="W110" s="536"/>
      <c r="X110" s="529"/>
      <c r="Y110" s="536"/>
      <c r="Z110" s="529"/>
      <c r="AA110" s="530"/>
      <c r="AB110" s="3254"/>
      <c r="AC110" s="1676"/>
      <c r="AD110" s="3481"/>
      <c r="AE110" s="3254"/>
      <c r="AF110" s="1676"/>
      <c r="AG110" s="1676"/>
      <c r="AH110" s="906"/>
      <c r="AI110" s="3243"/>
      <c r="AJ110" s="902"/>
    </row>
    <row r="111" spans="1:45" ht="16.5" customHeight="1">
      <c r="A111" s="207" t="s">
        <v>23</v>
      </c>
      <c r="B111" s="225"/>
      <c r="C111" s="537"/>
      <c r="D111" s="529"/>
      <c r="E111" s="537"/>
      <c r="F111" s="529"/>
      <c r="G111" s="537"/>
      <c r="H111" s="529"/>
      <c r="I111" s="537"/>
      <c r="J111" s="529"/>
      <c r="K111" s="537"/>
      <c r="L111" s="529"/>
      <c r="M111" s="537"/>
      <c r="N111" s="529"/>
      <c r="O111" s="537"/>
      <c r="P111" s="529"/>
      <c r="Q111" s="2218"/>
      <c r="R111" s="529"/>
      <c r="S111" s="537"/>
      <c r="T111" s="529"/>
      <c r="U111" s="537"/>
      <c r="V111" s="529"/>
      <c r="W111" s="537"/>
      <c r="X111" s="529"/>
      <c r="Y111" s="537"/>
      <c r="Z111" s="529"/>
      <c r="AA111" s="530"/>
      <c r="AB111" s="2218"/>
      <c r="AC111" s="1676"/>
      <c r="AD111" s="3481"/>
      <c r="AE111" s="2218"/>
      <c r="AF111" s="1676"/>
      <c r="AG111" s="1676"/>
      <c r="AH111" s="906"/>
      <c r="AI111" s="3243"/>
      <c r="AJ111" s="902"/>
    </row>
    <row r="112" spans="1:45" ht="16.5" customHeight="1">
      <c r="A112" s="225" t="s">
        <v>138</v>
      </c>
      <c r="B112" s="225"/>
      <c r="C112" s="529"/>
      <c r="D112" s="529"/>
      <c r="E112" s="529"/>
      <c r="F112" s="529"/>
      <c r="G112" s="529"/>
      <c r="H112" s="529"/>
      <c r="I112" s="529"/>
      <c r="J112" s="529"/>
      <c r="K112" s="529"/>
      <c r="L112" s="529"/>
      <c r="M112" s="529"/>
      <c r="N112" s="529"/>
      <c r="O112" s="529"/>
      <c r="P112" s="529"/>
      <c r="Q112" s="1676"/>
      <c r="R112" s="529"/>
      <c r="S112" s="529"/>
      <c r="T112" s="529"/>
      <c r="U112" s="529"/>
      <c r="V112" s="529"/>
      <c r="W112" s="529"/>
      <c r="X112" s="529"/>
      <c r="Y112" s="529"/>
      <c r="Z112" s="529"/>
      <c r="AA112" s="530"/>
      <c r="AB112" s="1676"/>
      <c r="AC112" s="1676"/>
      <c r="AD112" s="3481"/>
      <c r="AE112" s="118"/>
      <c r="AF112" s="1676"/>
      <c r="AG112" s="1676"/>
      <c r="AH112" s="1676"/>
      <c r="AI112" s="3243"/>
      <c r="AJ112" s="3482"/>
    </row>
    <row r="113" spans="1:38" ht="16.5" customHeight="1">
      <c r="A113" s="256" t="s">
        <v>25</v>
      </c>
      <c r="B113" s="225"/>
      <c r="C113" s="529">
        <f>+'Exhibit F'!D101+'Exhibit G'!D89+'Exhibit I'!E69</f>
        <v>1263.9000000000001</v>
      </c>
      <c r="D113" s="529"/>
      <c r="E113" s="529">
        <f>+'Exhibit F'!F101+'Exhibit G'!F89+'Exhibit I'!G69</f>
        <v>4574</v>
      </c>
      <c r="F113" s="529"/>
      <c r="G113" s="529">
        <f>+'Exhibit F'!H101+'Exhibit G'!H89+'Exhibit I'!I69</f>
        <v>2811.5000000000005</v>
      </c>
      <c r="H113" s="529"/>
      <c r="I113" s="529">
        <f>+'Exhibit F'!J101+'Exhibit G'!J89+'Exhibit I'!K69</f>
        <v>1910.1999999999996</v>
      </c>
      <c r="J113" s="529"/>
      <c r="K113" s="529">
        <f>+'Exhibit F'!L101+'Exhibit G'!L89+'Exhibit I'!M69</f>
        <v>925.10000000000127</v>
      </c>
      <c r="L113" s="529"/>
      <c r="M113" s="529">
        <f>+'Exhibit F'!N101+'Exhibit G'!N89+'Exhibit I'!O69</f>
        <v>5084.0999999999995</v>
      </c>
      <c r="N113" s="529"/>
      <c r="O113" s="529">
        <f>+'Exhibit F'!P101+'Exhibit G'!P89+'Exhibit I'!Q69</f>
        <v>1451.2999999999997</v>
      </c>
      <c r="P113" s="529"/>
      <c r="Q113" s="529">
        <f>+'Exhibit F'!R101+'Exhibit G'!R89+'Exhibit I'!S69</f>
        <v>2138.1999999999985</v>
      </c>
      <c r="R113" s="529"/>
      <c r="S113" s="529">
        <f>+'Exhibit F'!T101+'Exhibit G'!T89+'Exhibit I'!U69</f>
        <v>2784.8000000000029</v>
      </c>
      <c r="T113" s="529"/>
      <c r="U113" s="529">
        <f>+'Exhibit F'!V101+'Exhibit G'!V89+'Exhibit I'!W69</f>
        <v>3365.799999999997</v>
      </c>
      <c r="V113" s="529"/>
      <c r="W113" s="529">
        <f>+'Exhibit F'!X101+'Exhibit G'!X89+'Exhibit I'!Y69</f>
        <v>1244.900000000001</v>
      </c>
      <c r="X113" s="529"/>
      <c r="Y113" s="529"/>
      <c r="Z113" s="529"/>
      <c r="AA113" s="530"/>
      <c r="AB113" s="118">
        <f>ROUND(SUM(C113:Y113),1)</f>
        <v>27553.8</v>
      </c>
      <c r="AC113" s="1676"/>
      <c r="AD113" s="3481"/>
      <c r="AE113" s="118">
        <f>+'Exhibit F'!AF101+'Exhibit G'!AG89+'Exhibit I'!AI69</f>
        <v>27243.3</v>
      </c>
      <c r="AF113" s="1676"/>
      <c r="AG113" s="1676"/>
      <c r="AH113" s="1676">
        <f>ROUND(SUM(AB113-AE113),1)</f>
        <v>310.5</v>
      </c>
      <c r="AI113" s="3243"/>
      <c r="AJ113" s="1766">
        <f>ROUND(IF(AE113=0,0,AH113/ABS(AE113)),3)</f>
        <v>1.0999999999999999E-2</v>
      </c>
    </row>
    <row r="114" spans="1:38" ht="16.5" customHeight="1">
      <c r="A114" s="256" t="s">
        <v>26</v>
      </c>
      <c r="B114" s="225"/>
      <c r="C114" s="529">
        <f>+'Exhibit F'!D102+'Exhibit G'!D90+'Exhibit I'!E70</f>
        <v>25.400000000000002</v>
      </c>
      <c r="D114" s="529"/>
      <c r="E114" s="529">
        <f>+'Exhibit F'!F102+'Exhibit G'!F90+'Exhibit I'!G70</f>
        <v>33.700000000000003</v>
      </c>
      <c r="F114" s="529"/>
      <c r="G114" s="529">
        <f>+'Exhibit F'!H102+'Exhibit G'!H90+'Exhibit I'!I70</f>
        <v>2.7000000000000015</v>
      </c>
      <c r="H114" s="529"/>
      <c r="I114" s="529">
        <f>+'Exhibit F'!J102+'Exhibit G'!J90+'Exhibit I'!K70</f>
        <v>14.9</v>
      </c>
      <c r="J114" s="529"/>
      <c r="K114" s="529">
        <f>+'Exhibit F'!L102+'Exhibit G'!L90+'Exhibit I'!M70</f>
        <v>14.399999999999993</v>
      </c>
      <c r="L114" s="529"/>
      <c r="M114" s="529">
        <f>+'Exhibit F'!N102+'Exhibit G'!N90+'Exhibit I'!O70</f>
        <v>18.899999999999995</v>
      </c>
      <c r="N114" s="529"/>
      <c r="O114" s="529">
        <f>+'Exhibit F'!P102+'Exhibit G'!P90+'Exhibit I'!Q70</f>
        <v>15.60000000000001</v>
      </c>
      <c r="P114" s="529"/>
      <c r="Q114" s="529">
        <f>+'Exhibit F'!R102+'Exhibit G'!R90+'Exhibit I'!S70</f>
        <v>12.200000000000014</v>
      </c>
      <c r="R114" s="529"/>
      <c r="S114" s="529">
        <f>+'Exhibit F'!T102+'Exhibit G'!T90+'Exhibit I'!U70</f>
        <v>14.200000000000012</v>
      </c>
      <c r="T114" s="529"/>
      <c r="U114" s="529">
        <f>+'Exhibit F'!V102+'Exhibit G'!V90+'Exhibit I'!W70</f>
        <v>233.29999999999998</v>
      </c>
      <c r="V114" s="529"/>
      <c r="W114" s="529">
        <f>+'Exhibit F'!X102+'Exhibit G'!X90+'Exhibit I'!Y70</f>
        <v>15.799999999999983</v>
      </c>
      <c r="X114" s="529"/>
      <c r="Y114" s="529"/>
      <c r="Z114" s="529"/>
      <c r="AA114" s="530"/>
      <c r="AB114" s="118">
        <f t="shared" ref="AB114:AB121" si="17">ROUND(SUM(C114:Y114),1)</f>
        <v>401.1</v>
      </c>
      <c r="AC114" s="1676"/>
      <c r="AD114" s="3481"/>
      <c r="AE114" s="118">
        <f>+'Exhibit F'!AF102+'Exhibit G'!AG90+'Exhibit I'!AI70</f>
        <v>391.3</v>
      </c>
      <c r="AF114" s="1676"/>
      <c r="AG114" s="1676"/>
      <c r="AH114" s="1676">
        <f t="shared" ref="AH114:AH121" si="18">ROUND(SUM(AB114-AE114),1)</f>
        <v>9.8000000000000007</v>
      </c>
      <c r="AI114" s="3243"/>
      <c r="AJ114" s="1766">
        <f>ROUND(IF(AE114=0,0,AH114/ABS(AE114)),3)</f>
        <v>2.5000000000000001E-2</v>
      </c>
    </row>
    <row r="115" spans="1:38" ht="16.5" customHeight="1">
      <c r="A115" s="256" t="s">
        <v>27</v>
      </c>
      <c r="B115" s="225"/>
      <c r="C115" s="529">
        <f>+'Exhibit F'!D103+'Exhibit G'!D91+'Exhibit I'!E71</f>
        <v>60.3</v>
      </c>
      <c r="D115" s="529"/>
      <c r="E115" s="529">
        <f>+'Exhibit F'!F103+'Exhibit G'!F91+'Exhibit I'!G71</f>
        <v>159.69999999999999</v>
      </c>
      <c r="F115" s="529"/>
      <c r="G115" s="529">
        <f>+'Exhibit F'!H103+'Exhibit G'!H91+'Exhibit I'!I71</f>
        <v>734.39999999999986</v>
      </c>
      <c r="H115" s="529"/>
      <c r="I115" s="529">
        <f>+'Exhibit F'!J103+'Exhibit G'!J91+'Exhibit I'!K71</f>
        <v>63.000000000000021</v>
      </c>
      <c r="J115" s="529"/>
      <c r="K115" s="529">
        <f>+'Exhibit F'!L103+'Exhibit G'!L91+'Exhibit I'!M71</f>
        <v>87.500000000000014</v>
      </c>
      <c r="L115" s="529"/>
      <c r="M115" s="529">
        <f>+'Exhibit F'!N103+'Exhibit G'!N91+'Exhibit I'!O71</f>
        <v>132.39999999999998</v>
      </c>
      <c r="N115" s="529"/>
      <c r="O115" s="529">
        <f>+'Exhibit F'!P103+'Exhibit G'!P91+'Exhibit I'!Q71</f>
        <v>163.69999999999999</v>
      </c>
      <c r="P115" s="529"/>
      <c r="Q115" s="529">
        <f>+'Exhibit F'!R103+'Exhibit G'!R91+'Exhibit I'!S71</f>
        <v>72.099999999999909</v>
      </c>
      <c r="R115" s="529"/>
      <c r="S115" s="529">
        <f>+'Exhibit F'!T103+'Exhibit G'!T91+'Exhibit I'!U71</f>
        <v>384.80000000000013</v>
      </c>
      <c r="T115" s="529"/>
      <c r="U115" s="529">
        <f>+'Exhibit F'!V103+'Exhibit G'!V91+'Exhibit I'!W71</f>
        <v>87.9</v>
      </c>
      <c r="V115" s="529"/>
      <c r="W115" s="529">
        <f>+'Exhibit F'!X103+'Exhibit G'!X91+'Exhibit I'!Y71</f>
        <v>81.199999999999989</v>
      </c>
      <c r="X115" s="529"/>
      <c r="Y115" s="529"/>
      <c r="Z115" s="529"/>
      <c r="AA115" s="530"/>
      <c r="AB115" s="118">
        <f t="shared" si="17"/>
        <v>2027</v>
      </c>
      <c r="AC115" s="1676"/>
      <c r="AD115" s="3481"/>
      <c r="AE115" s="118">
        <f>+'Exhibit F'!AF103+'Exhibit G'!AG91+'Exhibit I'!AI71</f>
        <v>1990.8999999999999</v>
      </c>
      <c r="AF115" s="1676"/>
      <c r="AG115" s="1676"/>
      <c r="AH115" s="1676">
        <f t="shared" si="18"/>
        <v>36.1</v>
      </c>
      <c r="AI115" s="3243"/>
      <c r="AJ115" s="1766">
        <f>ROUND(IF(AE115=0,0,AH115/ABS(AE115)),3)</f>
        <v>1.7999999999999999E-2</v>
      </c>
    </row>
    <row r="116" spans="1:38" ht="16.5" customHeight="1">
      <c r="A116" s="256" t="s">
        <v>28</v>
      </c>
      <c r="B116" s="225"/>
      <c r="C116" s="529"/>
      <c r="D116" s="529"/>
      <c r="E116" s="529"/>
      <c r="F116" s="529"/>
      <c r="G116" s="529"/>
      <c r="H116" s="529"/>
      <c r="I116" s="529"/>
      <c r="J116" s="529"/>
      <c r="K116" s="529"/>
      <c r="L116" s="529"/>
      <c r="M116" s="529"/>
      <c r="N116" s="529"/>
      <c r="O116" s="529"/>
      <c r="P116" s="529"/>
      <c r="Q116" s="529"/>
      <c r="R116" s="529"/>
      <c r="S116" s="529"/>
      <c r="T116" s="529"/>
      <c r="U116" s="529"/>
      <c r="V116" s="529"/>
      <c r="W116" s="529"/>
      <c r="X116" s="529"/>
      <c r="Y116" s="529"/>
      <c r="Z116" s="529"/>
      <c r="AA116" s="530"/>
      <c r="AB116" s="118"/>
      <c r="AC116" s="1676"/>
      <c r="AD116" s="3481"/>
      <c r="AE116" s="362"/>
      <c r="AF116" s="1676"/>
      <c r="AG116" s="1676"/>
      <c r="AH116" s="1676" t="s">
        <v>15</v>
      </c>
      <c r="AI116" s="3243"/>
      <c r="AJ116" s="3482"/>
    </row>
    <row r="117" spans="1:38" ht="16.5" customHeight="1">
      <c r="A117" s="257" t="s">
        <v>29</v>
      </c>
      <c r="B117" s="225"/>
      <c r="C117" s="529">
        <f>+'Exhibit F'!D105+'Exhibit G'!D93+'Exhibit I'!E73</f>
        <v>6412</v>
      </c>
      <c r="D117" s="529"/>
      <c r="E117" s="529">
        <f>+'Exhibit F'!F105+'Exhibit G'!F93+'Exhibit I'!G73</f>
        <v>6151.6999999999989</v>
      </c>
      <c r="F117" s="529"/>
      <c r="G117" s="529">
        <f>+'Exhibit F'!H105+'Exhibit G'!H93+'Exhibit I'!I73</f>
        <v>4857.8999999999996</v>
      </c>
      <c r="H117" s="529"/>
      <c r="I117" s="529">
        <f>+'Exhibit F'!J105+'Exhibit G'!J93+'Exhibit I'!K73</f>
        <v>4905.7000000000007</v>
      </c>
      <c r="J117" s="529"/>
      <c r="K117" s="529">
        <f>+'Exhibit F'!L105+'Exhibit G'!L93+'Exhibit I'!M73</f>
        <v>5506.4999999999964</v>
      </c>
      <c r="L117" s="529"/>
      <c r="M117" s="529">
        <f>+'Exhibit F'!N105+'Exhibit G'!N93+'Exhibit I'!O73</f>
        <v>5060.4999999999982</v>
      </c>
      <c r="N117" s="529"/>
      <c r="O117" s="529">
        <f>+'Exhibit F'!P105+'Exhibit G'!P93+'Exhibit I'!Q73</f>
        <v>5679.8000000000029</v>
      </c>
      <c r="P117" s="529"/>
      <c r="Q117" s="529">
        <f>+'Exhibit F'!R105+'Exhibit G'!R93+'Exhibit I'!S73</f>
        <v>5947.0999999999995</v>
      </c>
      <c r="R117" s="529"/>
      <c r="S117" s="529">
        <f>+'Exhibit F'!T105+'Exhibit G'!T93+'Exhibit I'!U73</f>
        <v>4996.3000000000011</v>
      </c>
      <c r="T117" s="529"/>
      <c r="U117" s="529">
        <f>+'Exhibit F'!V105+'Exhibit G'!V93+'Exhibit I'!W73</f>
        <v>6153.3999999999978</v>
      </c>
      <c r="V117" s="529"/>
      <c r="W117" s="529">
        <f>+'Exhibit F'!X105+'Exhibit G'!X93+'Exhibit I'!Y73</f>
        <v>5117.900000000006</v>
      </c>
      <c r="X117" s="529"/>
      <c r="Y117" s="529"/>
      <c r="Z117" s="529"/>
      <c r="AA117" s="530"/>
      <c r="AB117" s="118">
        <f t="shared" si="17"/>
        <v>60788.800000000003</v>
      </c>
      <c r="AC117" s="1676"/>
      <c r="AD117" s="3481"/>
      <c r="AE117" s="118">
        <f>+'Exhibit F'!AF105+'Exhibit G'!AG93+'Exhibit I'!AI73</f>
        <v>57107.600000000006</v>
      </c>
      <c r="AF117" s="1676"/>
      <c r="AG117" s="1676"/>
      <c r="AH117" s="1676">
        <f t="shared" si="18"/>
        <v>3681.2</v>
      </c>
      <c r="AI117" s="3243"/>
      <c r="AJ117" s="1766">
        <f t="shared" ref="AJ117:AJ123" si="19">ROUND(IF(AE117=0,0,AH117/ABS(AE117)),3)</f>
        <v>6.4000000000000001E-2</v>
      </c>
      <c r="AK117" s="3488"/>
    </row>
    <row r="118" spans="1:38" ht="16.5" customHeight="1">
      <c r="A118" s="256" t="s">
        <v>30</v>
      </c>
      <c r="B118" s="225"/>
      <c r="C118" s="529">
        <f>+'Exhibit F'!D106+'Exhibit G'!D94+'Exhibit I'!E74</f>
        <v>724.4</v>
      </c>
      <c r="D118" s="529"/>
      <c r="E118" s="529">
        <f>+'Exhibit F'!F106+'Exhibit G'!F94+'Exhibit I'!G74</f>
        <v>682.4</v>
      </c>
      <c r="F118" s="529"/>
      <c r="G118" s="529">
        <f>+'Exhibit F'!H106+'Exhibit G'!H94+'Exhibit I'!I74</f>
        <v>1162.1000000000001</v>
      </c>
      <c r="H118" s="529"/>
      <c r="I118" s="529">
        <f>+'Exhibit F'!J106+'Exhibit G'!J94+'Exhibit I'!K74</f>
        <v>802.30000000000007</v>
      </c>
      <c r="J118" s="529"/>
      <c r="K118" s="529">
        <f>+'Exhibit F'!L106+'Exhibit G'!L94+'Exhibit I'!M74</f>
        <v>782.39999999999986</v>
      </c>
      <c r="L118" s="529"/>
      <c r="M118" s="529">
        <f>+'Exhibit F'!N106+'Exhibit G'!N94+'Exhibit I'!O74</f>
        <v>954.19999999999936</v>
      </c>
      <c r="N118" s="529"/>
      <c r="O118" s="529">
        <f>+'Exhibit F'!P106+'Exhibit G'!P94+'Exhibit I'!Q74</f>
        <v>803.00000000000034</v>
      </c>
      <c r="P118" s="529"/>
      <c r="Q118" s="529">
        <f>+'Exhibit F'!R106+'Exhibit G'!R94+'Exhibit I'!S74</f>
        <v>591.19999999999959</v>
      </c>
      <c r="R118" s="529"/>
      <c r="S118" s="529">
        <f>+'Exhibit F'!T106+'Exhibit G'!T94+'Exhibit I'!U74</f>
        <v>1049</v>
      </c>
      <c r="T118" s="529"/>
      <c r="U118" s="529">
        <f>+'Exhibit F'!V106+'Exhibit G'!V94+'Exhibit I'!W74</f>
        <v>825.60000000000059</v>
      </c>
      <c r="V118" s="529"/>
      <c r="W118" s="529">
        <f>+'Exhibit F'!X106+'Exhibit G'!X94+'Exhibit I'!Y74</f>
        <v>701.30000000000018</v>
      </c>
      <c r="X118" s="529"/>
      <c r="Y118" s="529"/>
      <c r="Z118" s="529"/>
      <c r="AA118" s="530"/>
      <c r="AB118" s="118">
        <f t="shared" si="17"/>
        <v>9077.9</v>
      </c>
      <c r="AC118" s="3255"/>
      <c r="AD118" s="1676"/>
      <c r="AE118" s="118">
        <f>+'Exhibit F'!AF106+'Exhibit G'!AG94+'Exhibit I'!AI74</f>
        <v>9278.5</v>
      </c>
      <c r="AF118" s="1676"/>
      <c r="AG118" s="1676"/>
      <c r="AH118" s="1676">
        <f t="shared" si="18"/>
        <v>-200.6</v>
      </c>
      <c r="AI118" s="3243"/>
      <c r="AJ118" s="1766">
        <f t="shared" si="19"/>
        <v>-2.1999999999999999E-2</v>
      </c>
    </row>
    <row r="119" spans="1:38" ht="16.5" customHeight="1">
      <c r="A119" s="256" t="s">
        <v>31</v>
      </c>
      <c r="B119" s="225"/>
      <c r="C119" s="529">
        <f>+'Exhibit F'!D107+'Exhibit G'!D95+'Exhibit I'!E75</f>
        <v>156.9</v>
      </c>
      <c r="D119" s="529"/>
      <c r="E119" s="529">
        <f>+'Exhibit F'!F107+'Exhibit G'!F95+'Exhibit I'!G75</f>
        <v>178.20000000000002</v>
      </c>
      <c r="F119" s="529"/>
      <c r="G119" s="529">
        <f>+'Exhibit F'!H107+'Exhibit G'!H95+'Exhibit I'!I75</f>
        <v>70.59999999999998</v>
      </c>
      <c r="H119" s="529"/>
      <c r="I119" s="529">
        <f>+'Exhibit F'!J107+'Exhibit G'!J95+'Exhibit I'!K75</f>
        <v>87.9</v>
      </c>
      <c r="J119" s="529"/>
      <c r="K119" s="529">
        <f>+'Exhibit F'!L107+'Exhibit G'!L95+'Exhibit I'!M75</f>
        <v>99.600000000000009</v>
      </c>
      <c r="L119" s="529"/>
      <c r="M119" s="529">
        <f>+'Exhibit F'!N107+'Exhibit G'!N95+'Exhibit I'!O75</f>
        <v>103.69999999999997</v>
      </c>
      <c r="N119" s="529"/>
      <c r="O119" s="529">
        <f>+'Exhibit F'!P107+'Exhibit G'!P95+'Exhibit I'!Q75</f>
        <v>169.40000000000003</v>
      </c>
      <c r="P119" s="529"/>
      <c r="Q119" s="529">
        <f>+'Exhibit F'!R107+'Exhibit G'!R95+'Exhibit I'!S75</f>
        <v>217.1999999999999</v>
      </c>
      <c r="R119" s="529"/>
      <c r="S119" s="529">
        <f>+'Exhibit F'!T107+'Exhibit G'!T95+'Exhibit I'!U75</f>
        <v>133.10000000000016</v>
      </c>
      <c r="T119" s="529"/>
      <c r="U119" s="529">
        <f>+'Exhibit F'!V107+'Exhibit G'!V95+'Exhibit I'!W75</f>
        <v>239.2</v>
      </c>
      <c r="V119" s="529"/>
      <c r="W119" s="529">
        <f>+'Exhibit F'!X107+'Exhibit G'!X95+'Exhibit I'!Y75</f>
        <v>202.89999999999995</v>
      </c>
      <c r="X119" s="529"/>
      <c r="Y119" s="529"/>
      <c r="Z119" s="529"/>
      <c r="AA119" s="530"/>
      <c r="AB119" s="118">
        <f t="shared" si="17"/>
        <v>1658.7</v>
      </c>
      <c r="AC119" s="3256"/>
      <c r="AD119" s="3481"/>
      <c r="AE119" s="118">
        <f>+'Exhibit F'!AF107+'Exhibit G'!AG95+'Exhibit I'!AI75</f>
        <v>1469.3</v>
      </c>
      <c r="AF119" s="1676"/>
      <c r="AG119" s="1676"/>
      <c r="AH119" s="1676">
        <f t="shared" si="18"/>
        <v>189.4</v>
      </c>
      <c r="AI119" s="3243"/>
      <c r="AJ119" s="1766">
        <f t="shared" si="19"/>
        <v>0.129</v>
      </c>
    </row>
    <row r="120" spans="1:38" ht="16.5" customHeight="1">
      <c r="A120" s="256" t="s">
        <v>32</v>
      </c>
      <c r="B120" s="225"/>
      <c r="C120" s="529">
        <f>+'Exhibit F'!D108+'Exhibit G'!D96+'Exhibit I'!E76</f>
        <v>240.10000000000002</v>
      </c>
      <c r="D120" s="529"/>
      <c r="E120" s="529">
        <f>+'Exhibit F'!F108+'Exhibit G'!F96+'Exhibit I'!G76</f>
        <v>215.79999999999998</v>
      </c>
      <c r="F120" s="529"/>
      <c r="G120" s="529">
        <f>+'Exhibit F'!H108+'Exhibit G'!H96+'Exhibit I'!I76</f>
        <v>537.79999999999995</v>
      </c>
      <c r="H120" s="529"/>
      <c r="I120" s="529">
        <f>+'Exhibit F'!J108+'Exhibit G'!J96+'Exhibit I'!K76</f>
        <v>452.80000000000013</v>
      </c>
      <c r="J120" s="529"/>
      <c r="K120" s="529">
        <f>+'Exhibit F'!L108+'Exhibit G'!L96+'Exhibit I'!M76</f>
        <v>374.09999999999991</v>
      </c>
      <c r="L120" s="529"/>
      <c r="M120" s="529">
        <f>+'Exhibit F'!N108+'Exhibit G'!N96+'Exhibit I'!O76</f>
        <v>706.5</v>
      </c>
      <c r="N120" s="529"/>
      <c r="O120" s="529">
        <f>+'Exhibit F'!P108+'Exhibit G'!P96+'Exhibit I'!Q76</f>
        <v>1491.0000000000002</v>
      </c>
      <c r="P120" s="529"/>
      <c r="Q120" s="529">
        <f>+'Exhibit F'!R108+'Exhibit G'!R96+'Exhibit I'!S76</f>
        <v>1057.6000000000001</v>
      </c>
      <c r="R120" s="529"/>
      <c r="S120" s="529">
        <f>+'Exhibit F'!T108+'Exhibit G'!T96+'Exhibit I'!U76</f>
        <v>247.19999999999973</v>
      </c>
      <c r="T120" s="529"/>
      <c r="U120" s="529">
        <f>+'Exhibit F'!V108+'Exhibit G'!V96+'Exhibit I'!W76</f>
        <v>672.80000000000018</v>
      </c>
      <c r="V120" s="529"/>
      <c r="W120" s="529">
        <f>+'Exhibit F'!X108+'Exhibit G'!X96+'Exhibit I'!Y76</f>
        <v>487.0999999999998</v>
      </c>
      <c r="X120" s="529"/>
      <c r="Y120" s="529"/>
      <c r="Z120" s="529"/>
      <c r="AA120" s="530"/>
      <c r="AB120" s="118">
        <f t="shared" si="17"/>
        <v>6482.8</v>
      </c>
      <c r="AC120" s="3256"/>
      <c r="AD120" s="3481"/>
      <c r="AE120" s="118">
        <f>+'Exhibit F'!AF108+'Exhibit G'!AG96+'Exhibit I'!AI76</f>
        <v>6558.4000000000005</v>
      </c>
      <c r="AF120" s="1676"/>
      <c r="AG120" s="1676"/>
      <c r="AH120" s="1676">
        <f t="shared" si="18"/>
        <v>-75.599999999999994</v>
      </c>
      <c r="AI120" s="3243"/>
      <c r="AJ120" s="1766">
        <f t="shared" si="19"/>
        <v>-1.2E-2</v>
      </c>
    </row>
    <row r="121" spans="1:38" ht="16.5" customHeight="1">
      <c r="A121" s="256" t="s">
        <v>33</v>
      </c>
      <c r="B121" s="225"/>
      <c r="C121" s="529">
        <f>+'Exhibit F'!D109+'Exhibit G'!D97+'Exhibit I'!E77</f>
        <v>34.1</v>
      </c>
      <c r="D121" s="529"/>
      <c r="E121" s="529">
        <f>+'Exhibit F'!F109+'Exhibit G'!F97+'Exhibit I'!G77</f>
        <v>164.8</v>
      </c>
      <c r="F121" s="529"/>
      <c r="G121" s="529">
        <f>+'Exhibit F'!H109+'Exhibit G'!H97+'Exhibit I'!I77</f>
        <v>204.6</v>
      </c>
      <c r="H121" s="529"/>
      <c r="I121" s="529">
        <f>+'Exhibit F'!J109+'Exhibit G'!J97+'Exhibit I'!K77</f>
        <v>67.799999999999983</v>
      </c>
      <c r="J121" s="529"/>
      <c r="K121" s="529">
        <f>+'Exhibit F'!L109+'Exhibit G'!L97+'Exhibit I'!M77</f>
        <v>67.699999999999989</v>
      </c>
      <c r="L121" s="529"/>
      <c r="M121" s="529">
        <f>+'Exhibit F'!N109+'Exhibit G'!N97+'Exhibit I'!O77</f>
        <v>74.399999999999977</v>
      </c>
      <c r="N121" s="529"/>
      <c r="O121" s="529">
        <f>+'Exhibit F'!P109+'Exhibit G'!P97+'Exhibit I'!Q77</f>
        <v>60.799999999999891</v>
      </c>
      <c r="P121" s="529"/>
      <c r="Q121" s="529">
        <f>+'Exhibit F'!R109+'Exhibit G'!R97+'Exhibit I'!S77</f>
        <v>66.700000000000074</v>
      </c>
      <c r="R121" s="529"/>
      <c r="S121" s="529">
        <f>+'Exhibit F'!T109+'Exhibit G'!T97+'Exhibit I'!U77</f>
        <v>121.60000000000007</v>
      </c>
      <c r="T121" s="529"/>
      <c r="U121" s="529">
        <f>+'Exhibit F'!V109+'Exhibit G'!V97+'Exhibit I'!W77</f>
        <v>36.399999999999913</v>
      </c>
      <c r="V121" s="529"/>
      <c r="W121" s="529">
        <f>+'Exhibit F'!X109+'Exhibit G'!X97+'Exhibit I'!Y77</f>
        <v>132.09999999999997</v>
      </c>
      <c r="X121" s="529"/>
      <c r="Y121" s="529"/>
      <c r="Z121" s="529"/>
      <c r="AA121" s="530"/>
      <c r="AB121" s="118">
        <f t="shared" si="17"/>
        <v>1031</v>
      </c>
      <c r="AC121" s="3256"/>
      <c r="AD121" s="3481"/>
      <c r="AE121" s="118">
        <f>+'Exhibit F'!AF109+'Exhibit G'!AG97+'Exhibit I'!AI77</f>
        <v>1151.4000000000001</v>
      </c>
      <c r="AF121" s="1676"/>
      <c r="AG121" s="1676"/>
      <c r="AH121" s="1676">
        <f t="shared" si="18"/>
        <v>-120.4</v>
      </c>
      <c r="AI121" s="3243"/>
      <c r="AJ121" s="1766">
        <f t="shared" si="19"/>
        <v>-0.105</v>
      </c>
    </row>
    <row r="122" spans="1:38" ht="16.5" customHeight="1">
      <c r="A122" s="256" t="s">
        <v>34</v>
      </c>
      <c r="B122" s="225"/>
      <c r="C122" s="529">
        <f>+'Exhibit F'!D110+'Exhibit G'!D98+'Exhibit I'!E78</f>
        <v>305</v>
      </c>
      <c r="D122" s="529"/>
      <c r="E122" s="529">
        <f>+'Exhibit F'!F110+'Exhibit G'!F98+'Exhibit I'!G78</f>
        <v>477.09999999999997</v>
      </c>
      <c r="F122" s="529"/>
      <c r="G122" s="529">
        <f>+'Exhibit F'!H110+'Exhibit G'!H98+'Exhibit I'!I78</f>
        <v>354.6</v>
      </c>
      <c r="H122" s="529"/>
      <c r="I122" s="529">
        <f>+'Exhibit F'!J110+'Exhibit G'!J98+'Exhibit I'!K78</f>
        <v>335.40000000000009</v>
      </c>
      <c r="J122" s="529"/>
      <c r="K122" s="529">
        <f>+'Exhibit F'!L110+'Exhibit G'!L98+'Exhibit I'!M78</f>
        <v>438</v>
      </c>
      <c r="L122" s="529"/>
      <c r="M122" s="529">
        <f>+'Exhibit F'!N110+'Exhibit G'!N98+'Exhibit I'!O78</f>
        <v>839.0999999999998</v>
      </c>
      <c r="N122" s="529"/>
      <c r="O122" s="529">
        <f>+'Exhibit F'!P110+'Exhibit G'!P98+'Exhibit I'!Q78</f>
        <v>364.1</v>
      </c>
      <c r="P122" s="529"/>
      <c r="Q122" s="529">
        <f>+'Exhibit F'!R110+'Exhibit G'!R98+'Exhibit I'!S78</f>
        <v>540.39999999999941</v>
      </c>
      <c r="R122" s="529"/>
      <c r="S122" s="529">
        <f>+'Exhibit F'!T110+'Exhibit G'!T98+'Exhibit I'!U78</f>
        <v>1027.2</v>
      </c>
      <c r="T122" s="529"/>
      <c r="U122" s="529">
        <f>+'Exhibit F'!V110+'Exhibit G'!V98+'Exhibit I'!W78</f>
        <v>120.70000000000059</v>
      </c>
      <c r="V122" s="529"/>
      <c r="W122" s="529">
        <f>+'Exhibit F'!X110+'Exhibit G'!X98+'Exhibit I'!Y78</f>
        <v>189.2999999999999</v>
      </c>
      <c r="X122" s="529"/>
      <c r="Y122" s="529"/>
      <c r="Z122" s="529"/>
      <c r="AA122" s="530"/>
      <c r="AB122" s="1676">
        <f>ROUND(SUM(C122:Y122),1)</f>
        <v>4990.8999999999996</v>
      </c>
      <c r="AC122" s="3256"/>
      <c r="AD122" s="3481"/>
      <c r="AE122" s="118">
        <f>+'Exhibit F'!AF110+'Exhibit G'!AG98+'Exhibit I'!AI78</f>
        <v>5416.7</v>
      </c>
      <c r="AF122" s="1676"/>
      <c r="AG122" s="1676"/>
      <c r="AH122" s="1676">
        <f>ROUND(SUM(AB122-AE122),1)</f>
        <v>-425.8</v>
      </c>
      <c r="AI122" s="3243"/>
      <c r="AJ122" s="1766">
        <f t="shared" si="19"/>
        <v>-7.9000000000000001E-2</v>
      </c>
    </row>
    <row r="123" spans="1:38" ht="16.5" customHeight="1">
      <c r="A123" s="225" t="s">
        <v>35</v>
      </c>
      <c r="B123" s="225"/>
      <c r="C123" s="541">
        <f>ROUND(SUM(C113:C122),1)</f>
        <v>9222.1</v>
      </c>
      <c r="D123" s="534"/>
      <c r="E123" s="541">
        <f>ROUND(SUM(E113:E122),1)</f>
        <v>12637.4</v>
      </c>
      <c r="F123" s="534"/>
      <c r="G123" s="541">
        <f>ROUND(SUM(G113:G122),1)</f>
        <v>10736.2</v>
      </c>
      <c r="H123" s="534"/>
      <c r="I123" s="541">
        <f>ROUND(SUM(I113:I122),1)</f>
        <v>8640</v>
      </c>
      <c r="J123" s="534"/>
      <c r="K123" s="541">
        <f>ROUND(SUM(K113:K122),1)</f>
        <v>8295.2999999999993</v>
      </c>
      <c r="L123" s="534"/>
      <c r="M123" s="541">
        <f>ROUND(SUM(M113:M122),1)</f>
        <v>12973.8</v>
      </c>
      <c r="N123" s="534"/>
      <c r="O123" s="541">
        <f>ROUND(SUM(O113:O122),1)</f>
        <v>10198.700000000001</v>
      </c>
      <c r="P123" s="534"/>
      <c r="Q123" s="3248">
        <f>ROUND(SUM(Q113:Q122),1)</f>
        <v>10642.7</v>
      </c>
      <c r="R123" s="534"/>
      <c r="S123" s="541">
        <f>ROUND(SUM(S113:S122),1)</f>
        <v>10758.2</v>
      </c>
      <c r="T123" s="534"/>
      <c r="U123" s="541">
        <f>ROUND(SUM(U113:U122),1)</f>
        <v>11735.1</v>
      </c>
      <c r="V123" s="534"/>
      <c r="W123" s="541">
        <f>ROUND(SUM(W113:W122),1)</f>
        <v>8172.5</v>
      </c>
      <c r="X123" s="534"/>
      <c r="Y123" s="541">
        <f>ROUND(SUM(Y113:Y122),1)</f>
        <v>0</v>
      </c>
      <c r="Z123" s="534"/>
      <c r="AA123" s="535"/>
      <c r="AB123" s="3248">
        <f>ROUND(SUM(AB113:AB122),1)</f>
        <v>114012</v>
      </c>
      <c r="AC123" s="3257"/>
      <c r="AD123" s="3489"/>
      <c r="AE123" s="3248">
        <f>ROUND(SUM(AE113:AE122),1)</f>
        <v>110607.4</v>
      </c>
      <c r="AF123" s="3251"/>
      <c r="AG123" s="3251"/>
      <c r="AH123" s="3248">
        <f>ROUND(SUM(AH113:AH122),1)</f>
        <v>3404.6</v>
      </c>
      <c r="AI123" s="3244"/>
      <c r="AJ123" s="3478">
        <f t="shared" si="19"/>
        <v>3.1E-2</v>
      </c>
      <c r="AK123" s="3470"/>
      <c r="AL123" s="435"/>
    </row>
    <row r="124" spans="1:38" ht="16.5" customHeight="1">
      <c r="A124" s="225" t="s">
        <v>36</v>
      </c>
      <c r="B124" s="225"/>
      <c r="C124" s="537"/>
      <c r="D124" s="529"/>
      <c r="E124" s="537"/>
      <c r="F124" s="529"/>
      <c r="G124" s="537"/>
      <c r="H124" s="529"/>
      <c r="I124" s="537"/>
      <c r="J124" s="529"/>
      <c r="K124" s="537"/>
      <c r="L124" s="529"/>
      <c r="M124" s="537"/>
      <c r="N124" s="529"/>
      <c r="O124" s="537"/>
      <c r="P124" s="529"/>
      <c r="Q124" s="2218"/>
      <c r="R124" s="529"/>
      <c r="S124" s="537"/>
      <c r="T124" s="529"/>
      <c r="U124" s="537"/>
      <c r="V124" s="529"/>
      <c r="W124" s="537"/>
      <c r="X124" s="529"/>
      <c r="Y124" s="537"/>
      <c r="Z124" s="529"/>
      <c r="AA124" s="530"/>
      <c r="AB124" s="2218"/>
      <c r="AC124" s="1676"/>
      <c r="AD124" s="3481"/>
      <c r="AE124" s="67"/>
      <c r="AF124" s="1676"/>
      <c r="AG124" s="1676"/>
      <c r="AH124" s="906"/>
      <c r="AI124" s="3243"/>
      <c r="AJ124" s="902"/>
    </row>
    <row r="125" spans="1:38" ht="16.5" customHeight="1">
      <c r="A125" s="225" t="s">
        <v>139</v>
      </c>
      <c r="B125" s="225"/>
      <c r="C125" s="529">
        <f>+'Exhibit F'!D113+'Exhibit G'!D101+'Exhibit I'!E81</f>
        <v>1139.8</v>
      </c>
      <c r="D125" s="529"/>
      <c r="E125" s="529">
        <f>+'Exhibit F'!F113+'Exhibit G'!F101+'Exhibit I'!G81</f>
        <v>1717.6</v>
      </c>
      <c r="F125" s="529"/>
      <c r="G125" s="529">
        <f>+'Exhibit F'!H113+'Exhibit G'!H101+'Exhibit I'!I81</f>
        <v>1127.6999999999998</v>
      </c>
      <c r="H125" s="529"/>
      <c r="I125" s="529">
        <f>+'Exhibit F'!J113+'Exhibit G'!J101+'Exhibit I'!K81</f>
        <v>1191.0000000000005</v>
      </c>
      <c r="J125" s="529"/>
      <c r="K125" s="529">
        <f>+'Exhibit F'!L113+'Exhibit G'!L101+'Exhibit I'!M81</f>
        <v>1253.2999999999995</v>
      </c>
      <c r="L125" s="529"/>
      <c r="M125" s="529">
        <f>+'Exhibit F'!N113+'Exhibit G'!N101+'Exhibit I'!O81</f>
        <v>1115.1000000000004</v>
      </c>
      <c r="N125" s="529"/>
      <c r="O125" s="529">
        <f>+'Exhibit F'!P113+'Exhibit G'!P101+'Exhibit I'!Q81</f>
        <v>1440.1999999999998</v>
      </c>
      <c r="P125" s="529"/>
      <c r="Q125" s="529">
        <f>+'Exhibit F'!R113+'Exhibit G'!R101+'Exhibit I'!S81</f>
        <v>1129.7999999999993</v>
      </c>
      <c r="R125" s="529"/>
      <c r="S125" s="529">
        <f>+'Exhibit F'!T113+'Exhibit G'!T101+'Exhibit I'!U81</f>
        <v>1145.1000000000008</v>
      </c>
      <c r="T125" s="529"/>
      <c r="U125" s="529">
        <f>+'Exhibit F'!V113+'Exhibit G'!V101+'Exhibit I'!W81</f>
        <v>1241.7000000000007</v>
      </c>
      <c r="V125" s="529"/>
      <c r="W125" s="529">
        <f>+'Exhibit F'!X113+'Exhibit G'!X101+'Exhibit I'!Y81</f>
        <v>1119.2999999999997</v>
      </c>
      <c r="X125" s="529"/>
      <c r="Y125" s="529"/>
      <c r="Z125" s="529"/>
      <c r="AA125" s="530"/>
      <c r="AB125" s="1676">
        <f>ROUND(SUM(C125:Y125),1)</f>
        <v>13620.6</v>
      </c>
      <c r="AC125" s="1676"/>
      <c r="AD125" s="3481"/>
      <c r="AE125" s="67">
        <f>+'Exhibit F'!AF113+'Exhibit G'!AG101+'Exhibit I'!AI81</f>
        <v>13232.9</v>
      </c>
      <c r="AF125" s="1676"/>
      <c r="AG125" s="1676"/>
      <c r="AH125" s="1676">
        <f>ROUND(SUM(AB125-AE125),1)</f>
        <v>387.7</v>
      </c>
      <c r="AI125" s="3243"/>
      <c r="AJ125" s="1766">
        <f>ROUND(IF(AE125=0,0,AH125/ABS(AE125)),3)</f>
        <v>2.9000000000000001E-2</v>
      </c>
    </row>
    <row r="126" spans="1:38" ht="16.5" customHeight="1">
      <c r="A126" s="225" t="s">
        <v>140</v>
      </c>
      <c r="B126" s="225"/>
      <c r="C126" s="529">
        <f>+'Exhibit F'!D114+'Exhibit G'!D102+'Exhibit H'!B53+'Exhibit I'!E82</f>
        <v>474.09999999999997</v>
      </c>
      <c r="D126" s="529"/>
      <c r="E126" s="529">
        <f>+'Exhibit F'!F114+'Exhibit G'!F102+'Exhibit H'!D53+'Exhibit I'!G82</f>
        <v>576.29999999999995</v>
      </c>
      <c r="F126" s="529"/>
      <c r="G126" s="529">
        <f>+'Exhibit F'!H114+'Exhibit G'!H102+'Exhibit H'!F53+'Exhibit I'!I82</f>
        <v>515.9</v>
      </c>
      <c r="H126" s="529"/>
      <c r="I126" s="529">
        <f>+'Exhibit F'!J114+'Exhibit G'!J102+'Exhibit H'!H53+'Exhibit I'!K82</f>
        <v>519.50000000000011</v>
      </c>
      <c r="J126" s="529"/>
      <c r="K126" s="529">
        <f>+'Exhibit F'!L114+'Exhibit G'!L102+'Exhibit H'!J53+'Exhibit I'!M82</f>
        <v>578.19999999999982</v>
      </c>
      <c r="L126" s="529"/>
      <c r="M126" s="529">
        <f>+'Exhibit F'!N114+'Exhibit G'!N102+'Exhibit H'!L53+'Exhibit I'!O82</f>
        <v>593</v>
      </c>
      <c r="N126" s="529"/>
      <c r="O126" s="529">
        <f>+'Exhibit F'!P114+'Exhibit G'!P102+'Exhibit H'!N53+'Exhibit I'!Q82</f>
        <v>647.4000000000002</v>
      </c>
      <c r="P126" s="529"/>
      <c r="Q126" s="529">
        <f>+'Exhibit F'!R114+'Exhibit G'!R102+'Exhibit H'!P53+'Exhibit I'!S82</f>
        <v>514.39999999999986</v>
      </c>
      <c r="R126" s="529"/>
      <c r="S126" s="529">
        <f>+'Exhibit F'!T114+'Exhibit G'!T102+'Exhibit H'!R53+'Exhibit I'!U82</f>
        <v>524.69999999999982</v>
      </c>
      <c r="T126" s="529"/>
      <c r="U126" s="529">
        <f>+'Exhibit F'!V114+'Exhibit G'!V102+'Exhibit H'!T53+'Exhibit I'!W82</f>
        <v>683.29999999999973</v>
      </c>
      <c r="V126" s="529"/>
      <c r="W126" s="529">
        <f>+'Exhibit F'!X114+'Exhibit G'!X102+'Exhibit H'!V53+'Exhibit I'!Y82</f>
        <v>655.9000000000002</v>
      </c>
      <c r="X126" s="529"/>
      <c r="Y126" s="529"/>
      <c r="Z126" s="529"/>
      <c r="AA126" s="530"/>
      <c r="AB126" s="1676">
        <f>ROUND(SUM(C126:Y126),1)</f>
        <v>6282.7</v>
      </c>
      <c r="AC126" s="1676"/>
      <c r="AD126" s="3481"/>
      <c r="AE126" s="67">
        <f>+'Exhibit F'!AF114+'Exhibit G'!AG102+'Exhibit H'!AD53+'Exhibit I'!AI82</f>
        <v>6135.7</v>
      </c>
      <c r="AF126" s="1676"/>
      <c r="AG126" s="1676"/>
      <c r="AH126" s="1676">
        <f>ROUND(SUM(AB126-AE126),1)</f>
        <v>147</v>
      </c>
      <c r="AI126" s="3243"/>
      <c r="AJ126" s="1766">
        <f>ROUND(IF(AE126=0,0,AH126/ABS(AE126)),3)</f>
        <v>2.4E-2</v>
      </c>
    </row>
    <row r="127" spans="1:38" ht="16.5" customHeight="1">
      <c r="A127" s="225" t="s">
        <v>39</v>
      </c>
      <c r="B127" s="225"/>
      <c r="C127" s="529">
        <f>+'Exhibit F'!D115+'Exhibit G'!D103+'Exhibit I'!E83</f>
        <v>813.6</v>
      </c>
      <c r="D127" s="529"/>
      <c r="E127" s="529">
        <f>+'Exhibit F'!F115+'Exhibit G'!F103+'Exhibit I'!G83</f>
        <v>2460.6000000000004</v>
      </c>
      <c r="F127" s="529"/>
      <c r="G127" s="529">
        <f>+'Exhibit F'!H115+'Exhibit G'!H103+'Exhibit I'!I83</f>
        <v>454.59999999999968</v>
      </c>
      <c r="H127" s="529"/>
      <c r="I127" s="529">
        <f>+'Exhibit F'!J115+'Exhibit G'!J103+'Exhibit I'!K83</f>
        <v>499.00000000000017</v>
      </c>
      <c r="J127" s="529"/>
      <c r="K127" s="529">
        <f>+'Exhibit F'!L115+'Exhibit G'!L103+'Exhibit I'!M83</f>
        <v>543.00000000000034</v>
      </c>
      <c r="L127" s="529"/>
      <c r="M127" s="529">
        <f>+'Exhibit F'!N115+'Exhibit G'!N103+'Exhibit I'!O83</f>
        <v>572.70000000000005</v>
      </c>
      <c r="N127" s="529"/>
      <c r="O127" s="529">
        <f>+'Exhibit F'!P115+'Exhibit G'!P103+'Exhibit I'!Q83</f>
        <v>665.89999999999964</v>
      </c>
      <c r="P127" s="529"/>
      <c r="Q127" s="529">
        <f>+'Exhibit F'!R115+'Exhibit G'!R103+'Exhibit I'!S83</f>
        <v>565.70000000000005</v>
      </c>
      <c r="R127" s="529"/>
      <c r="S127" s="529">
        <f>+'Exhibit F'!T115+'Exhibit G'!T103+'Exhibit I'!U83</f>
        <v>539.29999999999984</v>
      </c>
      <c r="T127" s="529"/>
      <c r="U127" s="529">
        <f>+'Exhibit F'!V115+'Exhibit G'!V103+'Exhibit I'!W83</f>
        <v>566.50000000000045</v>
      </c>
      <c r="V127" s="529"/>
      <c r="W127" s="529">
        <f>+'Exhibit F'!X115+'Exhibit G'!X103+'Exhibit I'!Y83</f>
        <v>508.5</v>
      </c>
      <c r="X127" s="529"/>
      <c r="Y127" s="529"/>
      <c r="Z127" s="529"/>
      <c r="AA127" s="530"/>
      <c r="AB127" s="1676">
        <f>ROUND(SUM(C127:Y127),1)</f>
        <v>8189.4</v>
      </c>
      <c r="AC127" s="1676"/>
      <c r="AD127" s="3481"/>
      <c r="AE127" s="67">
        <f>+'Exhibit F'!AF115+'Exhibit G'!AG103+'Exhibit H'!AD54+'Exhibit I'!AI83</f>
        <v>8072.2999999999993</v>
      </c>
      <c r="AF127" s="1676"/>
      <c r="AG127" s="1676"/>
      <c r="AH127" s="1676">
        <f>ROUND(SUM(AB127-AE127),1)</f>
        <v>117.1</v>
      </c>
      <c r="AI127" s="3243"/>
      <c r="AJ127" s="1766">
        <f>ROUND(IF(AE127=0,0,AH127/ABS(AE127)),3)</f>
        <v>1.4999999999999999E-2</v>
      </c>
    </row>
    <row r="128" spans="1:38" ht="16.5" customHeight="1">
      <c r="A128" s="225" t="s">
        <v>1276</v>
      </c>
      <c r="B128" s="225"/>
      <c r="C128" s="537"/>
      <c r="D128" s="529"/>
      <c r="E128" s="537"/>
      <c r="F128" s="529"/>
      <c r="G128" s="537"/>
      <c r="H128" s="529"/>
      <c r="I128" s="537"/>
      <c r="J128" s="529"/>
      <c r="K128" s="537"/>
      <c r="L128" s="529"/>
      <c r="M128" s="537"/>
      <c r="N128" s="529"/>
      <c r="O128" s="537"/>
      <c r="P128" s="529"/>
      <c r="Q128" s="537"/>
      <c r="R128" s="529"/>
      <c r="S128" s="537"/>
      <c r="T128" s="529"/>
      <c r="U128" s="537"/>
      <c r="V128" s="529"/>
      <c r="W128" s="537"/>
      <c r="X128" s="529"/>
      <c r="Y128" s="537"/>
      <c r="Z128" s="529"/>
      <c r="AA128" s="530"/>
      <c r="AB128" s="1676"/>
      <c r="AC128" s="1676"/>
      <c r="AD128" s="3481"/>
      <c r="AE128" s="2218"/>
      <c r="AF128" s="1676"/>
      <c r="AG128" s="1676"/>
      <c r="AH128" s="1676"/>
      <c r="AI128" s="3243"/>
      <c r="AJ128" s="3482"/>
    </row>
    <row r="129" spans="1:44" ht="16.5" customHeight="1">
      <c r="A129" s="225" t="s">
        <v>41</v>
      </c>
      <c r="B129" s="225"/>
      <c r="C129" s="529">
        <f>+'Exhibit H'!B55</f>
        <v>72.400000000000006</v>
      </c>
      <c r="D129" s="529"/>
      <c r="E129" s="529">
        <f>+'Exhibit H'!D55</f>
        <v>121.1</v>
      </c>
      <c r="F129" s="529"/>
      <c r="G129" s="529">
        <f>+'Exhibit H'!F55</f>
        <v>230.29999999999998</v>
      </c>
      <c r="H129" s="529"/>
      <c r="I129" s="529">
        <f>+'Exhibit H'!H55</f>
        <v>45.099999999999994</v>
      </c>
      <c r="J129" s="529"/>
      <c r="K129" s="529">
        <f>+'Exhibit H'!J55</f>
        <v>74.5</v>
      </c>
      <c r="L129" s="529"/>
      <c r="M129" s="529">
        <f>+'Exhibit H'!L55</f>
        <v>433.20000000000005</v>
      </c>
      <c r="N129" s="529"/>
      <c r="O129" s="529">
        <f>+'Exhibit H'!N55</f>
        <v>48.499999999999886</v>
      </c>
      <c r="P129" s="529"/>
      <c r="Q129" s="529">
        <f>+'Exhibit H'!P55</f>
        <v>74.899999999999977</v>
      </c>
      <c r="R129" s="529"/>
      <c r="S129" s="529">
        <f>+'Exhibit H'!R55</f>
        <v>412.20000000000027</v>
      </c>
      <c r="T129" s="529"/>
      <c r="U129" s="529">
        <f>+'Exhibit H'!T55</f>
        <v>44.599999999999909</v>
      </c>
      <c r="V129" s="529"/>
      <c r="W129" s="529">
        <f>+'Exhibit H'!V55</f>
        <v>719.89999999999964</v>
      </c>
      <c r="X129" s="529"/>
      <c r="Y129" s="529"/>
      <c r="Z129" s="529"/>
      <c r="AA129" s="530"/>
      <c r="AB129" s="1676">
        <f>ROUND(SUM(C129:Y129),1)</f>
        <v>2276.6999999999998</v>
      </c>
      <c r="AC129" s="1676"/>
      <c r="AD129" s="3481"/>
      <c r="AE129" s="67">
        <f>+'Exhibit H'!AD55</f>
        <v>2498</v>
      </c>
      <c r="AF129" s="1676"/>
      <c r="AG129" s="1676"/>
      <c r="AH129" s="1676">
        <f>ROUND(SUM(AB129-AE129),1)</f>
        <v>-221.3</v>
      </c>
      <c r="AI129" s="3243"/>
      <c r="AJ129" s="1766">
        <f>ROUND(IF(AE129=0,0,AH129/ABS(AE129)),3)</f>
        <v>-8.8999999999999996E-2</v>
      </c>
    </row>
    <row r="130" spans="1:44" ht="16.5" customHeight="1">
      <c r="A130" s="540" t="s">
        <v>141</v>
      </c>
      <c r="B130" s="225"/>
      <c r="C130" s="532">
        <f>+'Exhibit G'!D104+'Exhibit I'!E84</f>
        <v>434.1</v>
      </c>
      <c r="D130" s="529"/>
      <c r="E130" s="532">
        <f>+'Exhibit G'!F104+'Exhibit I'!G84</f>
        <v>528.1</v>
      </c>
      <c r="F130" s="529"/>
      <c r="G130" s="532">
        <f>+'Exhibit G'!H104+'Exhibit I'!I84</f>
        <v>536.5</v>
      </c>
      <c r="H130" s="529"/>
      <c r="I130" s="532">
        <f>+'Exhibit G'!J104+'Exhibit I'!K84</f>
        <v>600.69999999999982</v>
      </c>
      <c r="J130" s="529"/>
      <c r="K130" s="532">
        <f>+'Exhibit G'!L104+'Exhibit I'!M84</f>
        <v>750.3</v>
      </c>
      <c r="L130" s="529"/>
      <c r="M130" s="532">
        <f>+'Exhibit G'!N104+'Exhibit I'!O84</f>
        <v>582.60000000000014</v>
      </c>
      <c r="N130" s="529"/>
      <c r="O130" s="532">
        <f>+'Exhibit G'!P104+'Exhibit I'!Q84</f>
        <v>710.69999999999993</v>
      </c>
      <c r="P130" s="529"/>
      <c r="Q130" s="532">
        <f>+'Exhibit G'!R104+'Exhibit I'!S84</f>
        <v>705.00000000000045</v>
      </c>
      <c r="R130" s="529"/>
      <c r="S130" s="532">
        <f>+'Exhibit G'!T104+'Exhibit I'!U84</f>
        <v>577.00000000000023</v>
      </c>
      <c r="T130" s="529"/>
      <c r="U130" s="532">
        <f>+'Exhibit G'!V104+'Exhibit I'!W84</f>
        <v>551.7999999999995</v>
      </c>
      <c r="V130" s="529"/>
      <c r="W130" s="532">
        <f>+'Exhibit G'!X104+'Exhibit I'!Y84</f>
        <v>476.40000000000032</v>
      </c>
      <c r="X130" s="529"/>
      <c r="Y130" s="532"/>
      <c r="Z130" s="529"/>
      <c r="AA130" s="530"/>
      <c r="AB130" s="3253">
        <f>ROUND(SUM(C130:Y130),1)</f>
        <v>6453.2</v>
      </c>
      <c r="AC130" s="1676"/>
      <c r="AD130" s="3481"/>
      <c r="AE130" s="3575">
        <f>+'Exhibit G'!AG104+'Exhibit I'!AI84</f>
        <v>6419.6</v>
      </c>
      <c r="AF130" s="1676"/>
      <c r="AG130" s="1676"/>
      <c r="AH130" s="3253">
        <f>ROUND(SUM(AB130-AE130),1)</f>
        <v>33.6</v>
      </c>
      <c r="AI130" s="3243"/>
      <c r="AJ130" s="3486">
        <f>ROUND(IF(AE130=0,0,AH130/ABS(AE130)),3)</f>
        <v>5.0000000000000001E-3</v>
      </c>
    </row>
    <row r="131" spans="1:44" ht="16.5" customHeight="1">
      <c r="A131" s="225"/>
      <c r="B131" s="225"/>
      <c r="C131" s="537"/>
      <c r="D131" s="529"/>
      <c r="E131" s="537"/>
      <c r="F131" s="529"/>
      <c r="G131" s="537"/>
      <c r="H131" s="529"/>
      <c r="I131" s="537"/>
      <c r="J131" s="529"/>
      <c r="K131" s="537"/>
      <c r="L131" s="529"/>
      <c r="M131" s="537"/>
      <c r="N131" s="529"/>
      <c r="O131" s="537"/>
      <c r="P131" s="529"/>
      <c r="Q131" s="2218"/>
      <c r="R131" s="529"/>
      <c r="S131" s="537"/>
      <c r="T131" s="529"/>
      <c r="U131" s="537"/>
      <c r="V131" s="529"/>
      <c r="W131" s="537"/>
      <c r="X131" s="529"/>
      <c r="Y131" s="537"/>
      <c r="Z131" s="529"/>
      <c r="AA131" s="530"/>
      <c r="AB131" s="2218"/>
      <c r="AC131" s="1676"/>
      <c r="AD131" s="3481"/>
      <c r="AE131" s="2218"/>
      <c r="AF131" s="1676"/>
      <c r="AG131" s="1676"/>
      <c r="AH131" s="2218"/>
      <c r="AI131" s="3243"/>
      <c r="AJ131" s="3490"/>
    </row>
    <row r="132" spans="1:44" ht="16.5" customHeight="1">
      <c r="A132" s="207" t="s">
        <v>58</v>
      </c>
      <c r="B132" s="225"/>
      <c r="C132" s="533">
        <f>ROUND(SUM(C123:C130),1)</f>
        <v>12156.1</v>
      </c>
      <c r="D132" s="534"/>
      <c r="E132" s="533">
        <f>ROUND(SUM(E123:E130),1)</f>
        <v>18041.099999999999</v>
      </c>
      <c r="F132" s="534"/>
      <c r="G132" s="533">
        <f>ROUND(SUM(G123:G130),1)</f>
        <v>13601.2</v>
      </c>
      <c r="H132" s="534"/>
      <c r="I132" s="533">
        <f>ROUND(SUM(I123:I130),1)</f>
        <v>11495.3</v>
      </c>
      <c r="J132" s="534"/>
      <c r="K132" s="533">
        <f>ROUND(SUM(K123:K130),1)</f>
        <v>11494.6</v>
      </c>
      <c r="L132" s="534"/>
      <c r="M132" s="533">
        <f>ROUND(SUM(M123:M130),1)</f>
        <v>16270.4</v>
      </c>
      <c r="N132" s="534"/>
      <c r="O132" s="533">
        <f>ROUND(SUM(O123:O130),1)</f>
        <v>13711.4</v>
      </c>
      <c r="P132" s="534"/>
      <c r="Q132" s="2219">
        <f>ROUND(SUM(Q123:Q130),1)</f>
        <v>13632.5</v>
      </c>
      <c r="R132" s="534"/>
      <c r="S132" s="533">
        <f>ROUND(SUM(S123:S130),1)</f>
        <v>13956.5</v>
      </c>
      <c r="T132" s="534"/>
      <c r="U132" s="533">
        <f>ROUND(SUM(U123:U130),1)</f>
        <v>14823</v>
      </c>
      <c r="V132" s="534"/>
      <c r="W132" s="533">
        <f>ROUND(SUM(W123:W130),1)</f>
        <v>11652.5</v>
      </c>
      <c r="X132" s="534"/>
      <c r="Y132" s="533">
        <f>ROUND(SUM(Y123:Y130),1)</f>
        <v>0</v>
      </c>
      <c r="Z132" s="534"/>
      <c r="AA132" s="535"/>
      <c r="AB132" s="2219">
        <f>ROUND(SUM(AB123:AB130),1)</f>
        <v>150834.6</v>
      </c>
      <c r="AC132" s="3251"/>
      <c r="AD132" s="3489"/>
      <c r="AE132" s="2219">
        <f>ROUND(SUM(AE123:AE130),1)</f>
        <v>146965.9</v>
      </c>
      <c r="AF132" s="3251"/>
      <c r="AG132" s="3251"/>
      <c r="AH132" s="2219">
        <f>ROUND(SUM(AB132-AE132),1)</f>
        <v>3868.7</v>
      </c>
      <c r="AI132" s="3244"/>
      <c r="AJ132" s="3480">
        <f>ROUND(IF(AE132=0,0,AH132/ABS(AE132)),3)</f>
        <v>2.5999999999999999E-2</v>
      </c>
      <c r="AK132" s="3470"/>
      <c r="AL132" s="435"/>
      <c r="AM132" s="435"/>
      <c r="AN132" s="435"/>
      <c r="AO132" s="435"/>
      <c r="AP132" s="435"/>
      <c r="AQ132" s="435"/>
      <c r="AR132" s="435"/>
    </row>
    <row r="133" spans="1:44" ht="16.5" customHeight="1">
      <c r="A133" s="207"/>
      <c r="B133" s="225"/>
      <c r="C133" s="529"/>
      <c r="D133" s="529"/>
      <c r="E133" s="529"/>
      <c r="F133" s="529"/>
      <c r="G133" s="529"/>
      <c r="H133" s="529"/>
      <c r="I133" s="529"/>
      <c r="J133" s="529"/>
      <c r="K133" s="529"/>
      <c r="L133" s="529"/>
      <c r="M133" s="529"/>
      <c r="N133" s="529"/>
      <c r="O133" s="529"/>
      <c r="P133" s="529"/>
      <c r="Q133" s="1676"/>
      <c r="R133" s="529"/>
      <c r="S133" s="529"/>
      <c r="T133" s="529"/>
      <c r="U133" s="529"/>
      <c r="V133" s="529"/>
      <c r="W133" s="529"/>
      <c r="X133" s="529"/>
      <c r="Y133" s="529"/>
      <c r="Z133" s="529"/>
      <c r="AA133" s="530"/>
      <c r="AB133" s="1676"/>
      <c r="AC133" s="1676"/>
      <c r="AD133" s="3481"/>
      <c r="AE133" s="1676"/>
      <c r="AF133" s="1676"/>
      <c r="AG133" s="1676"/>
      <c r="AH133" s="906"/>
      <c r="AI133" s="3243"/>
      <c r="AJ133" s="902"/>
    </row>
    <row r="134" spans="1:44" ht="16.5" customHeight="1">
      <c r="A134" s="207" t="s">
        <v>44</v>
      </c>
      <c r="B134" s="225"/>
      <c r="C134" s="529"/>
      <c r="D134" s="529"/>
      <c r="E134" s="529"/>
      <c r="F134" s="529"/>
      <c r="G134" s="529"/>
      <c r="H134" s="529"/>
      <c r="I134" s="529"/>
      <c r="J134" s="529"/>
      <c r="K134" s="529"/>
      <c r="L134" s="529"/>
      <c r="M134" s="529"/>
      <c r="N134" s="529"/>
      <c r="O134" s="529"/>
      <c r="P134" s="529"/>
      <c r="Q134" s="1676"/>
      <c r="R134" s="529"/>
      <c r="S134" s="529"/>
      <c r="T134" s="529"/>
      <c r="U134" s="529"/>
      <c r="V134" s="529"/>
      <c r="W134" s="529"/>
      <c r="X134" s="529"/>
      <c r="Y134" s="529"/>
      <c r="Z134" s="529"/>
      <c r="AA134" s="530"/>
      <c r="AB134" s="1676"/>
      <c r="AC134" s="1676"/>
      <c r="AD134" s="3481"/>
      <c r="AE134" s="1676"/>
      <c r="AF134" s="1676"/>
      <c r="AG134" s="1676"/>
      <c r="AH134" s="906"/>
      <c r="AI134" s="3243"/>
      <c r="AJ134" s="902"/>
    </row>
    <row r="135" spans="1:44" ht="16.5" customHeight="1">
      <c r="A135" s="207" t="s">
        <v>45</v>
      </c>
      <c r="B135" s="225"/>
      <c r="C135" s="533">
        <f>ROUND(SUM(C109-C132),1)</f>
        <v>8307</v>
      </c>
      <c r="D135" s="534"/>
      <c r="E135" s="533">
        <f>ROUND(SUM(E109-E132),1)</f>
        <v>-7325.1</v>
      </c>
      <c r="F135" s="534"/>
      <c r="G135" s="533">
        <f>ROUND(SUM(G109-G132),1)</f>
        <v>2818.6</v>
      </c>
      <c r="H135" s="534"/>
      <c r="I135" s="533">
        <f>ROUND(SUM(I109-I132),1)</f>
        <v>-940.6</v>
      </c>
      <c r="J135" s="534"/>
      <c r="K135" s="533">
        <f>ROUND(SUM(K109-K132),1)</f>
        <v>983.5</v>
      </c>
      <c r="L135" s="534"/>
      <c r="M135" s="533">
        <f>ROUND(SUM(M109-M132),1)</f>
        <v>593.5</v>
      </c>
      <c r="N135" s="534"/>
      <c r="O135" s="533">
        <f>ROUND(SUM(O109-O132),1)</f>
        <v>33.4</v>
      </c>
      <c r="P135" s="534"/>
      <c r="Q135" s="2219">
        <f>ROUND(SUM(Q109-Q132),1)</f>
        <v>-2245.6999999999998</v>
      </c>
      <c r="R135" s="534"/>
      <c r="S135" s="533">
        <f>ROUND(SUM(S109-S132),1)</f>
        <v>2810.7</v>
      </c>
      <c r="T135" s="534"/>
      <c r="U135" s="533">
        <f>ROUND(SUM(U109-U132),1)</f>
        <v>4738.3999999999996</v>
      </c>
      <c r="V135" s="534"/>
      <c r="W135" s="533">
        <f>ROUND(SUM(W109-W132),1)</f>
        <v>869.9</v>
      </c>
      <c r="X135" s="534"/>
      <c r="Y135" s="533">
        <f>ROUND(SUM(Y109-Y132),1)</f>
        <v>0</v>
      </c>
      <c r="Z135" s="534"/>
      <c r="AA135" s="535"/>
      <c r="AB135" s="2219">
        <f>ROUND(SUM(AB109-AB132),1)</f>
        <v>10643.6</v>
      </c>
      <c r="AC135" s="3251"/>
      <c r="AD135" s="3489"/>
      <c r="AE135" s="2219">
        <f>ROUND(SUM(AE109-AE132),1)</f>
        <v>5690.1</v>
      </c>
      <c r="AF135" s="3251"/>
      <c r="AG135" s="3251"/>
      <c r="AH135" s="3491">
        <f>ROUND(SUM(AB135-AE135),1)</f>
        <v>4953.5</v>
      </c>
      <c r="AI135" s="3244"/>
      <c r="AJ135" s="3492">
        <f>ROUND(IF(AE135=0,0,AH135/ABS(AE135)),3)</f>
        <v>0.871</v>
      </c>
      <c r="AK135" s="3470"/>
      <c r="AL135" s="435"/>
    </row>
    <row r="136" spans="1:44" ht="16.5" customHeight="1">
      <c r="A136" s="165"/>
      <c r="B136" s="225"/>
      <c r="C136" s="536"/>
      <c r="D136" s="529"/>
      <c r="E136" s="536"/>
      <c r="F136" s="529"/>
      <c r="G136" s="536"/>
      <c r="H136" s="529"/>
      <c r="I136" s="536"/>
      <c r="J136" s="529"/>
      <c r="K136" s="536"/>
      <c r="L136" s="529"/>
      <c r="M136" s="536"/>
      <c r="N136" s="529"/>
      <c r="O136" s="536"/>
      <c r="P136" s="529"/>
      <c r="Q136" s="3254"/>
      <c r="R136" s="529"/>
      <c r="S136" s="536"/>
      <c r="T136" s="529"/>
      <c r="U136" s="536"/>
      <c r="V136" s="529"/>
      <c r="W136" s="536"/>
      <c r="X136" s="529"/>
      <c r="Y136" s="536"/>
      <c r="Z136" s="538"/>
      <c r="AA136" s="530"/>
      <c r="AB136" s="3254"/>
      <c r="AC136" s="1676"/>
      <c r="AD136" s="3481"/>
      <c r="AE136" s="3254"/>
      <c r="AF136" s="1676"/>
      <c r="AG136" s="1676"/>
      <c r="AH136" s="906"/>
      <c r="AI136" s="3243"/>
      <c r="AJ136" s="902"/>
    </row>
    <row r="137" spans="1:44" ht="16.5" customHeight="1">
      <c r="A137" s="207" t="s">
        <v>46</v>
      </c>
      <c r="B137" s="225"/>
      <c r="C137" s="2218"/>
      <c r="D137" s="529"/>
      <c r="E137" s="2218"/>
      <c r="F137" s="543"/>
      <c r="G137" s="2218"/>
      <c r="H137" s="543"/>
      <c r="I137" s="542"/>
      <c r="J137" s="543"/>
      <c r="K137" s="542"/>
      <c r="L137" s="543"/>
      <c r="M137" s="542"/>
      <c r="N137" s="543"/>
      <c r="O137" s="542"/>
      <c r="P137" s="2208"/>
      <c r="Q137" s="3562"/>
      <c r="R137" s="543"/>
      <c r="S137" s="3562"/>
      <c r="T137" s="543"/>
      <c r="U137" s="542"/>
      <c r="V137" s="529"/>
      <c r="W137" s="3562"/>
      <c r="X137" s="529"/>
      <c r="Y137" s="542"/>
      <c r="Z137" s="531"/>
      <c r="AA137" s="530"/>
      <c r="AB137" s="2218"/>
      <c r="AC137" s="3255"/>
      <c r="AD137" s="1676"/>
      <c r="AE137" s="2218"/>
      <c r="AF137" s="1676"/>
      <c r="AG137" s="1676"/>
      <c r="AH137" s="906"/>
      <c r="AI137" s="3243"/>
      <c r="AJ137" s="902"/>
    </row>
    <row r="138" spans="1:44" ht="16.5" customHeight="1">
      <c r="A138" s="225" t="s">
        <v>47</v>
      </c>
      <c r="B138" s="225"/>
      <c r="C138" s="2207">
        <v>0</v>
      </c>
      <c r="D138" s="1676"/>
      <c r="E138" s="2207">
        <v>0</v>
      </c>
      <c r="F138" s="2208"/>
      <c r="G138" s="2207">
        <v>0</v>
      </c>
      <c r="H138" s="2208"/>
      <c r="I138" s="2207">
        <f>'Exhibit A'!Z48</f>
        <v>0</v>
      </c>
      <c r="J138" s="2208"/>
      <c r="K138" s="2207">
        <v>0</v>
      </c>
      <c r="L138" s="2208"/>
      <c r="M138" s="2207">
        <f>'Exhibit A'!AD48</f>
        <v>0</v>
      </c>
      <c r="N138" s="2208"/>
      <c r="O138" s="2207">
        <f>'Exhibit A'!AF48</f>
        <v>0</v>
      </c>
      <c r="P138" s="2208"/>
      <c r="Q138" s="2207">
        <f>'Exhibit A'!AH48</f>
        <v>0</v>
      </c>
      <c r="R138" s="2208"/>
      <c r="S138" s="2207">
        <f>'Exhibit A'!AJ48</f>
        <v>0</v>
      </c>
      <c r="T138" s="2208"/>
      <c r="U138" s="2207">
        <f>'Exhibit A'!AL48</f>
        <v>0</v>
      </c>
      <c r="V138" s="1676"/>
      <c r="W138" s="2207">
        <f>'Exhibit A'!AN48</f>
        <v>0</v>
      </c>
      <c r="X138" s="1676"/>
      <c r="Y138" s="2207"/>
      <c r="Z138" s="1676"/>
      <c r="AA138" s="3603"/>
      <c r="AB138" s="1676">
        <f>ROUND(SUM(C138:Y138),1)</f>
        <v>0</v>
      </c>
      <c r="AC138" s="1676"/>
      <c r="AD138" s="3481"/>
      <c r="AE138" s="1676">
        <f>+'Exhibit A'!AD48</f>
        <v>0</v>
      </c>
      <c r="AF138" s="1676"/>
      <c r="AG138" s="1676"/>
      <c r="AH138" s="1676">
        <f>ROUND(SUM(AB138-AE138),1)</f>
        <v>0</v>
      </c>
      <c r="AI138" s="3493"/>
      <c r="AJ138" s="1765">
        <f>ROUND(IF(AE138=0,0,AH138/ABS(AE138)),3)</f>
        <v>0</v>
      </c>
    </row>
    <row r="139" spans="1:44" ht="16.5" customHeight="1">
      <c r="A139" s="225" t="s">
        <v>48</v>
      </c>
      <c r="B139" s="225"/>
      <c r="C139" s="2207">
        <v>6203.6000000000013</v>
      </c>
      <c r="D139" s="1676"/>
      <c r="E139" s="2207">
        <v>2681.3</v>
      </c>
      <c r="F139" s="1676"/>
      <c r="G139" s="2207">
        <v>4839.5</v>
      </c>
      <c r="H139" s="1676"/>
      <c r="I139" s="2207">
        <v>3268.8</v>
      </c>
      <c r="J139" s="1676"/>
      <c r="K139" s="2207">
        <v>2912.1</v>
      </c>
      <c r="L139" s="1676"/>
      <c r="M139" s="2207">
        <v>4741.3</v>
      </c>
      <c r="N139" s="1676"/>
      <c r="O139" s="2207">
        <v>1641.5</v>
      </c>
      <c r="P139" s="1676"/>
      <c r="Q139" s="2207">
        <v>2363.8000000000002</v>
      </c>
      <c r="R139" s="1676"/>
      <c r="S139" s="2207">
        <v>4008.5</v>
      </c>
      <c r="T139" s="1676"/>
      <c r="U139" s="2207">
        <v>4969.2</v>
      </c>
      <c r="V139" s="1676"/>
      <c r="W139" s="2207">
        <f>'Exhibit A'!$V49</f>
        <v>2332.5</v>
      </c>
      <c r="X139" s="1676"/>
      <c r="Y139" s="2207"/>
      <c r="Z139" s="1676"/>
      <c r="AA139" s="3603"/>
      <c r="AB139" s="1676">
        <f>ROUND(SUM(C139:Y139),1)</f>
        <v>39962.1</v>
      </c>
      <c r="AC139" s="1676"/>
      <c r="AD139" s="3603"/>
      <c r="AE139" s="1676">
        <f>+'Exhibit A'!AD49</f>
        <v>33447.700000000004</v>
      </c>
      <c r="AF139" s="1676"/>
      <c r="AG139" s="1676"/>
      <c r="AH139" s="1676">
        <f>ROUND(SUM(AB139-AE139),1)</f>
        <v>6514.4</v>
      </c>
      <c r="AI139" s="3243"/>
      <c r="AJ139" s="1765">
        <f>ROUND(IF(AE139=0,0,AH139/ABS(AE139)),3)</f>
        <v>0.19500000000000001</v>
      </c>
    </row>
    <row r="140" spans="1:44" ht="16.5" customHeight="1">
      <c r="A140" s="225" t="s">
        <v>49</v>
      </c>
      <c r="C140" s="3695">
        <v>-6217.9000000000005</v>
      </c>
      <c r="D140" s="55"/>
      <c r="E140" s="3695">
        <v>-2698.8</v>
      </c>
      <c r="F140" s="279"/>
      <c r="G140" s="3695">
        <v>-4854.6000000000004</v>
      </c>
      <c r="H140" s="279"/>
      <c r="I140" s="3695">
        <v>-3281.7</v>
      </c>
      <c r="J140" s="279"/>
      <c r="K140" s="3695">
        <v>-2930.1</v>
      </c>
      <c r="L140" s="279"/>
      <c r="M140" s="3695">
        <v>-4765.2</v>
      </c>
      <c r="N140" s="279"/>
      <c r="O140" s="3695">
        <v>-1645.1</v>
      </c>
      <c r="P140" s="279"/>
      <c r="Q140" s="3695">
        <v>-2367.1999999999998</v>
      </c>
      <c r="R140" s="279"/>
      <c r="S140" s="3695">
        <v>-4009.8</v>
      </c>
      <c r="T140" s="279"/>
      <c r="U140" s="3695">
        <v>-4979.8999999999996</v>
      </c>
      <c r="V140" s="279"/>
      <c r="W140" s="3695">
        <f>'Exhibit A'!$V50</f>
        <v>-2337.3000000000002</v>
      </c>
      <c r="X140" s="279"/>
      <c r="Y140" s="2209"/>
      <c r="Z140" s="279"/>
      <c r="AA140" s="3494"/>
      <c r="AB140" s="3253">
        <f>ROUND(SUM(C140:Y140),1)</f>
        <v>-40087.599999999999</v>
      </c>
      <c r="AC140" s="279"/>
      <c r="AD140" s="3494"/>
      <c r="AE140" s="3253">
        <f>+'Exhibit A'!AD50</f>
        <v>-33495.200000000004</v>
      </c>
      <c r="AF140" s="279"/>
      <c r="AG140" s="279"/>
      <c r="AH140" s="3253">
        <f>ROUND(SUM(-AB140+AE140),1)</f>
        <v>6592.4</v>
      </c>
      <c r="AI140" s="902"/>
      <c r="AJ140" s="1853">
        <f>ROUND(IF(AE140=0,0,AH140/ABS(AE140)),3)</f>
        <v>0.19700000000000001</v>
      </c>
      <c r="AK140" s="3495"/>
    </row>
    <row r="141" spans="1:44" ht="16.5" customHeight="1">
      <c r="A141" s="225"/>
      <c r="C141" s="2218"/>
      <c r="D141" s="55"/>
      <c r="E141" s="537"/>
      <c r="F141" s="55"/>
      <c r="G141" s="537"/>
      <c r="H141" s="55"/>
      <c r="I141" s="537"/>
      <c r="J141" s="55"/>
      <c r="K141" s="537"/>
      <c r="L141" s="55"/>
      <c r="M141" s="537"/>
      <c r="N141" s="55"/>
      <c r="O141" s="2218"/>
      <c r="P141" s="279"/>
      <c r="Q141" s="2218"/>
      <c r="R141" s="55"/>
      <c r="S141" s="2218"/>
      <c r="T141" s="279"/>
      <c r="U141" s="537"/>
      <c r="V141" s="55"/>
      <c r="W141" s="537"/>
      <c r="X141" s="55"/>
      <c r="Y141" s="537"/>
      <c r="Z141" s="55"/>
      <c r="AA141" s="544"/>
      <c r="AB141" s="2218"/>
      <c r="AC141" s="279"/>
      <c r="AD141" s="3494"/>
      <c r="AE141" s="2218"/>
      <c r="AF141" s="279"/>
      <c r="AG141" s="279"/>
      <c r="AH141" s="2218"/>
      <c r="AI141" s="902"/>
      <c r="AJ141" s="3490"/>
    </row>
    <row r="142" spans="1:44" ht="16.5" customHeight="1">
      <c r="A142" s="207" t="s">
        <v>50</v>
      </c>
      <c r="C142" s="2219">
        <f>ROUND(SUM(C138:C140),1)</f>
        <v>-14.3</v>
      </c>
      <c r="D142" s="545"/>
      <c r="E142" s="533">
        <f>ROUND(SUM(E138:E140),1)</f>
        <v>-17.5</v>
      </c>
      <c r="F142" s="545"/>
      <c r="G142" s="533">
        <f>ROUND(SUM(G138:G140),1)</f>
        <v>-15.1</v>
      </c>
      <c r="H142" s="545"/>
      <c r="I142" s="533">
        <f>ROUND(SUM(I138:I140),1)</f>
        <v>-12.9</v>
      </c>
      <c r="J142" s="545"/>
      <c r="K142" s="533">
        <f>ROUND(SUM(K138:K140),1)</f>
        <v>-18</v>
      </c>
      <c r="L142" s="545"/>
      <c r="M142" s="533">
        <f>ROUND(SUM(M138:M140),1)</f>
        <v>-23.9</v>
      </c>
      <c r="N142" s="545"/>
      <c r="O142" s="533">
        <f>ROUND(SUM(O138:O140),1)</f>
        <v>-3.6</v>
      </c>
      <c r="P142" s="545"/>
      <c r="Q142" s="2219">
        <f>ROUND(SUM(Q138:Q140),1)</f>
        <v>-3.4</v>
      </c>
      <c r="R142" s="545"/>
      <c r="S142" s="533">
        <f>ROUND(SUM(S138:S140),1)</f>
        <v>-1.3</v>
      </c>
      <c r="T142" s="545"/>
      <c r="U142" s="533">
        <f>ROUND(SUM(U138:U140),1)</f>
        <v>-10.7</v>
      </c>
      <c r="V142" s="545"/>
      <c r="W142" s="533">
        <f>ROUND(SUM(W138:W140),1)</f>
        <v>-4.8</v>
      </c>
      <c r="X142" s="545"/>
      <c r="Y142" s="533">
        <f>ROUND(SUM(Y138:Y140),1)</f>
        <v>0</v>
      </c>
      <c r="Z142" s="545"/>
      <c r="AA142" s="546"/>
      <c r="AB142" s="2219">
        <f>ROUND(SUM(AB138:AB141),1)</f>
        <v>-125.5</v>
      </c>
      <c r="AC142" s="3258"/>
      <c r="AD142" s="3496"/>
      <c r="AE142" s="2219">
        <f>SUM(AE138:AE141)</f>
        <v>-47.5</v>
      </c>
      <c r="AF142" s="3258"/>
      <c r="AG142" s="3258"/>
      <c r="AH142" s="2219">
        <f>ROUND(SUM(+AH139-AH140+AH138),1)</f>
        <v>-78</v>
      </c>
      <c r="AI142" s="255"/>
      <c r="AJ142" s="3480">
        <f>ROUND(IF(AE142=0,0,AH142/ABS(AE142)),3)</f>
        <v>-1.6419999999999999</v>
      </c>
      <c r="AK142" s="3470"/>
      <c r="AL142" s="435" t="s">
        <v>15</v>
      </c>
    </row>
    <row r="143" spans="1:44" ht="16.5" customHeight="1">
      <c r="A143" s="165"/>
      <c r="C143" s="55"/>
      <c r="D143" s="55"/>
      <c r="E143" s="55"/>
      <c r="F143" s="55"/>
      <c r="G143" s="55"/>
      <c r="H143" s="55"/>
      <c r="I143" s="55"/>
      <c r="J143" s="55"/>
      <c r="K143" s="55"/>
      <c r="L143" s="55"/>
      <c r="M143" s="55"/>
      <c r="N143" s="55"/>
      <c r="O143" s="55"/>
      <c r="P143" s="55"/>
      <c r="Q143" s="279"/>
      <c r="R143" s="55"/>
      <c r="S143" s="55"/>
      <c r="T143" s="55"/>
      <c r="U143" s="55"/>
      <c r="V143" s="55"/>
      <c r="W143" s="55"/>
      <c r="X143" s="55"/>
      <c r="Y143" s="55"/>
      <c r="Z143" s="55"/>
      <c r="AA143" s="544"/>
      <c r="AB143" s="279"/>
      <c r="AC143" s="279"/>
      <c r="AD143" s="3494"/>
      <c r="AE143" s="279"/>
      <c r="AF143" s="279"/>
      <c r="AG143" s="279"/>
      <c r="AH143" s="906"/>
      <c r="AI143" s="902"/>
      <c r="AJ143" s="902"/>
    </row>
    <row r="144" spans="1:44" ht="16.5" customHeight="1">
      <c r="A144" s="255" t="s">
        <v>44</v>
      </c>
      <c r="C144" s="537"/>
      <c r="D144" s="55"/>
      <c r="E144" s="537"/>
      <c r="F144" s="55"/>
      <c r="G144" s="537"/>
      <c r="H144" s="55"/>
      <c r="I144" s="537"/>
      <c r="J144" s="55"/>
      <c r="K144" s="537"/>
      <c r="L144" s="55"/>
      <c r="M144" s="537"/>
      <c r="N144" s="55"/>
      <c r="O144" s="537"/>
      <c r="P144" s="55"/>
      <c r="Q144" s="2218"/>
      <c r="R144" s="55"/>
      <c r="S144" s="537"/>
      <c r="T144" s="55"/>
      <c r="U144" s="537"/>
      <c r="V144" s="55"/>
      <c r="W144" s="537"/>
      <c r="X144" s="55"/>
      <c r="Y144" s="537"/>
      <c r="Z144" s="55"/>
      <c r="AA144" s="544"/>
      <c r="AB144" s="2218"/>
      <c r="AC144" s="279"/>
      <c r="AD144" s="3494"/>
      <c r="AE144" s="2218"/>
      <c r="AF144" s="279"/>
      <c r="AG144" s="279"/>
      <c r="AH144" s="906"/>
      <c r="AI144" s="902"/>
      <c r="AJ144" s="902"/>
    </row>
    <row r="145" spans="1:59" ht="16.5" customHeight="1">
      <c r="A145" s="255" t="s">
        <v>51</v>
      </c>
      <c r="C145" s="534"/>
      <c r="D145" s="545"/>
      <c r="E145" s="534"/>
      <c r="F145" s="545"/>
      <c r="G145" s="534"/>
      <c r="H145" s="545"/>
      <c r="I145" s="534"/>
      <c r="J145" s="545"/>
      <c r="K145" s="534"/>
      <c r="L145" s="545"/>
      <c r="M145" s="534"/>
      <c r="N145" s="545"/>
      <c r="O145" s="534"/>
      <c r="P145" s="545"/>
      <c r="Q145" s="3251"/>
      <c r="R145" s="545"/>
      <c r="S145" s="534"/>
      <c r="T145" s="545"/>
      <c r="U145" s="534"/>
      <c r="V145" s="545"/>
      <c r="W145" s="534"/>
      <c r="X145" s="545"/>
      <c r="Y145" s="534"/>
      <c r="Z145" s="545"/>
      <c r="AA145" s="546"/>
      <c r="AB145" s="3251"/>
      <c r="AC145" s="3258"/>
      <c r="AD145" s="3496"/>
      <c r="AE145" s="3251"/>
      <c r="AF145" s="3258"/>
      <c r="AG145" s="3258"/>
      <c r="AH145" s="112"/>
      <c r="AI145" s="255"/>
      <c r="AJ145" s="255"/>
      <c r="AK145" s="3470"/>
      <c r="AL145" s="435"/>
      <c r="AM145" s="435"/>
      <c r="AN145" s="435"/>
      <c r="AO145" s="435"/>
      <c r="AP145" s="435"/>
      <c r="AQ145" s="435"/>
      <c r="AR145" s="435"/>
      <c r="AS145" s="435"/>
      <c r="AT145" s="435"/>
      <c r="AU145" s="435"/>
      <c r="AV145" s="435"/>
      <c r="AW145" s="435"/>
      <c r="AX145" s="435"/>
      <c r="AY145" s="435"/>
      <c r="AZ145" s="435"/>
      <c r="BA145" s="435"/>
      <c r="BB145" s="435"/>
      <c r="BC145" s="435"/>
      <c r="BD145" s="435"/>
      <c r="BE145" s="435"/>
      <c r="BF145" s="435"/>
      <c r="BG145" s="435"/>
    </row>
    <row r="146" spans="1:59" ht="16.5" customHeight="1">
      <c r="A146" s="255" t="s">
        <v>52</v>
      </c>
      <c r="C146" s="547">
        <f>ROUND(SUM(C135+C142),1)</f>
        <v>8292.7000000000007</v>
      </c>
      <c r="D146" s="545"/>
      <c r="E146" s="547">
        <f>ROUND(SUM(E135+E142),1)</f>
        <v>-7342.6</v>
      </c>
      <c r="F146" s="545"/>
      <c r="G146" s="547">
        <f>ROUND(SUM(G135+G142),1)</f>
        <v>2803.5</v>
      </c>
      <c r="H146" s="545"/>
      <c r="I146" s="547">
        <f>ROUND(SUM(I135+I142),1)</f>
        <v>-953.5</v>
      </c>
      <c r="J146" s="545"/>
      <c r="K146" s="547">
        <f>ROUND(SUM(K135+K142),1)</f>
        <v>965.5</v>
      </c>
      <c r="L146" s="545"/>
      <c r="M146" s="547">
        <f>ROUND(SUM(M135+M142),1)</f>
        <v>569.6</v>
      </c>
      <c r="N146" s="545"/>
      <c r="O146" s="547">
        <f>ROUND(SUM(O135+O142),1)</f>
        <v>29.8</v>
      </c>
      <c r="P146" s="545"/>
      <c r="Q146" s="3259">
        <f>ROUND(SUM(Q135+Q142),1)</f>
        <v>-2249.1</v>
      </c>
      <c r="R146" s="545"/>
      <c r="S146" s="547">
        <f>ROUND(SUM(S135+S142),1)</f>
        <v>2809.4</v>
      </c>
      <c r="T146" s="545"/>
      <c r="U146" s="547">
        <f>ROUND(SUM(U135+U142),1)</f>
        <v>4727.7</v>
      </c>
      <c r="V146" s="545"/>
      <c r="W146" s="547">
        <f>ROUND(SUM(W135+W142),1)</f>
        <v>865.1</v>
      </c>
      <c r="X146" s="545"/>
      <c r="Y146" s="547">
        <f>ROUND(SUM(Y135+Y142),1)</f>
        <v>0</v>
      </c>
      <c r="Z146" s="545"/>
      <c r="AA146" s="546"/>
      <c r="AB146" s="3259">
        <f>ROUND(SUM(AB135+AB142),1)</f>
        <v>10518.1</v>
      </c>
      <c r="AC146" s="3258"/>
      <c r="AD146" s="3496"/>
      <c r="AE146" s="3259">
        <f>AE135+AE142</f>
        <v>5642.6</v>
      </c>
      <c r="AF146" s="3258"/>
      <c r="AG146" s="3258"/>
      <c r="AH146" s="3491">
        <f>ROUND(SUM(AB146-AE146),1)</f>
        <v>4875.5</v>
      </c>
      <c r="AI146" s="255"/>
      <c r="AJ146" s="3492">
        <f>ROUND(IF(AE146=0,0,AH146/ABS(AE146)),3)</f>
        <v>0.86399999999999999</v>
      </c>
      <c r="AK146" s="3470"/>
      <c r="AL146" s="435"/>
      <c r="AM146" s="435"/>
      <c r="AN146" s="435"/>
      <c r="AO146" s="435"/>
      <c r="AP146" s="435"/>
      <c r="AQ146" s="435"/>
      <c r="AR146" s="435"/>
      <c r="AS146" s="435"/>
      <c r="AT146" s="435"/>
      <c r="AU146" s="435"/>
      <c r="AV146" s="435"/>
      <c r="AW146" s="435"/>
      <c r="AX146" s="435"/>
      <c r="AY146" s="435"/>
      <c r="AZ146" s="435"/>
      <c r="BA146" s="435"/>
      <c r="BB146" s="435"/>
      <c r="BC146" s="435"/>
      <c r="BD146" s="435"/>
      <c r="BE146" s="435"/>
      <c r="BF146" s="435"/>
      <c r="BG146" s="435"/>
    </row>
    <row r="147" spans="1:59" ht="16.5" customHeight="1">
      <c r="A147" s="207"/>
      <c r="C147" s="524"/>
      <c r="E147" s="524"/>
      <c r="G147" s="524"/>
      <c r="I147" s="524"/>
      <c r="K147" s="524"/>
      <c r="M147" s="524"/>
      <c r="O147" s="524"/>
      <c r="Q147" s="3247"/>
      <c r="S147" s="524"/>
      <c r="U147" s="524"/>
      <c r="W147" s="524"/>
      <c r="Y147" s="524"/>
      <c r="AA147" s="548"/>
      <c r="AB147" s="3247"/>
      <c r="AD147" s="3497"/>
      <c r="AE147" s="3247"/>
      <c r="AH147" s="902"/>
      <c r="AI147" s="902"/>
      <c r="AJ147" s="902"/>
    </row>
    <row r="148" spans="1:59" ht="16.5" customHeight="1" thickBot="1">
      <c r="A148" s="549" t="s">
        <v>142</v>
      </c>
      <c r="C148" s="550">
        <f>ROUND(SUM(C16+C146),1)</f>
        <v>18267.7</v>
      </c>
      <c r="D148" s="251"/>
      <c r="E148" s="550">
        <f>ROUND(SUM(E16+E146),1)</f>
        <v>10925.1</v>
      </c>
      <c r="F148" s="251"/>
      <c r="G148" s="550">
        <f>ROUND(SUM(G16+G146),1)</f>
        <v>13728.6</v>
      </c>
      <c r="H148" s="251"/>
      <c r="I148" s="550">
        <f>ROUND(SUM(I16+I146),1)</f>
        <v>12775.1</v>
      </c>
      <c r="J148" s="551"/>
      <c r="K148" s="550">
        <f>ROUND(SUM(K16+K146),1)</f>
        <v>13740.6</v>
      </c>
      <c r="L148" s="551"/>
      <c r="M148" s="550">
        <f>ROUND(SUM(M16+M146),1)</f>
        <v>14310.2</v>
      </c>
      <c r="N148" s="551"/>
      <c r="O148" s="550">
        <f>ROUND(SUM(O16+O146),1)</f>
        <v>14340</v>
      </c>
      <c r="P148" s="551"/>
      <c r="Q148" s="3260">
        <f>ROUND(SUM(Q16+Q146),1)</f>
        <v>12090.9</v>
      </c>
      <c r="R148" s="551"/>
      <c r="S148" s="550">
        <f>ROUND(SUM(S16+S146),1)</f>
        <v>14900.3</v>
      </c>
      <c r="T148" s="551"/>
      <c r="U148" s="550">
        <f>ROUND(SUM(U16+U146),1)</f>
        <v>19628</v>
      </c>
      <c r="V148" s="551"/>
      <c r="W148" s="550">
        <f>ROUND(SUM(W16+W146),1)</f>
        <v>20493.099999999999</v>
      </c>
      <c r="X148" s="551"/>
      <c r="Y148" s="550">
        <f>ROUND(SUM(Y16+Y146),1)</f>
        <v>0</v>
      </c>
      <c r="Z148" s="251"/>
      <c r="AA148" s="552"/>
      <c r="AB148" s="3260">
        <f>ROUND(SUM(AB16+AB146),1)</f>
        <v>20493.099999999999</v>
      </c>
      <c r="AC148" s="3261"/>
      <c r="AD148" s="3498"/>
      <c r="AE148" s="3260">
        <f>AE16+AE146</f>
        <v>18391.599999999999</v>
      </c>
      <c r="AF148" s="3261"/>
      <c r="AG148" s="3261"/>
      <c r="AH148" s="3260">
        <f>ROUND(SUM(AB148-AE148),1)</f>
        <v>2101.5</v>
      </c>
      <c r="AI148" s="255"/>
      <c r="AJ148" s="3499">
        <f>ROUND(IF(AE148=0,0,AH148/ABS(AE148)),3)</f>
        <v>0.114</v>
      </c>
      <c r="AK148" s="3470"/>
    </row>
    <row r="149" spans="1:59" ht="16.5" customHeight="1" thickTop="1">
      <c r="A149" s="553"/>
      <c r="C149" s="213"/>
      <c r="AH149" s="902"/>
      <c r="AI149" s="902"/>
      <c r="AJ149" s="902"/>
    </row>
    <row r="150" spans="1:59" ht="16.5" customHeight="1">
      <c r="A150" s="360" t="s">
        <v>143</v>
      </c>
      <c r="AH150" s="902"/>
      <c r="AI150" s="902"/>
      <c r="AJ150" s="902"/>
    </row>
    <row r="151" spans="1:59" ht="16.5" customHeight="1">
      <c r="A151" s="30"/>
      <c r="AH151" s="902"/>
      <c r="AI151" s="902"/>
      <c r="AJ151" s="902"/>
    </row>
    <row r="152" spans="1:59" ht="16.5" customHeight="1">
      <c r="A152" s="30"/>
      <c r="AH152" s="902"/>
      <c r="AI152" s="902"/>
      <c r="AJ152" s="902"/>
    </row>
    <row r="153" spans="1:59" ht="16.5" customHeight="1">
      <c r="A153" s="30"/>
      <c r="AH153" s="902"/>
      <c r="AI153" s="902"/>
      <c r="AJ153" s="902"/>
    </row>
    <row r="154" spans="1:59" ht="16.5" customHeight="1">
      <c r="AH154" s="902"/>
      <c r="AI154" s="902"/>
      <c r="AJ154" s="902"/>
    </row>
    <row r="155" spans="1:59" ht="16.5" customHeight="1">
      <c r="AH155" s="902"/>
      <c r="AI155" s="902"/>
      <c r="AJ155" s="902"/>
    </row>
    <row r="156" spans="1:59" ht="16.5" customHeight="1">
      <c r="AH156" s="902"/>
      <c r="AI156" s="902"/>
      <c r="AJ156" s="902"/>
    </row>
    <row r="157" spans="1:59" ht="16.5" customHeight="1">
      <c r="AH157" s="902"/>
      <c r="AI157" s="902"/>
      <c r="AJ157" s="902"/>
    </row>
    <row r="158" spans="1:59" ht="16.5" customHeight="1">
      <c r="AH158" s="902"/>
      <c r="AI158" s="902"/>
      <c r="AJ158" s="902"/>
    </row>
    <row r="159" spans="1:59" ht="16.5" customHeight="1">
      <c r="AH159" s="902"/>
      <c r="AI159" s="902"/>
      <c r="AJ159" s="902"/>
    </row>
    <row r="160" spans="1:59" ht="16.5" customHeight="1">
      <c r="AH160" s="902"/>
      <c r="AI160" s="902"/>
      <c r="AJ160" s="902"/>
    </row>
    <row r="161" spans="34:36" ht="16.5" customHeight="1">
      <c r="AH161" s="902"/>
      <c r="AI161" s="902"/>
      <c r="AJ161" s="902"/>
    </row>
    <row r="162" spans="34:36" ht="16.5" customHeight="1">
      <c r="AH162" s="902"/>
      <c r="AI162" s="902"/>
      <c r="AJ162" s="902"/>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ignoredErrors>
    <ignoredError sqref="AJ58:AJ72 AJ74:AJ85 AJ139:AJ148 AJ88:AJ93 AJ96:AJ137 AJ29:AJ34 AJ21:AJ27 AJ41:AJ56 AJ36:AJ38 AJ39" unlockedFormula="1"/>
    <ignoredError sqref="AH26 AH35:AI35 AH24:AH25 AH95:AI95 AJ57" formula="1"/>
    <ignoredError sqref="AJ35 AJ40" formula="1" unlockedFormula="1"/>
    <ignoredError sqref="C13 U13 AC14:AD1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5"/>
  <sheetViews>
    <sheetView showGridLines="0" zoomScale="80" zoomScaleNormal="50" workbookViewId="0"/>
  </sheetViews>
  <sheetFormatPr defaultColWidth="8.88671875" defaultRowHeight="16.5" customHeight="1"/>
  <cols>
    <col min="1" max="1" width="43" style="2850" customWidth="1"/>
    <col min="2" max="2" width="1.88671875" style="2850" customWidth="1"/>
    <col min="3" max="3" width="13.109375" style="2850" customWidth="1"/>
    <col min="4" max="4" width="1.88671875" style="2850" customWidth="1"/>
    <col min="5" max="5" width="13.109375" style="2850" customWidth="1"/>
    <col min="6" max="6" width="1.88671875" style="2850" customWidth="1"/>
    <col min="7" max="7" width="13.5546875" style="2850" customWidth="1"/>
    <col min="8" max="8" width="1.88671875" style="2850" customWidth="1"/>
    <col min="9" max="9" width="13.88671875" style="2850" customWidth="1"/>
    <col min="10" max="10" width="1.88671875" style="2850" customWidth="1"/>
    <col min="11" max="11" width="14.5546875" style="2850" customWidth="1"/>
    <col min="12" max="12" width="1.88671875" style="2850" customWidth="1"/>
    <col min="13" max="13" width="13.109375" style="2850" customWidth="1"/>
    <col min="14" max="14" width="1.88671875" style="2850" customWidth="1"/>
    <col min="15" max="15" width="14.109375" style="2850" customWidth="1"/>
    <col min="16" max="16" width="1.88671875" style="2850" customWidth="1"/>
    <col min="17" max="17" width="13.109375" style="2850" customWidth="1"/>
    <col min="18" max="18" width="1.88671875" style="2850" customWidth="1"/>
    <col min="19" max="19" width="13.88671875" style="2850" customWidth="1"/>
    <col min="20" max="20" width="1.88671875" style="2850" customWidth="1"/>
    <col min="21" max="21" width="13" style="2850" customWidth="1"/>
    <col min="22" max="22" width="1.88671875" style="2850" customWidth="1"/>
    <col min="23" max="23" width="13.109375" style="2850" customWidth="1"/>
    <col min="24" max="24" width="1.88671875" style="2850" customWidth="1"/>
    <col min="25" max="25" width="13.109375" style="2850" customWidth="1"/>
    <col min="26" max="27" width="1.88671875" style="2850" customWidth="1"/>
    <col min="28" max="28" width="15" style="2035" customWidth="1"/>
    <col min="29" max="30" width="1.88671875" style="2035" customWidth="1"/>
    <col min="31" max="31" width="12.109375" style="2035" customWidth="1"/>
    <col min="32" max="32" width="1.109375" style="2035" customWidth="1"/>
    <col min="33" max="33" width="1.88671875" style="2035" customWidth="1"/>
    <col min="34" max="34" width="12.88671875" style="2035" bestFit="1" customWidth="1"/>
    <col min="35" max="35" width="1" style="2035" customWidth="1"/>
    <col min="36" max="36" width="12.109375" style="2035" bestFit="1" customWidth="1"/>
    <col min="37" max="16384" width="8.88671875" style="2850"/>
  </cols>
  <sheetData>
    <row r="1" spans="1:37" ht="15">
      <c r="A1" s="2849" t="s">
        <v>979</v>
      </c>
    </row>
    <row r="2" spans="1:37" ht="15">
      <c r="A2" s="1461"/>
    </row>
    <row r="3" spans="1:37" ht="23.25">
      <c r="A3" s="2851" t="s">
        <v>0</v>
      </c>
      <c r="B3" s="1468"/>
      <c r="C3" s="1468"/>
      <c r="D3" s="1468"/>
      <c r="E3" s="1468"/>
      <c r="F3" s="1468"/>
      <c r="G3" s="1468"/>
      <c r="H3" s="1468"/>
      <c r="I3" s="1468"/>
      <c r="J3" s="1468"/>
      <c r="K3" s="1468"/>
      <c r="L3" s="1468"/>
      <c r="M3" s="1468"/>
      <c r="N3" s="1468"/>
      <c r="O3" s="1468"/>
      <c r="P3" s="1468"/>
      <c r="Q3" s="1468"/>
      <c r="R3" s="1468"/>
      <c r="S3" s="1468"/>
      <c r="T3" s="1468"/>
      <c r="U3" s="1468"/>
      <c r="V3" s="1468"/>
      <c r="W3" s="1468"/>
      <c r="X3" s="1468"/>
      <c r="Y3" s="1468"/>
      <c r="Z3" s="1468"/>
      <c r="AA3" s="1468"/>
      <c r="AB3" s="3221"/>
      <c r="AC3" s="3221"/>
      <c r="AD3" s="3221"/>
      <c r="AE3" s="3221"/>
      <c r="AF3" s="3221"/>
      <c r="AG3" s="3221"/>
      <c r="AI3" s="3221"/>
    </row>
    <row r="4" spans="1:37" ht="23.25">
      <c r="A4" s="2851" t="s">
        <v>1181</v>
      </c>
      <c r="B4" s="1468"/>
      <c r="C4" s="1468"/>
      <c r="D4" s="1468"/>
      <c r="E4" s="1468"/>
      <c r="F4" s="1468"/>
      <c r="G4" s="1468"/>
      <c r="H4" s="1468"/>
      <c r="I4" s="1468" t="s">
        <v>15</v>
      </c>
      <c r="J4" s="1468"/>
      <c r="K4" s="1468"/>
      <c r="L4" s="1468"/>
      <c r="M4" s="1468"/>
      <c r="N4" s="1468"/>
      <c r="O4" s="1468"/>
      <c r="P4" s="1468"/>
      <c r="Q4" s="1468"/>
      <c r="R4" s="1468"/>
      <c r="S4" s="1468"/>
      <c r="T4" s="1468"/>
      <c r="U4" s="1468"/>
      <c r="V4" s="1468"/>
      <c r="W4" s="1468"/>
      <c r="X4" s="1468"/>
      <c r="Y4" s="1468" t="s">
        <v>15</v>
      </c>
      <c r="Z4" s="1468"/>
      <c r="AA4" s="1468"/>
      <c r="AB4" s="3221"/>
      <c r="AC4" s="3221"/>
      <c r="AD4" s="3221"/>
      <c r="AE4" s="3221"/>
      <c r="AF4" s="3221"/>
      <c r="AG4" s="3221"/>
      <c r="AI4" s="3221"/>
    </row>
    <row r="5" spans="1:37" ht="23.25" customHeight="1">
      <c r="A5" s="2852" t="s">
        <v>1182</v>
      </c>
      <c r="B5" s="1468"/>
      <c r="C5" s="1468"/>
      <c r="D5" s="1468"/>
      <c r="E5" s="1468"/>
      <c r="F5" s="1468"/>
      <c r="G5" s="1468"/>
      <c r="H5" s="1468"/>
      <c r="I5" s="1468"/>
      <c r="J5" s="1468"/>
      <c r="K5" s="1468"/>
      <c r="L5" s="1468"/>
      <c r="M5" s="1468"/>
      <c r="N5" s="1468"/>
      <c r="O5" s="1468"/>
      <c r="P5" s="1468"/>
      <c r="Q5" s="1468"/>
      <c r="R5" s="1468"/>
      <c r="S5" s="1468"/>
      <c r="T5" s="1468"/>
      <c r="U5" s="1468"/>
      <c r="V5" s="1468"/>
      <c r="W5" s="1468"/>
      <c r="X5" s="1468"/>
      <c r="Y5" s="1468"/>
      <c r="Z5" s="1468"/>
      <c r="AA5" s="1468"/>
      <c r="AC5" s="3925"/>
      <c r="AD5" s="3926"/>
      <c r="AE5" s="3926"/>
      <c r="AF5" s="3926"/>
      <c r="AG5" s="3926"/>
      <c r="AH5" s="3926"/>
      <c r="AI5" s="3926"/>
      <c r="AJ5" s="3926"/>
    </row>
    <row r="6" spans="1:37" ht="23.25">
      <c r="A6" s="2852" t="str">
        <f>'Cashflow Governmental'!A6</f>
        <v xml:space="preserve">FISCAL YEAR 2019-2020   </v>
      </c>
      <c r="B6" s="1468"/>
      <c r="C6" s="1468"/>
      <c r="D6" s="1468"/>
      <c r="E6" s="1468"/>
      <c r="F6" s="1468"/>
      <c r="G6" s="1468"/>
      <c r="H6" s="1468"/>
      <c r="I6" s="1468"/>
      <c r="J6" s="1468"/>
      <c r="K6" s="1468"/>
      <c r="L6" s="1468"/>
      <c r="M6" s="1468"/>
      <c r="N6" s="1468"/>
      <c r="O6" s="1468"/>
      <c r="P6" s="1468"/>
      <c r="Q6" s="1468"/>
      <c r="R6" s="1468"/>
      <c r="S6" s="1468"/>
      <c r="T6" s="1468"/>
      <c r="U6" s="1468"/>
      <c r="V6" s="1468"/>
      <c r="W6" s="1468"/>
      <c r="X6" s="1468"/>
      <c r="Y6" s="1468"/>
      <c r="Z6" s="1468"/>
      <c r="AA6" s="1468"/>
      <c r="AB6" s="3221"/>
      <c r="AC6" s="3221"/>
      <c r="AD6" s="3221"/>
      <c r="AE6" s="3221"/>
      <c r="AF6" s="3221"/>
      <c r="AG6" s="3221"/>
      <c r="AI6" s="3221"/>
    </row>
    <row r="7" spans="1:37" ht="23.25" customHeight="1">
      <c r="A7" s="2851" t="s">
        <v>1416</v>
      </c>
      <c r="B7" s="1468"/>
      <c r="C7" s="1468"/>
      <c r="D7" s="1468"/>
      <c r="E7" s="1468"/>
      <c r="F7" s="1468"/>
      <c r="G7" s="1468"/>
      <c r="H7" s="1468"/>
      <c r="I7" s="1468"/>
      <c r="J7" s="1468"/>
      <c r="K7" s="1468"/>
      <c r="L7" s="1468"/>
      <c r="M7" s="1468"/>
      <c r="N7" s="1468"/>
      <c r="O7" s="1468"/>
      <c r="P7" s="1468"/>
      <c r="Q7" s="1468"/>
      <c r="R7" s="1468"/>
      <c r="S7" s="1468"/>
      <c r="T7" s="1468"/>
      <c r="U7" s="1468"/>
      <c r="V7" s="1468"/>
      <c r="W7" s="1468"/>
      <c r="X7" s="1468"/>
      <c r="Y7" s="1468"/>
      <c r="Z7" s="1468"/>
      <c r="AA7" s="1468"/>
      <c r="AB7" s="3221"/>
      <c r="AC7" s="3221"/>
      <c r="AD7" s="3221"/>
      <c r="AE7" s="3221"/>
      <c r="AF7" s="3221"/>
      <c r="AG7" s="3221"/>
      <c r="AI7" s="3221"/>
    </row>
    <row r="8" spans="1:37" ht="15">
      <c r="A8" s="1468"/>
      <c r="B8" s="1468"/>
      <c r="C8" s="1468"/>
      <c r="D8" s="1468"/>
      <c r="E8" s="1468"/>
      <c r="F8" s="1468"/>
      <c r="G8" s="1468"/>
      <c r="H8" s="1468"/>
      <c r="I8" s="1468"/>
      <c r="J8" s="1468"/>
      <c r="K8" s="1468"/>
      <c r="L8" s="1468"/>
      <c r="M8" s="1468"/>
      <c r="N8" s="1468"/>
      <c r="O8" s="1468"/>
      <c r="P8" s="1468"/>
      <c r="Q8" s="1468"/>
      <c r="R8" s="1468"/>
      <c r="S8" s="1468"/>
      <c r="T8" s="1468"/>
      <c r="U8" s="1468"/>
      <c r="V8" s="1468"/>
      <c r="W8" s="1468"/>
      <c r="X8" s="1468"/>
      <c r="Y8" s="1468"/>
      <c r="Z8" s="1468"/>
      <c r="AA8" s="1468"/>
      <c r="AB8" s="3221"/>
      <c r="AC8" s="3221"/>
      <c r="AD8" s="3221"/>
      <c r="AE8" s="3221"/>
      <c r="AF8" s="3221"/>
      <c r="AG8" s="3221"/>
      <c r="AI8" s="3221"/>
    </row>
    <row r="9" spans="1:37" ht="15">
      <c r="A9" s="1468"/>
      <c r="B9" s="1468"/>
      <c r="C9" s="1468"/>
      <c r="D9" s="1468"/>
      <c r="E9" s="1468"/>
      <c r="F9" s="1468"/>
      <c r="G9" s="1468"/>
      <c r="H9" s="1468"/>
      <c r="I9" s="1468"/>
      <c r="J9" s="1468"/>
      <c r="K9" s="1468"/>
      <c r="L9" s="1468"/>
      <c r="M9" s="1468"/>
      <c r="N9" s="1468"/>
      <c r="O9" s="1468"/>
      <c r="P9" s="1468"/>
      <c r="Q9" s="1468"/>
      <c r="R9" s="1468"/>
      <c r="S9" s="1468"/>
      <c r="T9" s="1468"/>
      <c r="U9" s="1468"/>
      <c r="V9" s="1468"/>
      <c r="W9" s="1468"/>
      <c r="X9" s="1468"/>
      <c r="Y9" s="1468"/>
      <c r="Z9" s="1468"/>
      <c r="AA9" s="1468"/>
      <c r="AB9" s="3221"/>
      <c r="AC9" s="3221"/>
      <c r="AD9" s="3221"/>
      <c r="AE9" s="3221"/>
      <c r="AF9" s="3221"/>
      <c r="AG9" s="3221"/>
      <c r="AI9" s="3221"/>
    </row>
    <row r="10" spans="1:37" ht="15">
      <c r="A10" s="1468"/>
      <c r="B10" s="1468"/>
      <c r="C10" s="1468"/>
      <c r="D10" s="1468"/>
      <c r="E10" s="1468"/>
      <c r="F10" s="1468"/>
      <c r="G10" s="1468"/>
      <c r="H10" s="1468"/>
      <c r="I10" s="1468"/>
      <c r="J10" s="1468"/>
      <c r="K10" s="1468"/>
      <c r="L10" s="1468"/>
      <c r="M10" s="1468"/>
      <c r="N10" s="1468"/>
      <c r="O10" s="1468"/>
      <c r="P10" s="1468"/>
      <c r="Q10" s="1468"/>
      <c r="R10" s="1468"/>
      <c r="S10" s="1468"/>
      <c r="T10" s="1468"/>
      <c r="U10" s="1468"/>
      <c r="V10" s="1468"/>
      <c r="W10" s="1468"/>
      <c r="X10" s="1468"/>
      <c r="Y10" s="1468"/>
      <c r="Z10" s="1468"/>
      <c r="AA10" s="1468"/>
      <c r="AB10" s="3221"/>
      <c r="AC10" s="3221"/>
      <c r="AD10" s="3221"/>
      <c r="AE10" s="3221"/>
      <c r="AF10" s="3221"/>
      <c r="AG10" s="3221"/>
      <c r="AI10" s="3221"/>
    </row>
    <row r="11" spans="1:37" ht="15">
      <c r="A11" s="1468"/>
      <c r="B11" s="1468"/>
      <c r="C11" s="1468"/>
      <c r="D11" s="1468"/>
      <c r="E11" s="1468"/>
      <c r="F11" s="1468"/>
      <c r="G11" s="1468"/>
      <c r="H11" s="1468"/>
      <c r="I11" s="1468"/>
      <c r="J11" s="1468"/>
      <c r="K11" s="1468"/>
      <c r="L11" s="1468"/>
      <c r="M11" s="1468"/>
      <c r="N11" s="1468"/>
      <c r="O11" s="1468"/>
      <c r="P11" s="1468"/>
      <c r="Q11" s="1468"/>
      <c r="R11" s="1468"/>
      <c r="S11" s="1468"/>
      <c r="T11" s="1468"/>
      <c r="U11" s="1468"/>
      <c r="V11" s="1468"/>
      <c r="W11" s="1468"/>
      <c r="X11" s="1468"/>
      <c r="Y11" s="1468"/>
      <c r="Z11" s="1468"/>
      <c r="AA11" s="1468"/>
      <c r="AC11" s="3221"/>
      <c r="AD11" s="3221"/>
      <c r="AE11" s="3221"/>
      <c r="AF11" s="3221"/>
      <c r="AG11" s="3221"/>
      <c r="AI11" s="3221"/>
    </row>
    <row r="12" spans="1:37" ht="15.75">
      <c r="A12" s="1468"/>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Z12" s="1468"/>
      <c r="AA12" s="2853"/>
      <c r="AB12" s="3927" t="str">
        <f>'Cashflow Governmental'!AB12:AJ12</f>
        <v>11 Months Ended February 29</v>
      </c>
      <c r="AC12" s="3927"/>
      <c r="AD12" s="3927"/>
      <c r="AE12" s="3927"/>
      <c r="AF12" s="3927"/>
      <c r="AG12" s="3927"/>
      <c r="AH12" s="3927"/>
      <c r="AI12" s="3927"/>
      <c r="AJ12" s="3927"/>
    </row>
    <row r="13" spans="1:37" ht="15.75">
      <c r="A13" s="1468"/>
      <c r="B13" s="1468"/>
      <c r="C13" s="2485" t="str">
        <f>'Cashflow Governmental'!C13</f>
        <v>2019</v>
      </c>
      <c r="D13" s="2486"/>
      <c r="E13" s="2486"/>
      <c r="F13" s="2486"/>
      <c r="G13" s="2486"/>
      <c r="H13" s="2486"/>
      <c r="I13" s="2486"/>
      <c r="J13" s="2486"/>
      <c r="K13" s="2486"/>
      <c r="L13" s="2486"/>
      <c r="M13" s="2486"/>
      <c r="N13" s="2486"/>
      <c r="O13" s="2486"/>
      <c r="P13" s="2486"/>
      <c r="Q13" s="2486"/>
      <c r="R13" s="2486"/>
      <c r="S13" s="2486"/>
      <c r="T13" s="2486"/>
      <c r="U13" s="2485" t="str">
        <f>'Cashflow Governmental'!U13</f>
        <v>2020</v>
      </c>
      <c r="V13" s="2486"/>
      <c r="W13" s="2486"/>
      <c r="X13" s="2486"/>
      <c r="Y13" s="2486"/>
      <c r="Z13" s="2486"/>
      <c r="AA13" s="2486"/>
      <c r="AB13" s="3205"/>
      <c r="AC13" s="3262"/>
      <c r="AD13" s="3262"/>
      <c r="AE13" s="3262"/>
      <c r="AF13" s="3205"/>
      <c r="AG13" s="3205"/>
      <c r="AH13" s="3500" t="s">
        <v>8</v>
      </c>
      <c r="AI13" s="3501"/>
      <c r="AJ13" s="3500" t="s">
        <v>9</v>
      </c>
    </row>
    <row r="14" spans="1:37" ht="15.75">
      <c r="A14" s="1468"/>
      <c r="B14" s="1468"/>
      <c r="C14" s="2854" t="s">
        <v>125</v>
      </c>
      <c r="D14" s="2486"/>
      <c r="E14" s="2854" t="s">
        <v>126</v>
      </c>
      <c r="F14" s="2486"/>
      <c r="G14" s="2854" t="s">
        <v>127</v>
      </c>
      <c r="H14" s="2486"/>
      <c r="I14" s="2854" t="s">
        <v>128</v>
      </c>
      <c r="J14" s="2486"/>
      <c r="K14" s="2854" t="s">
        <v>129</v>
      </c>
      <c r="L14" s="2486"/>
      <c r="M14" s="2854" t="s">
        <v>130</v>
      </c>
      <c r="N14" s="2486"/>
      <c r="O14" s="2854" t="s">
        <v>131</v>
      </c>
      <c r="P14" s="2486"/>
      <c r="Q14" s="2855" t="s">
        <v>132</v>
      </c>
      <c r="R14" s="2486"/>
      <c r="S14" s="2854" t="s">
        <v>133</v>
      </c>
      <c r="T14" s="2486"/>
      <c r="U14" s="2854" t="s">
        <v>134</v>
      </c>
      <c r="V14" s="2486"/>
      <c r="W14" s="2854" t="s">
        <v>135</v>
      </c>
      <c r="X14" s="2486"/>
      <c r="Y14" s="2854" t="s">
        <v>136</v>
      </c>
      <c r="Z14" s="2486"/>
      <c r="AA14" s="2486"/>
      <c r="AB14" s="3540">
        <f>'Cashflow Governmental'!AB14</f>
        <v>2020</v>
      </c>
      <c r="AC14" s="3205"/>
      <c r="AD14" s="3205"/>
      <c r="AE14" s="3540">
        <f>'Cashflow Governmental'!AE14</f>
        <v>2019</v>
      </c>
      <c r="AF14" s="3262"/>
      <c r="AG14" s="3262"/>
      <c r="AH14" s="3502" t="s">
        <v>12</v>
      </c>
      <c r="AI14" s="3501"/>
      <c r="AJ14" s="3502" t="s">
        <v>13</v>
      </c>
    </row>
    <row r="15" spans="1:37" ht="5.25" customHeight="1">
      <c r="A15" s="1468"/>
      <c r="B15" s="1468"/>
      <c r="C15" s="2856"/>
      <c r="D15" s="1468"/>
      <c r="E15" s="2856"/>
      <c r="F15" s="1468"/>
      <c r="G15" s="2856"/>
      <c r="H15" s="1468"/>
      <c r="I15" s="2856"/>
      <c r="J15" s="1468"/>
      <c r="K15" s="2856"/>
      <c r="L15" s="1468"/>
      <c r="M15" s="2856"/>
      <c r="N15" s="1468"/>
      <c r="O15" s="2856" t="s">
        <v>15</v>
      </c>
      <c r="P15" s="1468"/>
      <c r="Q15" s="2857"/>
      <c r="R15" s="1468"/>
      <c r="S15" s="2856"/>
      <c r="T15" s="1468"/>
      <c r="U15" s="2856" t="s">
        <v>15</v>
      </c>
      <c r="V15" s="1468"/>
      <c r="W15" s="2856"/>
      <c r="X15" s="1468"/>
      <c r="Y15" s="2856"/>
      <c r="Z15" s="1468"/>
      <c r="AA15" s="1468"/>
      <c r="AB15" s="3541"/>
      <c r="AC15" s="3221"/>
      <c r="AD15" s="3221"/>
      <c r="AE15" s="3541"/>
      <c r="AF15" s="3503"/>
      <c r="AG15" s="3503"/>
      <c r="AI15" s="3221"/>
    </row>
    <row r="16" spans="1:37" ht="15.75">
      <c r="A16" s="2858" t="s">
        <v>137</v>
      </c>
      <c r="B16" s="1468"/>
      <c r="C16" s="2859">
        <f>'Exhibit F'!D12+'Exh D Special Revenue State Fed'!G40+'Exhibit H'!B12</f>
        <v>12361.3</v>
      </c>
      <c r="D16" s="2860"/>
      <c r="E16" s="2860">
        <f>C147</f>
        <v>18718.2</v>
      </c>
      <c r="F16" s="2860"/>
      <c r="G16" s="2860">
        <f>E147</f>
        <v>12243.5</v>
      </c>
      <c r="H16" s="2860"/>
      <c r="I16" s="2860">
        <f>G147</f>
        <v>14049.7</v>
      </c>
      <c r="J16" s="2860"/>
      <c r="K16" s="2860">
        <f>I147</f>
        <v>14506.1</v>
      </c>
      <c r="L16" s="2860"/>
      <c r="M16" s="2860">
        <f>K147</f>
        <v>14735.4</v>
      </c>
      <c r="N16" s="2860"/>
      <c r="O16" s="2860">
        <f>M147</f>
        <v>14633.6</v>
      </c>
      <c r="P16" s="2860"/>
      <c r="Q16" s="2860">
        <f>O147</f>
        <v>14770.1</v>
      </c>
      <c r="R16" s="2860"/>
      <c r="S16" s="2860">
        <f>Q147</f>
        <v>12595</v>
      </c>
      <c r="T16" s="2860"/>
      <c r="U16" s="2860">
        <f>S147</f>
        <v>14023.2</v>
      </c>
      <c r="V16" s="2860"/>
      <c r="W16" s="2860">
        <f>U147</f>
        <v>19009.099999999999</v>
      </c>
      <c r="X16" s="2860"/>
      <c r="Y16" s="2860"/>
      <c r="Z16" s="2860"/>
      <c r="AA16" s="2861"/>
      <c r="AB16" s="2859">
        <f>C16</f>
        <v>12361.3</v>
      </c>
      <c r="AC16" s="2859"/>
      <c r="AD16" s="3542"/>
      <c r="AE16" s="2859">
        <f>'Exhibit F'!AF12+'Exhibit G State'!AG13+'Exhibit H'!AD12</f>
        <v>13606.6</v>
      </c>
      <c r="AF16" s="3504"/>
      <c r="AG16" s="3504"/>
      <c r="AH16" s="2859">
        <f>ROUND(SUM(AB16-AE16),1)</f>
        <v>-1245.3</v>
      </c>
      <c r="AI16" s="3205"/>
      <c r="AJ16" s="1898">
        <f>ROUND(SUM(AH16/AE16),3)</f>
        <v>-9.1999999999999998E-2</v>
      </c>
      <c r="AK16" s="2862"/>
    </row>
    <row r="17" spans="1:36" ht="15.75">
      <c r="A17" s="1468"/>
      <c r="B17" s="1468"/>
      <c r="C17" s="1468" t="s">
        <v>15</v>
      </c>
      <c r="D17" s="1468"/>
      <c r="E17" s="2783"/>
      <c r="F17" s="1468"/>
      <c r="G17" s="2783"/>
      <c r="H17" s="1468"/>
      <c r="I17" s="2783"/>
      <c r="J17" s="1468"/>
      <c r="K17" s="2783"/>
      <c r="L17" s="1468"/>
      <c r="M17" s="2783"/>
      <c r="N17" s="1468"/>
      <c r="O17" s="2783"/>
      <c r="P17" s="1468"/>
      <c r="Q17" s="2783"/>
      <c r="R17" s="1468"/>
      <c r="S17" s="2783"/>
      <c r="T17" s="1468"/>
      <c r="U17" s="2783"/>
      <c r="V17" s="1468"/>
      <c r="W17" s="2860"/>
      <c r="X17" s="1468"/>
      <c r="Y17" s="2783"/>
      <c r="Z17" s="1468"/>
      <c r="AA17" s="2863"/>
      <c r="AB17" s="3221" t="s">
        <v>15</v>
      </c>
      <c r="AC17" s="3221"/>
      <c r="AD17" s="3543"/>
      <c r="AE17" s="3221" t="s">
        <v>15</v>
      </c>
      <c r="AF17" s="3503"/>
      <c r="AG17" s="3503"/>
      <c r="AH17" s="3505"/>
      <c r="AI17" s="3221"/>
      <c r="AJ17" s="3505"/>
    </row>
    <row r="18" spans="1:36" ht="15.75">
      <c r="A18" s="2055" t="s">
        <v>14</v>
      </c>
      <c r="B18" s="1468"/>
      <c r="C18" s="1468"/>
      <c r="D18" s="1468"/>
      <c r="E18" s="2783"/>
      <c r="F18" s="1468"/>
      <c r="G18" s="2783"/>
      <c r="H18" s="1468"/>
      <c r="I18" s="2783"/>
      <c r="J18" s="1468"/>
      <c r="K18" s="2783"/>
      <c r="L18" s="1468"/>
      <c r="M18" s="2783"/>
      <c r="N18" s="1468"/>
      <c r="O18" s="2783"/>
      <c r="P18" s="1468"/>
      <c r="Q18" s="2783"/>
      <c r="R18" s="1468"/>
      <c r="S18" s="2783"/>
      <c r="T18" s="1468"/>
      <c r="U18" s="2783"/>
      <c r="V18" s="1468"/>
      <c r="W18" s="2783"/>
      <c r="X18" s="1468"/>
      <c r="Y18" s="2783"/>
      <c r="Z18" s="1468"/>
      <c r="AA18" s="2863"/>
      <c r="AB18" s="3221"/>
      <c r="AC18" s="3221"/>
      <c r="AD18" s="3543"/>
      <c r="AE18" s="3221"/>
      <c r="AF18" s="3503"/>
      <c r="AG18" s="3503"/>
      <c r="AH18" s="3505"/>
      <c r="AI18" s="3221"/>
      <c r="AJ18" s="3505"/>
    </row>
    <row r="19" spans="1:36" ht="15.75">
      <c r="A19" s="2514" t="s">
        <v>1097</v>
      </c>
      <c r="B19" s="1468"/>
      <c r="C19" s="1468"/>
      <c r="D19" s="1468"/>
      <c r="E19" s="2783"/>
      <c r="F19" s="1468"/>
      <c r="G19" s="2783"/>
      <c r="H19" s="1468"/>
      <c r="I19" s="2783"/>
      <c r="J19" s="1468"/>
      <c r="K19" s="2783"/>
      <c r="L19" s="1468"/>
      <c r="M19" s="2783"/>
      <c r="N19" s="1468"/>
      <c r="O19" s="2783"/>
      <c r="P19" s="1468"/>
      <c r="Q19" s="2783"/>
      <c r="R19" s="1468"/>
      <c r="S19" s="2783"/>
      <c r="T19" s="1468"/>
      <c r="U19" s="2783"/>
      <c r="V19" s="1468"/>
      <c r="W19" s="2783"/>
      <c r="X19" s="1468"/>
      <c r="Y19" s="2783"/>
      <c r="Z19" s="1468"/>
      <c r="AA19" s="2864"/>
      <c r="AB19" s="3221"/>
      <c r="AC19" s="3221"/>
      <c r="AD19" s="3543"/>
      <c r="AE19" s="3221"/>
      <c r="AF19" s="3503"/>
      <c r="AG19" s="3503"/>
      <c r="AH19" s="3505"/>
      <c r="AI19" s="3221"/>
      <c r="AJ19" s="3505"/>
    </row>
    <row r="20" spans="1:36" ht="15">
      <c r="A20" s="2515" t="s">
        <v>1164</v>
      </c>
      <c r="B20" s="1468"/>
      <c r="C20" s="1468"/>
      <c r="D20" s="1468"/>
      <c r="E20" s="1467"/>
      <c r="F20" s="1468"/>
      <c r="G20" s="2783"/>
      <c r="H20" s="1468"/>
      <c r="I20" s="2783"/>
      <c r="J20" s="1468"/>
      <c r="K20" s="2783"/>
      <c r="L20" s="1468"/>
      <c r="M20" s="2783"/>
      <c r="N20" s="1468"/>
      <c r="O20" s="2783"/>
      <c r="P20" s="1468"/>
      <c r="Q20" s="2783"/>
      <c r="R20" s="1468"/>
      <c r="S20" s="2783"/>
      <c r="T20" s="1468"/>
      <c r="U20" s="2783"/>
      <c r="V20" s="1468"/>
      <c r="W20" s="2783"/>
      <c r="X20" s="1468"/>
      <c r="Y20" s="2783"/>
      <c r="Z20" s="1468"/>
      <c r="AA20" s="2863"/>
      <c r="AB20" s="3221"/>
      <c r="AC20" s="3221"/>
      <c r="AD20" s="3543"/>
      <c r="AE20" s="3221"/>
      <c r="AF20" s="3503"/>
      <c r="AG20" s="3503"/>
      <c r="AH20" s="3505"/>
      <c r="AI20" s="3221"/>
      <c r="AJ20" s="3505"/>
    </row>
    <row r="21" spans="1:36" ht="15">
      <c r="A21" s="2285" t="s">
        <v>1103</v>
      </c>
      <c r="B21" s="1468"/>
      <c r="C21" s="1467">
        <f>+'Exhibit F'!D17</f>
        <v>3237.1</v>
      </c>
      <c r="D21" s="1467"/>
      <c r="E21" s="1467">
        <f>+'Exhibit F'!F17</f>
        <v>3220.1</v>
      </c>
      <c r="F21" s="1467"/>
      <c r="G21" s="1467">
        <f>+'Exhibit F'!H17</f>
        <v>2922.2999999999997</v>
      </c>
      <c r="H21" s="1467"/>
      <c r="I21" s="1467">
        <f>+'Exhibit F'!J17</f>
        <v>3365.7999999999988</v>
      </c>
      <c r="J21" s="1467"/>
      <c r="K21" s="1467">
        <f>+'Exhibit F'!L17</f>
        <v>2933.7000000000012</v>
      </c>
      <c r="L21" s="1467"/>
      <c r="M21" s="1467">
        <f>+'Exhibit F'!N17</f>
        <v>2851.0999999999981</v>
      </c>
      <c r="N21" s="1467"/>
      <c r="O21" s="1467">
        <f>+'Exhibit F'!P17</f>
        <v>3270.6000000000045</v>
      </c>
      <c r="P21" s="1468"/>
      <c r="Q21" s="1467">
        <f>+'Exhibit F'!R17</f>
        <v>2981.8000000000006</v>
      </c>
      <c r="R21" s="1468"/>
      <c r="S21" s="1467">
        <f>+'Exhibit F'!T17</f>
        <v>4054.2999999999997</v>
      </c>
      <c r="T21" s="1468"/>
      <c r="U21" s="1467">
        <f>+'Exhibit F'!V17</f>
        <v>5045.6000000000022</v>
      </c>
      <c r="V21" s="1468"/>
      <c r="W21" s="1467">
        <f>+'Exhibit F'!X17</f>
        <v>4686.5999999999967</v>
      </c>
      <c r="X21" s="1468"/>
      <c r="Y21" s="1467"/>
      <c r="Z21" s="1468"/>
      <c r="AA21" s="2863"/>
      <c r="AB21" s="3263">
        <f>ROUND(SUM(C21:Y21),1)</f>
        <v>38569</v>
      </c>
      <c r="AC21" s="3221"/>
      <c r="AD21" s="3543"/>
      <c r="AE21" s="3263">
        <f>+'Exhibit F'!AF17</f>
        <v>36762.199999999997</v>
      </c>
      <c r="AF21" s="3503"/>
      <c r="AG21" s="3503"/>
      <c r="AH21" s="2045">
        <f>ROUND(SUM(+AB21-AE21),1)</f>
        <v>1806.8</v>
      </c>
      <c r="AI21" s="2520"/>
      <c r="AJ21" s="1859">
        <f t="shared" ref="AJ21:AJ26" si="0">ROUND(SUM(+AH21/ABS(AE21)),3)</f>
        <v>4.9000000000000002E-2</v>
      </c>
    </row>
    <row r="22" spans="1:36" ht="15">
      <c r="A22" s="2285" t="s">
        <v>1391</v>
      </c>
      <c r="B22" s="1468"/>
      <c r="C22" s="1467">
        <f>+'Exhibit F'!D18</f>
        <v>6843.2</v>
      </c>
      <c r="D22" s="1467"/>
      <c r="E22" s="1467">
        <f>+'Exhibit F'!F18</f>
        <v>112.60000000000036</v>
      </c>
      <c r="F22" s="1467"/>
      <c r="G22" s="1467">
        <f>+'Exhibit F'!H18</f>
        <v>2396.4000000000005</v>
      </c>
      <c r="H22" s="1467"/>
      <c r="I22" s="1467">
        <f>+'Exhibit F'!J18</f>
        <v>118.69999999999891</v>
      </c>
      <c r="J22" s="1467"/>
      <c r="K22" s="1467">
        <f>+'Exhibit F'!L18</f>
        <v>98.700000000000728</v>
      </c>
      <c r="L22" s="1467"/>
      <c r="M22" s="1467">
        <f>+'Exhibit F'!N18</f>
        <v>2742</v>
      </c>
      <c r="N22" s="1467"/>
      <c r="O22" s="1467">
        <f>+'Exhibit F'!P18</f>
        <v>170.89999999999964</v>
      </c>
      <c r="P22" s="1468"/>
      <c r="Q22" s="1467">
        <f>+'Exhibit F'!R18</f>
        <v>93.5</v>
      </c>
      <c r="R22" s="1468"/>
      <c r="S22" s="1467">
        <f>+'Exhibit F'!T18</f>
        <v>379.79999999999927</v>
      </c>
      <c r="T22" s="1468"/>
      <c r="U22" s="1467">
        <f>+'Exhibit F'!V18</f>
        <v>3842.2</v>
      </c>
      <c r="V22" s="1468"/>
      <c r="W22" s="1467">
        <f>+'Exhibit F'!X18</f>
        <v>101.79999999999927</v>
      </c>
      <c r="X22" s="1468"/>
      <c r="Y22" s="1467"/>
      <c r="Z22" s="1468"/>
      <c r="AA22" s="2863"/>
      <c r="AB22" s="3263">
        <f>ROUND(SUM(C22:Y22),1)</f>
        <v>16899.8</v>
      </c>
      <c r="AC22" s="3221"/>
      <c r="AD22" s="3543"/>
      <c r="AE22" s="3263">
        <f>+'Exhibit F'!AF18</f>
        <v>13886.4</v>
      </c>
      <c r="AF22" s="3503"/>
      <c r="AG22" s="3503"/>
      <c r="AH22" s="2045">
        <f t="shared" ref="AH22:AH28" si="1">ROUND(SUM(+AB22-AE22),1)</f>
        <v>3013.4</v>
      </c>
      <c r="AI22" s="2520"/>
      <c r="AJ22" s="1859">
        <f t="shared" si="0"/>
        <v>0.217</v>
      </c>
    </row>
    <row r="23" spans="1:36" ht="15">
      <c r="A23" s="2285" t="s">
        <v>1104</v>
      </c>
      <c r="B23" s="1468"/>
      <c r="C23" s="1467">
        <f>+'Exhibit F'!D19</f>
        <v>2286.9</v>
      </c>
      <c r="D23" s="1467"/>
      <c r="E23" s="1467">
        <f>+'Exhibit F'!F19</f>
        <v>75.099999999999994</v>
      </c>
      <c r="F23" s="1467"/>
      <c r="G23" s="1467">
        <f>+'Exhibit F'!H19</f>
        <v>54.1</v>
      </c>
      <c r="H23" s="1467"/>
      <c r="I23" s="1467">
        <f>+'Exhibit F'!J19</f>
        <v>40.800000000000004</v>
      </c>
      <c r="J23" s="1467"/>
      <c r="K23" s="1467">
        <f>+'Exhibit F'!L19</f>
        <v>45.099999999999916</v>
      </c>
      <c r="L23" s="1467"/>
      <c r="M23" s="1467">
        <f>+'Exhibit F'!N19</f>
        <v>65.5</v>
      </c>
      <c r="N23" s="1467"/>
      <c r="O23" s="1467">
        <f>+'Exhibit F'!P19</f>
        <v>564.19999999999982</v>
      </c>
      <c r="P23" s="1468"/>
      <c r="Q23" s="1467">
        <f>+'Exhibit F'!R19</f>
        <v>42.500000000000455</v>
      </c>
      <c r="R23" s="1468"/>
      <c r="S23" s="1467">
        <f>+'Exhibit F'!T19</f>
        <v>24.599999999999909</v>
      </c>
      <c r="T23" s="1468"/>
      <c r="U23" s="1467">
        <f>+'Exhibit F'!V19</f>
        <v>25.699999999999818</v>
      </c>
      <c r="V23" s="1468"/>
      <c r="W23" s="1467">
        <f>+'Exhibit F'!X19</f>
        <v>63.300000000000182</v>
      </c>
      <c r="X23" s="1468"/>
      <c r="Y23" s="1467"/>
      <c r="Z23" s="1468"/>
      <c r="AA23" s="2863"/>
      <c r="AB23" s="3263">
        <f t="shared" ref="AB23:AB29" si="2">ROUND(SUM(C23:Y23),1)</f>
        <v>3287.8</v>
      </c>
      <c r="AC23" s="3221"/>
      <c r="AD23" s="3543"/>
      <c r="AE23" s="3263">
        <f>+'Exhibit F'!AF19</f>
        <v>2525.1999999999998</v>
      </c>
      <c r="AF23" s="3503"/>
      <c r="AG23" s="3503"/>
      <c r="AH23" s="2045">
        <f t="shared" si="1"/>
        <v>762.6</v>
      </c>
      <c r="AI23" s="2520"/>
      <c r="AJ23" s="1859">
        <f t="shared" si="0"/>
        <v>0.30199999999999999</v>
      </c>
    </row>
    <row r="24" spans="1:36" ht="15">
      <c r="A24" s="2865" t="s">
        <v>1105</v>
      </c>
      <c r="B24" s="1468"/>
      <c r="C24" s="1467">
        <f>+'Exhibit F'!D20</f>
        <v>-296.89999999999998</v>
      </c>
      <c r="D24" s="1467"/>
      <c r="E24" s="1467">
        <f>+'Exhibit F'!F20</f>
        <v>-31.100000000000023</v>
      </c>
      <c r="F24" s="1467"/>
      <c r="G24" s="1467">
        <f>+'Exhibit F'!H20</f>
        <v>-25.899999999999977</v>
      </c>
      <c r="H24" s="1467"/>
      <c r="I24" s="1467">
        <f>+'Exhibit F'!J20</f>
        <v>-21</v>
      </c>
      <c r="J24" s="1467"/>
      <c r="K24" s="1467">
        <f>+'Exhibit F'!L20</f>
        <v>-20.900000000000034</v>
      </c>
      <c r="L24" s="1467"/>
      <c r="M24" s="1467">
        <f>+'Exhibit F'!N20</f>
        <v>-47.199999999999989</v>
      </c>
      <c r="N24" s="1467"/>
      <c r="O24" s="1467">
        <f>+'Exhibit F'!P20</f>
        <v>-475.39999999999992</v>
      </c>
      <c r="P24" s="1468"/>
      <c r="Q24" s="1467">
        <f>+'Exhibit F'!R20</f>
        <v>-59.499999999999943</v>
      </c>
      <c r="R24" s="1468"/>
      <c r="S24" s="1467">
        <f>+'Exhibit F'!T20</f>
        <v>-17.700000000000045</v>
      </c>
      <c r="T24" s="1468"/>
      <c r="U24" s="1467">
        <f>+'Exhibit F'!V20</f>
        <v>-9.6000000000001364</v>
      </c>
      <c r="V24" s="1468"/>
      <c r="W24" s="1467">
        <f>+'Exhibit F'!X20</f>
        <v>-40.700000000000045</v>
      </c>
      <c r="X24" s="1468"/>
      <c r="Y24" s="1467"/>
      <c r="Z24" s="1468"/>
      <c r="AA24" s="2863"/>
      <c r="AB24" s="3263">
        <f>ROUND(SUM(C24:Y24),1)</f>
        <v>-1045.9000000000001</v>
      </c>
      <c r="AC24" s="3221"/>
      <c r="AD24" s="3543"/>
      <c r="AE24" s="3263">
        <f>+'Exhibit F'!AF20</f>
        <v>-1064.5</v>
      </c>
      <c r="AF24" s="3503"/>
      <c r="AG24" s="3503"/>
      <c r="AH24" s="2045">
        <f>-ROUND(SUM(+AB24-AE24),1)</f>
        <v>-18.600000000000001</v>
      </c>
      <c r="AI24" s="2520"/>
      <c r="AJ24" s="1859">
        <f t="shared" si="0"/>
        <v>-1.7000000000000001E-2</v>
      </c>
    </row>
    <row r="25" spans="1:36" ht="15">
      <c r="A25" s="2865" t="s">
        <v>1390</v>
      </c>
      <c r="B25" s="1468"/>
      <c r="C25" s="1467">
        <f>+'Exhibit F'!D21</f>
        <v>170.3</v>
      </c>
      <c r="D25" s="1467"/>
      <c r="E25" s="1467">
        <f>+'Exhibit F'!F21</f>
        <v>105.19999999999999</v>
      </c>
      <c r="F25" s="1467"/>
      <c r="G25" s="1467">
        <f>+'Exhibit F'!H21</f>
        <v>96.199999999999989</v>
      </c>
      <c r="H25" s="1467"/>
      <c r="I25" s="1467">
        <f>+'Exhibit F'!J21</f>
        <v>89.300000000000011</v>
      </c>
      <c r="J25" s="1467"/>
      <c r="K25" s="1467">
        <f>+'Exhibit F'!L21</f>
        <v>95.700000000000045</v>
      </c>
      <c r="L25" s="1467"/>
      <c r="M25" s="1467">
        <f>+'Exhibit F'!N21</f>
        <v>91.699999999999932</v>
      </c>
      <c r="N25" s="1467"/>
      <c r="O25" s="1467">
        <f>+'Exhibit F'!P21</f>
        <v>104.30000000000013</v>
      </c>
      <c r="P25" s="1468"/>
      <c r="Q25" s="1467">
        <f>+'Exhibit F'!R21</f>
        <v>121.59999999999985</v>
      </c>
      <c r="R25" s="1468"/>
      <c r="S25" s="1467">
        <f>+'Exhibit F'!T21</f>
        <v>134.59999999999991</v>
      </c>
      <c r="T25" s="1468"/>
      <c r="U25" s="1467">
        <f>+'Exhibit F'!V21</f>
        <v>87.200000000000273</v>
      </c>
      <c r="V25" s="1468"/>
      <c r="W25" s="1467">
        <f>+'Exhibit F'!X21</f>
        <v>116.59999999999991</v>
      </c>
      <c r="X25" s="1468"/>
      <c r="Y25" s="1467"/>
      <c r="Z25" s="1468"/>
      <c r="AA25" s="2863"/>
      <c r="AB25" s="3263">
        <f t="shared" si="2"/>
        <v>1212.7</v>
      </c>
      <c r="AC25" s="3221"/>
      <c r="AD25" s="3543"/>
      <c r="AE25" s="3263">
        <f>+'Exhibit F'!AF21</f>
        <v>1181.5999999999999</v>
      </c>
      <c r="AF25" s="3503"/>
      <c r="AG25" s="3503"/>
      <c r="AH25" s="2045">
        <f t="shared" si="1"/>
        <v>31.1</v>
      </c>
      <c r="AI25" s="2520"/>
      <c r="AJ25" s="1859">
        <f t="shared" si="0"/>
        <v>2.5999999999999999E-2</v>
      </c>
    </row>
    <row r="26" spans="1:36" ht="15.75">
      <c r="A26" s="2367" t="s">
        <v>1106</v>
      </c>
      <c r="B26" s="1468"/>
      <c r="C26" s="2087">
        <f>ROUND(SUM(C21:C25),1)</f>
        <v>12240.6</v>
      </c>
      <c r="D26" s="1468"/>
      <c r="E26" s="2087">
        <f>ROUND(SUM(E21:E25),1)</f>
        <v>3481.9</v>
      </c>
      <c r="F26" s="1468"/>
      <c r="G26" s="2087">
        <f>ROUND(SUM(G21:G25),1)</f>
        <v>5443.1</v>
      </c>
      <c r="H26" s="1468"/>
      <c r="I26" s="2087">
        <f>ROUND(SUM(I21:I25),1)</f>
        <v>3593.6</v>
      </c>
      <c r="J26" s="1468"/>
      <c r="K26" s="2087">
        <f>ROUND(SUM(K21:K25),1)</f>
        <v>3152.3</v>
      </c>
      <c r="L26" s="1468"/>
      <c r="M26" s="2087">
        <f>ROUND(SUM(M21:M25),1)</f>
        <v>5703.1</v>
      </c>
      <c r="N26" s="1468"/>
      <c r="O26" s="2087">
        <f>ROUND(SUM(O21:O25),1)</f>
        <v>3634.6</v>
      </c>
      <c r="P26" s="1468"/>
      <c r="Q26" s="2087">
        <f>ROUND(SUM(Q21:Q25),1)</f>
        <v>3179.9</v>
      </c>
      <c r="R26" s="1468"/>
      <c r="S26" s="2087">
        <f>ROUND(SUM(S21:S25),1)</f>
        <v>4575.6000000000004</v>
      </c>
      <c r="T26" s="1468"/>
      <c r="U26" s="2087">
        <f>ROUND(SUM(U21:U25),1)</f>
        <v>8991.1</v>
      </c>
      <c r="V26" s="1468"/>
      <c r="W26" s="2087">
        <f>ROUND(SUM(W21:W25),1)</f>
        <v>4927.6000000000004</v>
      </c>
      <c r="X26" s="1468"/>
      <c r="Y26" s="2087">
        <f>ROUND(SUM(Y21:Y25),1)</f>
        <v>0</v>
      </c>
      <c r="Z26" s="1468"/>
      <c r="AA26" s="2863"/>
      <c r="AB26" s="1488">
        <f>ROUND(SUM(AB21:AB25),1)</f>
        <v>58923.4</v>
      </c>
      <c r="AC26" s="3221"/>
      <c r="AD26" s="3543"/>
      <c r="AE26" s="1488">
        <f>ROUND(SUM(AE21:AE25),1)</f>
        <v>53290.9</v>
      </c>
      <c r="AF26" s="3503"/>
      <c r="AG26" s="3503"/>
      <c r="AH26" s="2062">
        <f t="shared" si="1"/>
        <v>5632.5</v>
      </c>
      <c r="AI26" s="2520"/>
      <c r="AJ26" s="2604">
        <f t="shared" si="0"/>
        <v>0.106</v>
      </c>
    </row>
    <row r="27" spans="1:36" ht="15">
      <c r="A27" s="2865" t="s">
        <v>1108</v>
      </c>
      <c r="B27" s="1468"/>
      <c r="C27" s="1467">
        <f>+'Exhibit F'!D23+'Exhibit G State'!D17</f>
        <v>0</v>
      </c>
      <c r="D27" s="1468"/>
      <c r="E27" s="1467">
        <f>+'Exhibit F'!F23+'Exhibit G State'!F17</f>
        <v>0</v>
      </c>
      <c r="F27" s="1468"/>
      <c r="G27" s="1467">
        <f>+'Exhibit F'!H23+'Exhibit G State'!H17</f>
        <v>0</v>
      </c>
      <c r="H27" s="1468"/>
      <c r="I27" s="1467">
        <f>+'Exhibit F'!J23+'Exhibit G State'!J17</f>
        <v>0</v>
      </c>
      <c r="J27" s="1468"/>
      <c r="K27" s="1467">
        <f>+'Exhibit F'!L23+'Exhibit G State'!L17</f>
        <v>0</v>
      </c>
      <c r="L27" s="1468"/>
      <c r="M27" s="1467">
        <f>+'Exhibit F'!N23+'Exhibit G State'!N17</f>
        <v>0</v>
      </c>
      <c r="N27" s="1468"/>
      <c r="O27" s="1467">
        <f>+'Exhibit F'!P23+'Exhibit G State'!P17</f>
        <v>0</v>
      </c>
      <c r="P27" s="1468"/>
      <c r="Q27" s="1467">
        <f>+'Exhibit F'!R23+'Exhibit G State'!R17</f>
        <v>0</v>
      </c>
      <c r="R27" s="1468"/>
      <c r="S27" s="1467">
        <f>+'Exhibit F'!T23+'Exhibit G State'!T17</f>
        <v>0</v>
      </c>
      <c r="T27" s="1468"/>
      <c r="U27" s="1467">
        <f>+'Exhibit F'!V23+'Exhibit G State'!V17</f>
        <v>0</v>
      </c>
      <c r="V27" s="1468"/>
      <c r="W27" s="1467">
        <f>+'Exhibit F'!X23+'Exhibit G State'!X17</f>
        <v>0</v>
      </c>
      <c r="X27" s="1468"/>
      <c r="Y27" s="1467"/>
      <c r="Z27" s="1468"/>
      <c r="AA27" s="2863"/>
      <c r="AB27" s="3263">
        <f>ROUND(SUM(C27:Y27),1)</f>
        <v>0</v>
      </c>
      <c r="AC27" s="3221"/>
      <c r="AD27" s="3543"/>
      <c r="AE27" s="3263">
        <f>+'Exhibit F'!AF23+'Exhibit G State'!AG17</f>
        <v>0</v>
      </c>
      <c r="AF27" s="3503"/>
      <c r="AG27" s="3503"/>
      <c r="AH27" s="2045">
        <f t="shared" si="1"/>
        <v>0</v>
      </c>
      <c r="AI27" s="2520"/>
      <c r="AJ27" s="1765">
        <f>ROUND(IF(AE27=0,0,AH27/ABS(AE27)),3)</f>
        <v>0</v>
      </c>
    </row>
    <row r="28" spans="1:36" ht="15">
      <c r="A28" s="2865" t="s">
        <v>1109</v>
      </c>
      <c r="B28" s="1468"/>
      <c r="C28" s="1467">
        <f>+'Exhibit F'!D24+'Exhibit H'!B16</f>
        <v>0</v>
      </c>
      <c r="D28" s="1468"/>
      <c r="E28" s="1467">
        <f>ROUND(+'Exhibit F'!F24+'Exhibit H'!D16,1)</f>
        <v>0</v>
      </c>
      <c r="F28" s="1468"/>
      <c r="G28" s="1467">
        <f>ROUND(+'Exhibit F'!H24+'Exhibit H'!F16,1)</f>
        <v>0</v>
      </c>
      <c r="H28" s="1468"/>
      <c r="I28" s="1467">
        <f>ROUND(+'Exhibit F'!J24+'Exhibit H'!H16,1)</f>
        <v>0</v>
      </c>
      <c r="J28" s="1468"/>
      <c r="K28" s="1467">
        <f>ROUND(+'Exhibit F'!L24+'Exhibit H'!J16,1)</f>
        <v>0</v>
      </c>
      <c r="L28" s="1468"/>
      <c r="M28" s="1467">
        <f>ROUND(+'Exhibit F'!N24+'Exhibit H'!L16,1)</f>
        <v>0</v>
      </c>
      <c r="N28" s="1468"/>
      <c r="O28" s="1467">
        <f>ROUND(+'Exhibit F'!P24+'Exhibit H'!N16,1)</f>
        <v>0</v>
      </c>
      <c r="P28" s="1468"/>
      <c r="Q28" s="1467">
        <f>ROUND(+'Exhibit F'!R24+'Exhibit H'!P16,1)</f>
        <v>0</v>
      </c>
      <c r="R28" s="1468"/>
      <c r="S28" s="1467">
        <f>ROUND(+'Exhibit F'!T24+'Exhibit H'!R16,1)</f>
        <v>0</v>
      </c>
      <c r="T28" s="1468"/>
      <c r="U28" s="1467">
        <f>ROUND(+'Exhibit F'!V24+'Exhibit H'!T16,1)</f>
        <v>0</v>
      </c>
      <c r="V28" s="1468"/>
      <c r="W28" s="1467">
        <f>ROUND(+'Exhibit F'!X24+'Exhibit H'!V16,1)</f>
        <v>0</v>
      </c>
      <c r="X28" s="1468"/>
      <c r="Y28" s="1467"/>
      <c r="Z28" s="1468"/>
      <c r="AA28" s="2863"/>
      <c r="AB28" s="3263">
        <f t="shared" si="2"/>
        <v>0</v>
      </c>
      <c r="AC28" s="3221"/>
      <c r="AD28" s="3543"/>
      <c r="AE28" s="3263">
        <f>+'Exhibit F'!AF24+'Exhibit H'!AD16</f>
        <v>0</v>
      </c>
      <c r="AF28" s="3503"/>
      <c r="AG28" s="3503"/>
      <c r="AH28" s="2045">
        <f t="shared" si="1"/>
        <v>0</v>
      </c>
      <c r="AI28" s="2520"/>
      <c r="AJ28" s="1765">
        <f>ROUND(IF(AE28=0,0,AH28/ABS(AE28)),3)</f>
        <v>0</v>
      </c>
    </row>
    <row r="29" spans="1:36" ht="15">
      <c r="A29" s="2285" t="s">
        <v>1392</v>
      </c>
      <c r="B29" s="1467"/>
      <c r="C29" s="1467">
        <f>+'Exhibit F'!D25</f>
        <v>-3025.2</v>
      </c>
      <c r="D29" s="1467"/>
      <c r="E29" s="1467">
        <f>+'Exhibit F'!F25</f>
        <v>-997.30000000000018</v>
      </c>
      <c r="F29" s="1467"/>
      <c r="G29" s="1467">
        <f>+'Exhibit F'!H25</f>
        <v>-233.19999999999982</v>
      </c>
      <c r="H29" s="1467"/>
      <c r="I29" s="1467">
        <f>+'Exhibit F'!J25</f>
        <v>-262</v>
      </c>
      <c r="J29" s="1467"/>
      <c r="K29" s="1467">
        <f>+'Exhibit F'!L25</f>
        <v>-243.80000000000018</v>
      </c>
      <c r="L29" s="1468"/>
      <c r="M29" s="1467">
        <f>+'Exhibit F'!N25</f>
        <v>-871.69999999999982</v>
      </c>
      <c r="N29" s="1468"/>
      <c r="O29" s="1467">
        <f>+'Exhibit F'!P25</f>
        <v>-1056.1999999999998</v>
      </c>
      <c r="P29" s="1468"/>
      <c r="Q29" s="1467">
        <f>+'Exhibit F'!R25</f>
        <v>-710.5</v>
      </c>
      <c r="R29" s="1468"/>
      <c r="S29" s="1467">
        <f>+'Exhibit F'!T25</f>
        <v>-287.60000000000036</v>
      </c>
      <c r="T29" s="1468"/>
      <c r="U29" s="1467">
        <f>+'Exhibit F'!V25</f>
        <v>-91.899999999999636</v>
      </c>
      <c r="V29" s="1468"/>
      <c r="W29" s="1467">
        <f>+'Exhibit F'!X25</f>
        <v>-1230.8000000000011</v>
      </c>
      <c r="X29" s="1468"/>
      <c r="Y29" s="1467"/>
      <c r="Z29" s="1468"/>
      <c r="AA29" s="2863"/>
      <c r="AB29" s="3263">
        <f t="shared" si="2"/>
        <v>-9010.2000000000007</v>
      </c>
      <c r="AC29" s="3221"/>
      <c r="AD29" s="3543"/>
      <c r="AE29" s="3263">
        <f>+'Exhibit F'!AF25</f>
        <v>-8762.6</v>
      </c>
      <c r="AF29" s="3503"/>
      <c r="AG29" s="3503"/>
      <c r="AH29" s="2045">
        <f>-ROUND(SUM(+AB29-AE29),1)</f>
        <v>247.6</v>
      </c>
      <c r="AI29" s="2520"/>
      <c r="AJ29" s="1859">
        <f>ROUND(SUM(+AH29/ABS(AE29)),3)</f>
        <v>2.8000000000000001E-2</v>
      </c>
    </row>
    <row r="30" spans="1:36" ht="15.75">
      <c r="A30" s="2525" t="s">
        <v>1107</v>
      </c>
      <c r="B30" s="1468"/>
      <c r="C30" s="2087">
        <f>ROUND(SUM(C26+C27+C28+C29),1)</f>
        <v>9215.4</v>
      </c>
      <c r="D30" s="1468"/>
      <c r="E30" s="2087">
        <f>ROUND(SUM(E26+E27+E28+E29),1)</f>
        <v>2484.6</v>
      </c>
      <c r="F30" s="1468"/>
      <c r="G30" s="2087">
        <f>ROUND(SUM(G26+G27+G28+G29),1)</f>
        <v>5209.8999999999996</v>
      </c>
      <c r="H30" s="1468"/>
      <c r="I30" s="2087">
        <f>ROUND(SUM(I26+I27+I28+I29),1)</f>
        <v>3331.6</v>
      </c>
      <c r="J30" s="1468"/>
      <c r="K30" s="2087">
        <f>ROUND(SUM(K26+K27+K28+K29),1)</f>
        <v>2908.5</v>
      </c>
      <c r="L30" s="1468"/>
      <c r="M30" s="2087">
        <f>ROUND(SUM(M26+M27+M28+M29),1)</f>
        <v>4831.3999999999996</v>
      </c>
      <c r="N30" s="1468"/>
      <c r="O30" s="2087">
        <f>ROUND(SUM(O26+O27+O28+O29),1)</f>
        <v>2578.4</v>
      </c>
      <c r="P30" s="1468"/>
      <c r="Q30" s="2087">
        <f>ROUND(SUM(Q26+Q27+Q28+Q29),1)</f>
        <v>2469.4</v>
      </c>
      <c r="R30" s="1468"/>
      <c r="S30" s="2087">
        <f>ROUND(SUM(S26+S27+S28+S29),1)</f>
        <v>4288</v>
      </c>
      <c r="T30" s="1468"/>
      <c r="U30" s="2087">
        <f>ROUND(SUM(U26+U27+U28+U29),1)</f>
        <v>8899.2000000000007</v>
      </c>
      <c r="V30" s="1468"/>
      <c r="W30" s="2087">
        <f>ROUND(SUM(W26+W27+W28+W29),1)</f>
        <v>3696.8</v>
      </c>
      <c r="X30" s="1468"/>
      <c r="Y30" s="2087">
        <f>ROUND(SUM(Y26+Y27+Y28+Y29),1)</f>
        <v>0</v>
      </c>
      <c r="Z30" s="1468"/>
      <c r="AA30" s="2863"/>
      <c r="AB30" s="1488">
        <f>ROUND(SUM(AB26+AB27+AB28+AB29),1)</f>
        <v>49913.2</v>
      </c>
      <c r="AC30" s="3221"/>
      <c r="AD30" s="3543"/>
      <c r="AE30" s="1488">
        <f>ROUND(SUM(AE26+AE27+AE28+AE29),1)</f>
        <v>44528.3</v>
      </c>
      <c r="AF30" s="3503"/>
      <c r="AG30" s="3503"/>
      <c r="AH30" s="1488">
        <f>ROUND(SUM(AH26+AH27+AH28-AH29),1)</f>
        <v>5384.9</v>
      </c>
      <c r="AI30" s="3506"/>
      <c r="AJ30" s="2604">
        <f>ROUND(SUM(+AH30/ABS(AE30)),3)</f>
        <v>0.121</v>
      </c>
    </row>
    <row r="31" spans="1:36" ht="15">
      <c r="A31" s="2515" t="s">
        <v>1161</v>
      </c>
      <c r="B31" s="1468"/>
      <c r="C31" s="1468"/>
      <c r="D31" s="1468"/>
      <c r="E31" s="1468"/>
      <c r="F31" s="1468"/>
      <c r="G31" s="1468"/>
      <c r="H31" s="1468"/>
      <c r="I31" s="1468"/>
      <c r="J31" s="1468"/>
      <c r="K31" s="1468"/>
      <c r="L31" s="1468"/>
      <c r="M31" s="1468"/>
      <c r="N31" s="1468"/>
      <c r="O31" s="1468"/>
      <c r="P31" s="1468"/>
      <c r="Q31" s="1468"/>
      <c r="R31" s="1468"/>
      <c r="S31" s="1468"/>
      <c r="T31" s="1468"/>
      <c r="U31" s="1468"/>
      <c r="V31" s="1468"/>
      <c r="W31" s="1468"/>
      <c r="X31" s="1468"/>
      <c r="Y31" s="1468"/>
      <c r="Z31" s="1468"/>
      <c r="AA31" s="2863"/>
      <c r="AB31" s="3221"/>
      <c r="AC31" s="3221"/>
      <c r="AD31" s="3543"/>
      <c r="AE31" s="3263"/>
      <c r="AF31" s="3503"/>
      <c r="AG31" s="3503"/>
      <c r="AH31" s="3505"/>
      <c r="AI31" s="3221"/>
      <c r="AJ31" s="3505"/>
    </row>
    <row r="32" spans="1:36" ht="15">
      <c r="A32" s="2285" t="s">
        <v>1112</v>
      </c>
      <c r="B32" s="1468"/>
      <c r="C32" s="1467">
        <f>+'Exhibit F'!D28+'Exhibit H'!B19+'Exhibit G State'!D20</f>
        <v>1201.5999999999999</v>
      </c>
      <c r="D32" s="1467"/>
      <c r="E32" s="1467">
        <f>+'Exhibit F'!F28+'Exhibit H'!D19+'Exhibit G State'!F20</f>
        <v>1178.8000000000002</v>
      </c>
      <c r="F32" s="1467"/>
      <c r="G32" s="1467">
        <f>+'Exhibit F'!H28+'Exhibit H'!F19+'Exhibit G State'!H20</f>
        <v>1589.4999999999998</v>
      </c>
      <c r="H32" s="1467"/>
      <c r="I32" s="1467">
        <f>+'Exhibit F'!J28+'Exhibit H'!H19+'Exhibit G State'!J20</f>
        <v>1238.1999999999998</v>
      </c>
      <c r="J32" s="1467"/>
      <c r="K32" s="1467">
        <f>+'Exhibit F'!L28+'Exhibit H'!J19+'Exhibit G State'!L20</f>
        <v>1243.6000000000004</v>
      </c>
      <c r="L32" s="1468"/>
      <c r="M32" s="1467">
        <f>+'Exhibit F'!N28+'Exhibit H'!L19+'Exhibit G State'!N20</f>
        <v>1628.1999999999996</v>
      </c>
      <c r="N32" s="1468"/>
      <c r="O32" s="1467">
        <f>+'Exhibit F'!P28+'Exhibit H'!N19+'Exhibit G State'!P20</f>
        <v>1238.3000000000002</v>
      </c>
      <c r="P32" s="1468"/>
      <c r="Q32" s="1467">
        <f>+'Exhibit F'!R28+'Exhibit H'!P19+'Exhibit G State'!R20</f>
        <v>1250.6000000000001</v>
      </c>
      <c r="R32" s="1468"/>
      <c r="S32" s="1467">
        <f>+'Exhibit F'!T28+'Exhibit H'!R19+'Exhibit G State'!T20</f>
        <v>1586.8000000000006</v>
      </c>
      <c r="T32" s="1468"/>
      <c r="U32" s="1467">
        <f>+'Exhibit F'!V28+'Exhibit H'!T19+'Exhibit G State'!V20</f>
        <v>1360.8999999999999</v>
      </c>
      <c r="V32" s="1468"/>
      <c r="W32" s="1467">
        <f>+'Exhibit F'!X28+'Exhibit H'!V19+'Exhibit G State'!X20</f>
        <v>1118.6999999999996</v>
      </c>
      <c r="X32" s="1468"/>
      <c r="Y32" s="1467"/>
      <c r="Z32" s="1468"/>
      <c r="AA32" s="2863"/>
      <c r="AB32" s="3263">
        <f t="shared" ref="AB32:AB41" si="3">ROUND(SUM(C32:Y32),1)</f>
        <v>14635.2</v>
      </c>
      <c r="AC32" s="3221"/>
      <c r="AD32" s="3543"/>
      <c r="AE32" s="3263">
        <f>+'Exhibit F'!AF28+'Exhibit H'!AD19+'Exhibit G State'!AG20</f>
        <v>13792.5</v>
      </c>
      <c r="AF32" s="3503"/>
      <c r="AG32" s="3503"/>
      <c r="AH32" s="2045">
        <f t="shared" ref="AH32:AH41" si="4">ROUND(SUM(+AB32-AE32),1)</f>
        <v>842.7</v>
      </c>
      <c r="AI32" s="2520"/>
      <c r="AJ32" s="1859">
        <f>ROUND(SUM(+AH32/ABS(AE32)),3)</f>
        <v>6.0999999999999999E-2</v>
      </c>
    </row>
    <row r="33" spans="1:36" ht="15">
      <c r="A33" s="2285" t="s">
        <v>1113</v>
      </c>
      <c r="B33" s="1468"/>
      <c r="C33" s="1467">
        <f>+'Exhibit F'!D29+'Exhibit G State'!D21</f>
        <v>0</v>
      </c>
      <c r="D33" s="1467"/>
      <c r="E33" s="1467">
        <f>+'Exhibit F'!F29+'Exhibit G State'!F21</f>
        <v>0</v>
      </c>
      <c r="F33" s="1467"/>
      <c r="G33" s="1467">
        <f>+'Exhibit F'!H29+'Exhibit G State'!H21</f>
        <v>0</v>
      </c>
      <c r="H33" s="1467"/>
      <c r="I33" s="1467">
        <f>+'Exhibit F'!J29+'Exhibit G State'!J21</f>
        <v>0</v>
      </c>
      <c r="J33" s="1467"/>
      <c r="K33" s="1467">
        <f>+'Exhibit F'!L29+'Exhibit G State'!L21</f>
        <v>0</v>
      </c>
      <c r="L33" s="1468"/>
      <c r="M33" s="1467">
        <f>+'Exhibit F'!N29+'Exhibit G State'!N21</f>
        <v>7.3</v>
      </c>
      <c r="N33" s="1468"/>
      <c r="O33" s="1467">
        <f>+'Exhibit F'!P29+'Exhibit G State'!P21</f>
        <v>0</v>
      </c>
      <c r="P33" s="1468"/>
      <c r="Q33" s="1467">
        <f>+'Exhibit F'!R29+'Exhibit G State'!R21</f>
        <v>0</v>
      </c>
      <c r="R33" s="1468"/>
      <c r="S33" s="1467">
        <f>+'Exhibit F'!T29+'Exhibit G State'!T21</f>
        <v>5.6000000000000005</v>
      </c>
      <c r="T33" s="1468"/>
      <c r="U33" s="1467">
        <f>+'Exhibit F'!V29+'Exhibit G State'!V21</f>
        <v>0</v>
      </c>
      <c r="V33" s="1468"/>
      <c r="W33" s="1467">
        <f>+'Exhibit F'!X29+'Exhibit G State'!X21</f>
        <v>0</v>
      </c>
      <c r="X33" s="1468"/>
      <c r="Y33" s="1467"/>
      <c r="Z33" s="1468"/>
      <c r="AA33" s="2863"/>
      <c r="AB33" s="3263">
        <f t="shared" si="3"/>
        <v>12.9</v>
      </c>
      <c r="AC33" s="3221"/>
      <c r="AD33" s="3543"/>
      <c r="AE33" s="3263">
        <f>+'Exhibit F'!AF29+'Exhibit G State'!AG21</f>
        <v>40.700000000000003</v>
      </c>
      <c r="AF33" s="3503"/>
      <c r="AG33" s="3503"/>
      <c r="AH33" s="2045">
        <f t="shared" si="4"/>
        <v>-27.8</v>
      </c>
      <c r="AI33" s="2520"/>
      <c r="AJ33" s="1859">
        <f>ROUND(SUM(+AH33/ABS(AE33)),3)</f>
        <v>-0.68300000000000005</v>
      </c>
    </row>
    <row r="34" spans="1:36" ht="15">
      <c r="A34" s="2285" t="s">
        <v>1114</v>
      </c>
      <c r="B34" s="1468"/>
      <c r="C34" s="1467">
        <f>+'Exhibit F'!D30+'Exhibit G State'!D22</f>
        <v>89.2</v>
      </c>
      <c r="D34" s="1467"/>
      <c r="E34" s="1467">
        <f>+'Exhibit F'!F30+'Exhibit G State'!F22</f>
        <v>85.199999999999989</v>
      </c>
      <c r="F34" s="1467"/>
      <c r="G34" s="1467">
        <f>+'Exhibit F'!H30+'Exhibit G State'!H22</f>
        <v>83.800000000000011</v>
      </c>
      <c r="H34" s="1467"/>
      <c r="I34" s="1467">
        <f>+'Exhibit F'!J30+'Exhibit G State'!J22</f>
        <v>106.80000000000004</v>
      </c>
      <c r="J34" s="1467"/>
      <c r="K34" s="1467">
        <f>+'Exhibit F'!L30+'Exhibit G State'!L22</f>
        <v>92.199999999999974</v>
      </c>
      <c r="L34" s="1468"/>
      <c r="M34" s="1467">
        <f>+'Exhibit F'!N30+'Exhibit G State'!N22</f>
        <v>87.700000000000045</v>
      </c>
      <c r="N34" s="1468"/>
      <c r="O34" s="1467">
        <f>+'Exhibit F'!P30+'Exhibit G State'!P22</f>
        <v>93.8</v>
      </c>
      <c r="P34" s="1468"/>
      <c r="Q34" s="1467">
        <f>+'Exhibit F'!R30+'Exhibit G State'!R22</f>
        <v>84.099999999999966</v>
      </c>
      <c r="R34" s="1468"/>
      <c r="S34" s="1467">
        <f>+'Exhibit F'!T30+'Exhibit G State'!T22</f>
        <v>96.199999999999932</v>
      </c>
      <c r="T34" s="1468"/>
      <c r="U34" s="1467">
        <f>+'Exhibit F'!V30+'Exhibit G State'!V22</f>
        <v>79.300000000000026</v>
      </c>
      <c r="V34" s="1468"/>
      <c r="W34" s="1467">
        <f>+'Exhibit F'!X30+'Exhibit G State'!X22</f>
        <v>65.799999999999955</v>
      </c>
      <c r="X34" s="1468"/>
      <c r="Y34" s="1467"/>
      <c r="Z34" s="1468"/>
      <c r="AA34" s="2863"/>
      <c r="AB34" s="3263">
        <f t="shared" si="3"/>
        <v>964.1</v>
      </c>
      <c r="AC34" s="3221"/>
      <c r="AD34" s="3543"/>
      <c r="AE34" s="3263">
        <f>+'Exhibit F'!AF30+'Exhibit G State'!AG22</f>
        <v>1033.5</v>
      </c>
      <c r="AF34" s="3503"/>
      <c r="AG34" s="3503"/>
      <c r="AH34" s="2045">
        <f t="shared" si="4"/>
        <v>-69.400000000000006</v>
      </c>
      <c r="AI34" s="2520"/>
      <c r="AJ34" s="1859">
        <f>ROUND(SUM(+AH34/ABS(AE34)),3)</f>
        <v>-6.7000000000000004E-2</v>
      </c>
    </row>
    <row r="35" spans="1:36" ht="15">
      <c r="A35" s="2285" t="s">
        <v>1262</v>
      </c>
      <c r="B35" s="1468"/>
      <c r="C35" s="1467">
        <f>'Exhibit G State'!D23</f>
        <v>0.5</v>
      </c>
      <c r="D35" s="1467"/>
      <c r="E35" s="1467">
        <f>'Exhibit G State'!F23</f>
        <v>0.4</v>
      </c>
      <c r="F35" s="1467"/>
      <c r="G35" s="1467">
        <f>'Exhibit G State'!H23</f>
        <v>0.49999999999999989</v>
      </c>
      <c r="H35" s="1467"/>
      <c r="I35" s="1467">
        <f>'Exhibit G State'!J23</f>
        <v>0.5</v>
      </c>
      <c r="J35" s="1467"/>
      <c r="K35" s="1467">
        <f>'Exhibit G State'!L23</f>
        <v>0.4</v>
      </c>
      <c r="L35" s="1468"/>
      <c r="M35" s="1467">
        <f>'Exhibit G State'!N23</f>
        <v>0.49999999999999989</v>
      </c>
      <c r="N35" s="1468"/>
      <c r="O35" s="1467">
        <f>'Exhibit G State'!P23</f>
        <v>0.40000000000000036</v>
      </c>
      <c r="P35" s="1468"/>
      <c r="Q35" s="1467">
        <f>'Exhibit G State'!R23</f>
        <v>0.50000000000000011</v>
      </c>
      <c r="R35" s="1468"/>
      <c r="S35" s="1467">
        <f>'Exhibit G State'!T23</f>
        <v>0.59999999999999953</v>
      </c>
      <c r="T35" s="1468"/>
      <c r="U35" s="1467">
        <f>'Exhibit G State'!V23</f>
        <v>0.50000000000000011</v>
      </c>
      <c r="V35" s="1468"/>
      <c r="W35" s="1467">
        <f>'Exhibit G State'!X23</f>
        <v>0.49999999999999956</v>
      </c>
      <c r="X35" s="1468"/>
      <c r="Y35" s="1467"/>
      <c r="Z35" s="1468"/>
      <c r="AA35" s="2863"/>
      <c r="AB35" s="3263">
        <f t="shared" si="3"/>
        <v>5.3</v>
      </c>
      <c r="AC35" s="3221"/>
      <c r="AD35" s="3543"/>
      <c r="AE35" s="3263">
        <f>'Exhibit G State'!AG23</f>
        <v>3.6</v>
      </c>
      <c r="AF35" s="3503"/>
      <c r="AG35" s="3503"/>
      <c r="AH35" s="2045">
        <f>ROUND(SUM(+AB35-AE35),1)</f>
        <v>1.7</v>
      </c>
      <c r="AI35" s="2520"/>
      <c r="AJ35" s="1765">
        <f>ROUND(IF(AE35=0,1,AH35/ABS(AE35)),3)</f>
        <v>0.47199999999999998</v>
      </c>
    </row>
    <row r="36" spans="1:36" ht="15">
      <c r="A36" s="2285" t="s">
        <v>1115</v>
      </c>
      <c r="B36" s="1468"/>
      <c r="C36" s="1467">
        <f>+'Exhibit F'!D31+'Exhibit G State'!D24</f>
        <v>9.6</v>
      </c>
      <c r="D36" s="1467"/>
      <c r="E36" s="1467">
        <f>+'Exhibit F'!F31+'Exhibit G State'!F24</f>
        <v>9.4</v>
      </c>
      <c r="F36" s="1467"/>
      <c r="G36" s="1467">
        <f>+'Exhibit F'!H31+'Exhibit G State'!H24</f>
        <v>9.4999999999999982</v>
      </c>
      <c r="H36" s="1467"/>
      <c r="I36" s="1467">
        <f>+'Exhibit F'!J31+'Exhibit G State'!J24</f>
        <v>8.7999999999999989</v>
      </c>
      <c r="J36" s="1467"/>
      <c r="K36" s="1467">
        <f>+'Exhibit F'!L31+'Exhibit G State'!L24</f>
        <v>10.1</v>
      </c>
      <c r="L36" s="1468"/>
      <c r="M36" s="1467">
        <f>+'Exhibit F'!N31+'Exhibit G State'!N24</f>
        <v>9.1000000000000032</v>
      </c>
      <c r="N36" s="1468"/>
      <c r="O36" s="1467">
        <f>+'Exhibit F'!P31+'Exhibit G State'!P24</f>
        <v>9.9999999999999982</v>
      </c>
      <c r="P36" s="1468"/>
      <c r="Q36" s="1467">
        <f>+'Exhibit F'!R31+'Exhibit G State'!R24</f>
        <v>8.6000000000000032</v>
      </c>
      <c r="R36" s="1468"/>
      <c r="S36" s="1467">
        <f>+'Exhibit F'!T31+'Exhibit G State'!T24</f>
        <v>8.4999999999999911</v>
      </c>
      <c r="T36" s="1468"/>
      <c r="U36" s="1467">
        <f>+'Exhibit F'!V31+'Exhibit G State'!V24</f>
        <v>8.9000000000000075</v>
      </c>
      <c r="V36" s="1468"/>
      <c r="W36" s="1467">
        <f>+'Exhibit F'!X31+'Exhibit G State'!X24</f>
        <v>7.5999999999999925</v>
      </c>
      <c r="X36" s="1468"/>
      <c r="Y36" s="1467"/>
      <c r="Z36" s="1468"/>
      <c r="AA36" s="2863"/>
      <c r="AB36" s="3263">
        <f t="shared" si="3"/>
        <v>100.1</v>
      </c>
      <c r="AC36" s="3221"/>
      <c r="AD36" s="3543"/>
      <c r="AE36" s="3263">
        <f>+'Exhibit F'!AF31+'Exhibit G State'!AG24</f>
        <v>102.3</v>
      </c>
      <c r="AF36" s="3503"/>
      <c r="AG36" s="3503"/>
      <c r="AH36" s="2045">
        <f t="shared" si="4"/>
        <v>-2.2000000000000002</v>
      </c>
      <c r="AI36" s="2520"/>
      <c r="AJ36" s="1859">
        <f>ROUND(SUM(+AH36/ABS(AE36)),3)</f>
        <v>-2.1999999999999999E-2</v>
      </c>
    </row>
    <row r="37" spans="1:36" ht="15">
      <c r="A37" s="2285" t="s">
        <v>1116</v>
      </c>
      <c r="B37" s="1468"/>
      <c r="C37" s="1467">
        <f>+'Exhibit F'!D32+'Exhibit G State'!D25</f>
        <v>20</v>
      </c>
      <c r="D37" s="1467"/>
      <c r="E37" s="1467">
        <f>+'Exhibit F'!F32+'Exhibit G State'!F25</f>
        <v>20.9</v>
      </c>
      <c r="F37" s="1467"/>
      <c r="G37" s="1467">
        <f>+'Exhibit F'!H32+'Exhibit G State'!H25</f>
        <v>26.000000000000007</v>
      </c>
      <c r="H37" s="1467"/>
      <c r="I37" s="1467">
        <f>+'Exhibit F'!J32+'Exhibit G State'!J25</f>
        <v>25.599999999999994</v>
      </c>
      <c r="J37" s="1467"/>
      <c r="K37" s="1467">
        <f>+'Exhibit F'!L32+'Exhibit G State'!L25</f>
        <v>19.499999999999993</v>
      </c>
      <c r="L37" s="1468"/>
      <c r="M37" s="1467">
        <f>+'Exhibit F'!N32+'Exhibit G State'!N25</f>
        <v>23.500000000000007</v>
      </c>
      <c r="N37" s="1468"/>
      <c r="O37" s="1467">
        <f>+'Exhibit F'!P32+'Exhibit G State'!P25</f>
        <v>19.099999999999994</v>
      </c>
      <c r="P37" s="1468"/>
      <c r="Q37" s="1467">
        <f>+'Exhibit F'!R32+'Exhibit G State'!R25</f>
        <v>24.499999999999993</v>
      </c>
      <c r="R37" s="1468"/>
      <c r="S37" s="1467">
        <f>+'Exhibit F'!T32+'Exhibit G State'!T25</f>
        <v>20.400000000000006</v>
      </c>
      <c r="T37" s="1468"/>
      <c r="U37" s="1467">
        <f>+'Exhibit F'!V32+'Exhibit G State'!V25</f>
        <v>34.6</v>
      </c>
      <c r="V37" s="1468"/>
      <c r="W37" s="1467">
        <f>+'Exhibit F'!X32+'Exhibit G State'!X25</f>
        <v>12.300000000000004</v>
      </c>
      <c r="X37" s="1468"/>
      <c r="Y37" s="1467"/>
      <c r="Z37" s="1468"/>
      <c r="AA37" s="2863"/>
      <c r="AB37" s="3263">
        <f t="shared" si="3"/>
        <v>246.4</v>
      </c>
      <c r="AC37" s="3221"/>
      <c r="AD37" s="3543"/>
      <c r="AE37" s="3263">
        <f>+'Exhibit F'!AF32+'Exhibit G State'!AG25</f>
        <v>243.5</v>
      </c>
      <c r="AF37" s="3503"/>
      <c r="AG37" s="3503"/>
      <c r="AH37" s="2045">
        <f t="shared" si="4"/>
        <v>2.9</v>
      </c>
      <c r="AI37" s="2520"/>
      <c r="AJ37" s="1859">
        <f>ROUND(SUM(+AH37/ABS(AE37)),3)</f>
        <v>1.2E-2</v>
      </c>
    </row>
    <row r="38" spans="1:36" ht="15">
      <c r="A38" s="2285" t="s">
        <v>1117</v>
      </c>
      <c r="B38" s="1468"/>
      <c r="C38" s="1467">
        <f>+'Exhibit F'!D33+'Exhibit G State'!D26</f>
        <v>0</v>
      </c>
      <c r="D38" s="1467"/>
      <c r="E38" s="1467">
        <f>+'Exhibit F'!F33+'Exhibit G State'!F26</f>
        <v>0.1</v>
      </c>
      <c r="F38" s="1467"/>
      <c r="G38" s="1467">
        <f>+'Exhibit F'!H33+'Exhibit G State'!H26</f>
        <v>0.1</v>
      </c>
      <c r="H38" s="1467"/>
      <c r="I38" s="1467">
        <f>+'Exhibit F'!J33+'Exhibit G State'!J26</f>
        <v>0</v>
      </c>
      <c r="J38" s="1467"/>
      <c r="K38" s="1467">
        <f>+'Exhibit F'!L33+'Exhibit G State'!L26</f>
        <v>0</v>
      </c>
      <c r="L38" s="1468"/>
      <c r="M38" s="1467">
        <f>+'Exhibit F'!N33+'Exhibit G State'!N26</f>
        <v>9.9999999999999978E-2</v>
      </c>
      <c r="N38" s="1468"/>
      <c r="O38" s="1467">
        <f>+'Exhibit F'!P33+'Exhibit G State'!P26</f>
        <v>0</v>
      </c>
      <c r="P38" s="1468"/>
      <c r="Q38" s="1467">
        <f>+'Exhibit F'!R33+'Exhibit G State'!R26</f>
        <v>0.10000000000000006</v>
      </c>
      <c r="R38" s="1468"/>
      <c r="S38" s="1467">
        <f>+'Exhibit F'!T33+'Exhibit G State'!T26</f>
        <v>0</v>
      </c>
      <c r="T38" s="1468"/>
      <c r="U38" s="1467">
        <f>+'Exhibit F'!V33+'Exhibit G State'!V26</f>
        <v>0</v>
      </c>
      <c r="V38" s="1468"/>
      <c r="W38" s="1467">
        <f>+'Exhibit F'!X33+'Exhibit G State'!X26</f>
        <v>0.1</v>
      </c>
      <c r="X38" s="1468"/>
      <c r="Y38" s="1467"/>
      <c r="Z38" s="1468"/>
      <c r="AA38" s="2863"/>
      <c r="AB38" s="3263">
        <f t="shared" si="3"/>
        <v>0.5</v>
      </c>
      <c r="AC38" s="3221"/>
      <c r="AD38" s="3543"/>
      <c r="AE38" s="3263">
        <f>+'Exhibit F'!AF33+'Exhibit G State'!AG26</f>
        <v>-1.6</v>
      </c>
      <c r="AF38" s="3503"/>
      <c r="AG38" s="3503"/>
      <c r="AH38" s="2045">
        <f t="shared" si="4"/>
        <v>2.1</v>
      </c>
      <c r="AI38" s="2520"/>
      <c r="AJ38" s="1770">
        <f>ROUND(IF(AE38=0,1,AH38/ABS(AE38)),3)</f>
        <v>1.3129999999999999</v>
      </c>
    </row>
    <row r="39" spans="1:36" ht="15">
      <c r="A39" s="2285" t="s">
        <v>1564</v>
      </c>
      <c r="B39" s="1468"/>
      <c r="C39" s="1467">
        <v>0</v>
      </c>
      <c r="D39" s="1467"/>
      <c r="E39" s="1467">
        <v>0</v>
      </c>
      <c r="F39" s="1467"/>
      <c r="G39" s="1467">
        <v>0</v>
      </c>
      <c r="H39" s="1467"/>
      <c r="I39" s="1467">
        <v>0</v>
      </c>
      <c r="J39" s="1467"/>
      <c r="K39" s="1467">
        <v>0</v>
      </c>
      <c r="L39" s="1468"/>
      <c r="M39" s="1467">
        <v>0</v>
      </c>
      <c r="N39" s="1468"/>
      <c r="O39" s="1467">
        <v>0</v>
      </c>
      <c r="P39" s="1468"/>
      <c r="Q39" s="1467">
        <v>0</v>
      </c>
      <c r="R39" s="1468"/>
      <c r="S39" s="1467">
        <f>+'Exhibit F'!T34</f>
        <v>0</v>
      </c>
      <c r="T39" s="1468"/>
      <c r="U39" s="1467">
        <f>+'Exhibit F'!V34</f>
        <v>0</v>
      </c>
      <c r="V39" s="1468"/>
      <c r="W39" s="1467">
        <f>+'Exhibit F'!X34+'Exhibit G State'!X27</f>
        <v>0</v>
      </c>
      <c r="X39" s="1468"/>
      <c r="Y39" s="1467"/>
      <c r="Z39" s="1468"/>
      <c r="AA39" s="2863"/>
      <c r="AB39" s="3263">
        <f>ROUND(SUM(C39:Y39),1)</f>
        <v>0</v>
      </c>
      <c r="AC39" s="3221"/>
      <c r="AD39" s="3543"/>
      <c r="AE39" s="3263">
        <f>+'Exhibit F'!AF34</f>
        <v>0</v>
      </c>
      <c r="AF39" s="3503"/>
      <c r="AG39" s="3503"/>
      <c r="AH39" s="2045">
        <f>ROUND(SUM(+AB39-AE39),1)</f>
        <v>0</v>
      </c>
      <c r="AI39" s="2520"/>
      <c r="AJ39" s="1770">
        <f>ROUND(IF(AE39=0,0,AH39/ABS(AE39)),3)</f>
        <v>0</v>
      </c>
    </row>
    <row r="40" spans="1:36" ht="15">
      <c r="A40" s="2285" t="s">
        <v>1565</v>
      </c>
      <c r="B40" s="1468"/>
      <c r="C40" s="1467">
        <v>0</v>
      </c>
      <c r="D40" s="1467"/>
      <c r="E40" s="1467">
        <v>0</v>
      </c>
      <c r="F40" s="1467"/>
      <c r="G40" s="1467">
        <v>0</v>
      </c>
      <c r="H40" s="1467"/>
      <c r="I40" s="1467">
        <v>0</v>
      </c>
      <c r="J40" s="1467"/>
      <c r="K40" s="1467">
        <v>0</v>
      </c>
      <c r="L40" s="1468"/>
      <c r="M40" s="1467">
        <v>0</v>
      </c>
      <c r="N40" s="1468"/>
      <c r="O40" s="1467">
        <v>0</v>
      </c>
      <c r="P40" s="1468"/>
      <c r="Q40" s="1467">
        <v>0</v>
      </c>
      <c r="R40" s="1468"/>
      <c r="S40" s="1467">
        <f>+'Exhibit F'!T35</f>
        <v>0</v>
      </c>
      <c r="T40" s="1468"/>
      <c r="U40" s="1467">
        <f>+'Exhibit F'!V35</f>
        <v>16.899999999999999</v>
      </c>
      <c r="V40" s="1468"/>
      <c r="W40" s="1467">
        <f>+'Exhibit F'!X35</f>
        <v>2.5</v>
      </c>
      <c r="X40" s="1468"/>
      <c r="Y40" s="1467"/>
      <c r="Z40" s="1468"/>
      <c r="AA40" s="2863"/>
      <c r="AB40" s="3263">
        <f t="shared" ref="AB40" si="5">ROUND(SUM(C40:Y40),1)</f>
        <v>19.399999999999999</v>
      </c>
      <c r="AC40" s="3221"/>
      <c r="AD40" s="3543"/>
      <c r="AE40" s="3263">
        <f>+'Exhibit F'!AF35</f>
        <v>0</v>
      </c>
      <c r="AF40" s="3503"/>
      <c r="AG40" s="3503"/>
      <c r="AH40" s="2045">
        <f t="shared" ref="AH40" si="6">ROUND(SUM(+AB40-AE40),1)</f>
        <v>19.399999999999999</v>
      </c>
      <c r="AI40" s="2520"/>
      <c r="AJ40" s="1770">
        <f>ROUND(IF(AE40=0,1,AH40/ABS(AE40)),3)</f>
        <v>1</v>
      </c>
    </row>
    <row r="41" spans="1:36" ht="15">
      <c r="A41" s="2531" t="s">
        <v>1118</v>
      </c>
      <c r="B41" s="1468"/>
      <c r="C41" s="1467">
        <f>+'Exhibit F'!D36+'Exhibit G State'!D28</f>
        <v>0</v>
      </c>
      <c r="D41" s="1467"/>
      <c r="E41" s="1467">
        <f>+'Exhibit F'!F36+'Exhibit G State'!F28</f>
        <v>0</v>
      </c>
      <c r="F41" s="1467"/>
      <c r="G41" s="1467">
        <f>+'Exhibit F'!H36+'Exhibit G State'!H28</f>
        <v>0</v>
      </c>
      <c r="H41" s="1467"/>
      <c r="I41" s="1467">
        <f>+'Exhibit F'!J36+'Exhibit G State'!J28</f>
        <v>0</v>
      </c>
      <c r="J41" s="1467"/>
      <c r="K41" s="1467">
        <f>+'Exhibit F'!L36+'Exhibit G State'!L28</f>
        <v>0</v>
      </c>
      <c r="L41" s="1468"/>
      <c r="M41" s="1467">
        <f>+'Exhibit F'!N36+'Exhibit G State'!N28</f>
        <v>0</v>
      </c>
      <c r="N41" s="1468"/>
      <c r="O41" s="1467">
        <f>+'Exhibit F'!P36+'Exhibit G State'!P28</f>
        <v>0</v>
      </c>
      <c r="P41" s="1468"/>
      <c r="Q41" s="1467">
        <f>+'Exhibit F'!R36+'Exhibit G State'!R28</f>
        <v>0</v>
      </c>
      <c r="R41" s="1468"/>
      <c r="S41" s="1467">
        <f>+'Exhibit F'!T36+'Exhibit G State'!T28</f>
        <v>0</v>
      </c>
      <c r="T41" s="1468"/>
      <c r="U41" s="1467">
        <f>+'Exhibit F'!V36+'Exhibit G State'!V28</f>
        <v>0</v>
      </c>
      <c r="V41" s="1468"/>
      <c r="W41" s="1467">
        <f>+'Exhibit F'!X36+'Exhibit G State'!X28</f>
        <v>0</v>
      </c>
      <c r="X41" s="1468"/>
      <c r="Y41" s="1467"/>
      <c r="Z41" s="1468"/>
      <c r="AA41" s="2863"/>
      <c r="AB41" s="3263">
        <f t="shared" si="3"/>
        <v>0</v>
      </c>
      <c r="AC41" s="3221"/>
      <c r="AD41" s="3543"/>
      <c r="AE41" s="3263">
        <f>+'Exhibit F'!AF36+'Exhibit G State'!AG28</f>
        <v>50.8</v>
      </c>
      <c r="AF41" s="3503"/>
      <c r="AG41" s="3503"/>
      <c r="AH41" s="2045">
        <f t="shared" si="4"/>
        <v>-50.8</v>
      </c>
      <c r="AI41" s="2520"/>
      <c r="AJ41" s="1859">
        <f>ROUND(SUM(+AH41/ABS(AE41)),3)</f>
        <v>-1</v>
      </c>
    </row>
    <row r="42" spans="1:36" ht="15.75">
      <c r="A42" s="2525" t="s">
        <v>1111</v>
      </c>
      <c r="B42" s="1468"/>
      <c r="C42" s="2087">
        <f>ROUND(SUM(C32:C41),1)</f>
        <v>1320.9</v>
      </c>
      <c r="D42" s="1468"/>
      <c r="E42" s="2087">
        <f>ROUND(SUM(E32:E41),1)</f>
        <v>1294.8</v>
      </c>
      <c r="F42" s="1468"/>
      <c r="G42" s="2087">
        <f>ROUND(SUM(G32:G41),1)</f>
        <v>1709.4</v>
      </c>
      <c r="H42" s="1468"/>
      <c r="I42" s="2087">
        <f>ROUND(SUM(I32:I41),1)</f>
        <v>1379.9</v>
      </c>
      <c r="J42" s="1468"/>
      <c r="K42" s="2087">
        <f>ROUND(SUM(K32:K41),1)</f>
        <v>1365.8</v>
      </c>
      <c r="L42" s="1468"/>
      <c r="M42" s="2087">
        <f>ROUND(SUM(M32:M41),1)</f>
        <v>1756.4</v>
      </c>
      <c r="N42" s="1468"/>
      <c r="O42" s="2087">
        <f>ROUND(SUM(O32:O41),1)</f>
        <v>1361.6</v>
      </c>
      <c r="P42" s="1468"/>
      <c r="Q42" s="2087">
        <f>ROUND(SUM(Q32:Q41),1)</f>
        <v>1368.4</v>
      </c>
      <c r="R42" s="1468"/>
      <c r="S42" s="2087">
        <f>ROUND(SUM(S32:S41),1)</f>
        <v>1718.1</v>
      </c>
      <c r="T42" s="1468"/>
      <c r="U42" s="2087">
        <f>ROUND(SUM(U32:U41),1)</f>
        <v>1501.1</v>
      </c>
      <c r="V42" s="1468"/>
      <c r="W42" s="2087">
        <f>ROUND(SUM(W32:W41),1)</f>
        <v>1207.5</v>
      </c>
      <c r="X42" s="1468"/>
      <c r="Y42" s="2087">
        <f>ROUND(SUM(Y32:Y41),1)</f>
        <v>0</v>
      </c>
      <c r="Z42" s="1468"/>
      <c r="AA42" s="2863"/>
      <c r="AB42" s="1488">
        <f>ROUND(SUM(AB32:AB41),1)</f>
        <v>15983.9</v>
      </c>
      <c r="AC42" s="3221"/>
      <c r="AD42" s="3543"/>
      <c r="AE42" s="1488">
        <f>ROUND(SUM(AE32:AE41),1)</f>
        <v>15265.3</v>
      </c>
      <c r="AF42" s="3503"/>
      <c r="AG42" s="3503"/>
      <c r="AH42" s="1488">
        <f>ROUND(SUM(AH32:AH41),1)</f>
        <v>718.6</v>
      </c>
      <c r="AI42" s="3506"/>
      <c r="AJ42" s="2604">
        <f>ROUND(SUM(+AH42/ABS(AE42)),3)</f>
        <v>4.7E-2</v>
      </c>
    </row>
    <row r="43" spans="1:36" ht="15">
      <c r="A43" s="2515" t="s">
        <v>1162</v>
      </c>
      <c r="B43" s="1468"/>
      <c r="C43" s="1468"/>
      <c r="D43" s="1468"/>
      <c r="E43" s="1468"/>
      <c r="F43" s="1468"/>
      <c r="G43" s="1468"/>
      <c r="H43" s="1468"/>
      <c r="I43" s="1468"/>
      <c r="J43" s="1468"/>
      <c r="K43" s="1468"/>
      <c r="L43" s="1468"/>
      <c r="M43" s="1468"/>
      <c r="N43" s="1468"/>
      <c r="O43" s="1468"/>
      <c r="P43" s="1468"/>
      <c r="Q43" s="1468"/>
      <c r="R43" s="1468"/>
      <c r="S43" s="1468"/>
      <c r="T43" s="1468"/>
      <c r="U43" s="1468"/>
      <c r="V43" s="1468"/>
      <c r="W43" s="1468"/>
      <c r="X43" s="1468"/>
      <c r="Y43" s="1468"/>
      <c r="Z43" s="1468"/>
      <c r="AA43" s="2863"/>
      <c r="AB43" s="3221"/>
      <c r="AC43" s="3221"/>
      <c r="AD43" s="3543"/>
      <c r="AE43" s="3263"/>
      <c r="AF43" s="3503"/>
      <c r="AG43" s="3503"/>
      <c r="AH43" s="3505"/>
      <c r="AI43" s="3221"/>
      <c r="AJ43" s="3505"/>
    </row>
    <row r="44" spans="1:36" ht="15">
      <c r="A44" s="2285" t="s">
        <v>1120</v>
      </c>
      <c r="B44" s="1468"/>
      <c r="C44" s="1467">
        <f>+'Exhibit F'!D39+'Exhibit G State'!D31</f>
        <v>376.70000000000005</v>
      </c>
      <c r="D44" s="1467"/>
      <c r="E44" s="1467">
        <f>+'Exhibit F'!F39+'Exhibit G State'!F31</f>
        <v>-69.000000000000028</v>
      </c>
      <c r="F44" s="1467"/>
      <c r="G44" s="1467">
        <f>+'Exhibit F'!H39+'Exhibit G State'!H31</f>
        <v>901.19999999999993</v>
      </c>
      <c r="H44" s="1467"/>
      <c r="I44" s="1467">
        <f>+'Exhibit F'!J39+'Exhibit G State'!J31</f>
        <v>146.29999999999995</v>
      </c>
      <c r="J44" s="1467"/>
      <c r="K44" s="1467">
        <f>+'Exhibit F'!L39+'Exhibit G State'!L31</f>
        <v>0</v>
      </c>
      <c r="L44" s="1467"/>
      <c r="M44" s="1467">
        <f>+'Exhibit F'!N39+'Exhibit G State'!N31</f>
        <v>941.3</v>
      </c>
      <c r="N44" s="1468"/>
      <c r="O44" s="1467">
        <f>+'Exhibit F'!P39+'Exhibit G State'!P31</f>
        <v>98.800000000000011</v>
      </c>
      <c r="P44" s="1468"/>
      <c r="Q44" s="1467">
        <f>+'Exhibit F'!R39+'Exhibit G State'!R31</f>
        <v>108.9000000000002</v>
      </c>
      <c r="R44" s="1468"/>
      <c r="S44" s="1467">
        <f>+'Exhibit F'!T39+'Exhibit G State'!T31</f>
        <v>1030.6000000000001</v>
      </c>
      <c r="T44" s="1468"/>
      <c r="U44" s="1467">
        <f>+'Exhibit F'!V39+'Exhibit G State'!V31</f>
        <v>153.79999999999976</v>
      </c>
      <c r="V44" s="1468"/>
      <c r="W44" s="1467">
        <f>+'Exhibit F'!X39+'Exhibit G State'!X31</f>
        <v>-70.199999999999818</v>
      </c>
      <c r="X44" s="1468"/>
      <c r="Y44" s="1467"/>
      <c r="Z44" s="1468"/>
      <c r="AA44" s="2863"/>
      <c r="AB44" s="3263">
        <f>ROUND(SUM(C44:Y44),1)</f>
        <v>3618.4</v>
      </c>
      <c r="AC44" s="3221"/>
      <c r="AD44" s="3543"/>
      <c r="AE44" s="3263">
        <f>+'Exhibit F'!AF39+'Exhibit G State'!AG31</f>
        <v>3273.1</v>
      </c>
      <c r="AF44" s="3503"/>
      <c r="AG44" s="3503"/>
      <c r="AH44" s="2045">
        <f t="shared" ref="AH44:AH56" si="7">ROUND(SUM(+AB44-AE44),1)</f>
        <v>345.3</v>
      </c>
      <c r="AI44" s="2520"/>
      <c r="AJ44" s="1859">
        <f t="shared" ref="AJ44:AJ49" si="8">ROUND(SUM(+AH44/ABS(AE44)),3)</f>
        <v>0.105</v>
      </c>
    </row>
    <row r="45" spans="1:36" ht="15">
      <c r="A45" s="2285" t="s">
        <v>1121</v>
      </c>
      <c r="B45" s="1468"/>
      <c r="C45" s="1467">
        <f>+'Exhibit G State'!D32+'Exhibit F'!D40</f>
        <v>39.700000000000003</v>
      </c>
      <c r="D45" s="1467"/>
      <c r="E45" s="1467">
        <f>+'Exhibit G State'!F32+'Exhibit F'!F40</f>
        <v>1.3000000000000007</v>
      </c>
      <c r="F45" s="1467"/>
      <c r="G45" s="1467">
        <f>+'Exhibit G State'!H32+'Exhibit F'!H40</f>
        <v>107.60000000000001</v>
      </c>
      <c r="H45" s="1467"/>
      <c r="I45" s="1467">
        <f>+'Exhibit G State'!J32+'Exhibit F'!J40</f>
        <v>0.40000000000000568</v>
      </c>
      <c r="J45" s="1467"/>
      <c r="K45" s="1467">
        <f>+'Exhibit G State'!L32+'Exhibit F'!L40</f>
        <v>-1.7000000000000099</v>
      </c>
      <c r="L45" s="1467"/>
      <c r="M45" s="1467">
        <f>+'Exhibit G State'!N32+'Exhibit F'!N40</f>
        <v>137.89999999999998</v>
      </c>
      <c r="N45" s="1468"/>
      <c r="O45" s="1467">
        <f>+'Exhibit G State'!P32+'Exhibit F'!P40</f>
        <v>2.8000000000000114</v>
      </c>
      <c r="P45" s="1468"/>
      <c r="Q45" s="1467">
        <f>+'Exhibit G State'!R32+'Exhibit F'!R40</f>
        <v>-0.70000000000001705</v>
      </c>
      <c r="R45" s="1468"/>
      <c r="S45" s="1467">
        <f>+'Exhibit G State'!T32+'Exhibit F'!T40</f>
        <v>116.69999999999997</v>
      </c>
      <c r="T45" s="1468"/>
      <c r="U45" s="1467">
        <f>+'Exhibit G State'!V32+'Exhibit F'!V40</f>
        <v>-1.2999999999999474</v>
      </c>
      <c r="V45" s="1468"/>
      <c r="W45" s="1467">
        <f>+'Exhibit G State'!X32+'Exhibit F'!X40</f>
        <v>0.89999999999997726</v>
      </c>
      <c r="X45" s="1468"/>
      <c r="Y45" s="1467"/>
      <c r="Z45" s="1468"/>
      <c r="AA45" s="2863"/>
      <c r="AB45" s="3263">
        <f>ROUND(SUM(C45:Y45),1)</f>
        <v>403.6</v>
      </c>
      <c r="AC45" s="3221"/>
      <c r="AD45" s="3543"/>
      <c r="AE45" s="3263">
        <f>+'Exhibit G State'!AG32+'Exhibit F'!AF40</f>
        <v>407.70000000000005</v>
      </c>
      <c r="AF45" s="3503"/>
      <c r="AG45" s="3503"/>
      <c r="AH45" s="2045">
        <f t="shared" si="7"/>
        <v>-4.0999999999999996</v>
      </c>
      <c r="AI45" s="2520"/>
      <c r="AJ45" s="1859">
        <f t="shared" si="8"/>
        <v>-0.01</v>
      </c>
    </row>
    <row r="46" spans="1:36" ht="15">
      <c r="A46" s="2285" t="s">
        <v>1122</v>
      </c>
      <c r="B46" s="1468"/>
      <c r="C46" s="1467">
        <f>+'Exhibit F'!D41+'Exhibit G State'!D33</f>
        <v>141.80000000000001</v>
      </c>
      <c r="D46" s="1467"/>
      <c r="E46" s="1467">
        <f>+'Exhibit F'!F41+'Exhibit G State'!F33</f>
        <v>4.9999999999999911</v>
      </c>
      <c r="F46" s="1467"/>
      <c r="G46" s="1467">
        <f>+'Exhibit F'!H41+'Exhibit G State'!H33</f>
        <v>403.20000000000005</v>
      </c>
      <c r="H46" s="1467"/>
      <c r="I46" s="1467">
        <f>+'Exhibit F'!J41+'Exhibit G State'!J33</f>
        <v>56.799999999999983</v>
      </c>
      <c r="J46" s="1467"/>
      <c r="K46" s="1467">
        <f>+'Exhibit F'!L41+'Exhibit G State'!L33</f>
        <v>-1.4999999999999432</v>
      </c>
      <c r="L46" s="1467"/>
      <c r="M46" s="1467">
        <f>+'Exhibit F'!N41+'Exhibit G State'!N33</f>
        <v>436.79999999999995</v>
      </c>
      <c r="N46" s="1468"/>
      <c r="O46" s="1467">
        <f>+'Exhibit F'!P41+'Exhibit G State'!P33</f>
        <v>1.4000000000000483</v>
      </c>
      <c r="P46" s="1468"/>
      <c r="Q46" s="1467">
        <f>+'Exhibit F'!R41+'Exhibit G State'!R33</f>
        <v>25.299999999999912</v>
      </c>
      <c r="R46" s="1468"/>
      <c r="S46" s="1467">
        <f>+'Exhibit F'!T41+'Exhibit G State'!T33</f>
        <v>457.7999999999999</v>
      </c>
      <c r="T46" s="1468"/>
      <c r="U46" s="1467">
        <f>+'Exhibit F'!V41+'Exhibit G State'!V33</f>
        <v>1.3999999999999773</v>
      </c>
      <c r="V46" s="1468"/>
      <c r="W46" s="1467">
        <f>+'Exhibit F'!X41+'Exhibit G State'!X33</f>
        <v>0.19999999999993179</v>
      </c>
      <c r="X46" s="1468"/>
      <c r="Y46" s="1467"/>
      <c r="Z46" s="1468"/>
      <c r="AA46" s="2863"/>
      <c r="AB46" s="3263">
        <f>ROUND(SUM(C46:Y46),1)</f>
        <v>1528.2</v>
      </c>
      <c r="AC46" s="3221"/>
      <c r="AD46" s="3543"/>
      <c r="AE46" s="3263">
        <f>+'Exhibit F'!AF41+'Exhibit G State'!AG33</f>
        <v>1135.9000000000001</v>
      </c>
      <c r="AF46" s="3503"/>
      <c r="AG46" s="3503"/>
      <c r="AH46" s="2045">
        <f t="shared" si="7"/>
        <v>392.3</v>
      </c>
      <c r="AI46" s="2520"/>
      <c r="AJ46" s="1859">
        <f t="shared" si="8"/>
        <v>0.34499999999999997</v>
      </c>
    </row>
    <row r="47" spans="1:36" ht="15">
      <c r="A47" s="2285" t="s">
        <v>1123</v>
      </c>
      <c r="B47" s="1468"/>
      <c r="C47" s="1467">
        <f>+'Exhibit F'!D42+'Exhibit G State'!D34</f>
        <v>145.30000000000001</v>
      </c>
      <c r="D47" s="1467"/>
      <c r="E47" s="1467">
        <f>+'Exhibit F'!F42+'Exhibit G State'!F34</f>
        <v>-121.1</v>
      </c>
      <c r="F47" s="1467"/>
      <c r="G47" s="1467">
        <f>+'Exhibit F'!H42+'Exhibit G State'!H34</f>
        <v>-21.1</v>
      </c>
      <c r="H47" s="1467"/>
      <c r="I47" s="1467">
        <f>+'Exhibit F'!J42+'Exhibit G State'!J34</f>
        <v>-0.19999999999999751</v>
      </c>
      <c r="J47" s="1467"/>
      <c r="K47" s="1467">
        <f>+'Exhibit F'!L42+'Exhibit G State'!L34</f>
        <v>-0.30000000000000249</v>
      </c>
      <c r="L47" s="1467"/>
      <c r="M47" s="1467">
        <f>+'Exhibit F'!N42+'Exhibit G State'!N34</f>
        <v>-1.4000000000000004</v>
      </c>
      <c r="N47" s="1468"/>
      <c r="O47" s="1467">
        <f>+'Exhibit F'!P42+'Exhibit G State'!P34</f>
        <v>-3.0999999999999908</v>
      </c>
      <c r="P47" s="1468"/>
      <c r="Q47" s="1467">
        <f>+'Exhibit F'!R42+'Exhibit G State'!R34</f>
        <v>-41.8</v>
      </c>
      <c r="R47" s="1468"/>
      <c r="S47" s="1467">
        <f>+'Exhibit F'!T42+'Exhibit G State'!T34</f>
        <v>13.799999999999976</v>
      </c>
      <c r="T47" s="1468"/>
      <c r="U47" s="1467">
        <f>+'Exhibit F'!V42+'Exhibit G State'!V34</f>
        <v>-0.39999999999999858</v>
      </c>
      <c r="V47" s="1468"/>
      <c r="W47" s="1467">
        <f>+'Exhibit F'!X42+'Exhibit G State'!X34</f>
        <v>24.899999999999991</v>
      </c>
      <c r="X47" s="1468"/>
      <c r="Y47" s="1467"/>
      <c r="Z47" s="1468"/>
      <c r="AA47" s="2863"/>
      <c r="AB47" s="3263">
        <f>ROUND(SUM(C47:Y47),1)</f>
        <v>-5.4</v>
      </c>
      <c r="AC47" s="3221"/>
      <c r="AD47" s="3543"/>
      <c r="AE47" s="3263">
        <f>+'Exhibit F'!AF42+'Exhibit G State'!AG34</f>
        <v>-59.1</v>
      </c>
      <c r="AF47" s="3503"/>
      <c r="AG47" s="3503"/>
      <c r="AH47" s="2045">
        <f t="shared" si="7"/>
        <v>53.7</v>
      </c>
      <c r="AI47" s="2520"/>
      <c r="AJ47" s="1870">
        <f t="shared" si="8"/>
        <v>0.90900000000000003</v>
      </c>
    </row>
    <row r="48" spans="1:36" ht="15">
      <c r="A48" s="2285" t="s">
        <v>1124</v>
      </c>
      <c r="B48" s="1468"/>
      <c r="C48" s="1467">
        <f>+'Exhibit F'!D43+'Exhibit G State'!D35</f>
        <v>44.1</v>
      </c>
      <c r="D48" s="1467"/>
      <c r="E48" s="1467">
        <f>+'Exhibit F'!F43+'Exhibit G State'!F35</f>
        <v>43.9</v>
      </c>
      <c r="F48" s="1467"/>
      <c r="G48" s="1467">
        <f>+'Exhibit F'!H43+'Exhibit G State'!H35</f>
        <v>45.400000000000013</v>
      </c>
      <c r="H48" s="1467"/>
      <c r="I48" s="1467">
        <f>+'Exhibit F'!J43+'Exhibit G State'!J35</f>
        <v>41.299999999999976</v>
      </c>
      <c r="J48" s="1467"/>
      <c r="K48" s="1467">
        <f>+'Exhibit F'!L43+'Exhibit G State'!L35</f>
        <v>47.000000000000007</v>
      </c>
      <c r="L48" s="1467"/>
      <c r="M48" s="1467">
        <f>+'Exhibit F'!N43+'Exhibit G State'!N35</f>
        <v>43.900000000000027</v>
      </c>
      <c r="N48" s="1468"/>
      <c r="O48" s="1467">
        <f>+'Exhibit F'!P43+'Exhibit G State'!P35</f>
        <v>47.199999999999967</v>
      </c>
      <c r="P48" s="1468"/>
      <c r="Q48" s="1467">
        <f>+'Exhibit F'!R43+'Exhibit G State'!R35</f>
        <v>40.800000000000033</v>
      </c>
      <c r="R48" s="1468"/>
      <c r="S48" s="1467">
        <f>+'Exhibit F'!T43+'Exhibit G State'!T35</f>
        <v>39.799999999999933</v>
      </c>
      <c r="T48" s="1468"/>
      <c r="U48" s="1467">
        <f>+'Exhibit F'!V43+'Exhibit G State'!V35</f>
        <v>43.100000000000044</v>
      </c>
      <c r="V48" s="1468"/>
      <c r="W48" s="1467">
        <f>+'Exhibit F'!X43+'Exhibit G State'!X35</f>
        <v>35.000000000000007</v>
      </c>
      <c r="X48" s="1468"/>
      <c r="Y48" s="1467"/>
      <c r="Z48" s="1468"/>
      <c r="AA48" s="2863"/>
      <c r="AB48" s="3263">
        <f>ROUND(SUM(C48:Y48),1)</f>
        <v>471.5</v>
      </c>
      <c r="AC48" s="3221"/>
      <c r="AD48" s="3543"/>
      <c r="AE48" s="3263">
        <f>+'Exhibit F'!AF43+'Exhibit G State'!AG35</f>
        <v>468.1</v>
      </c>
      <c r="AF48" s="3503"/>
      <c r="AG48" s="3503"/>
      <c r="AH48" s="2045">
        <f t="shared" si="7"/>
        <v>3.4</v>
      </c>
      <c r="AI48" s="2520"/>
      <c r="AJ48" s="1859">
        <f t="shared" si="8"/>
        <v>7.0000000000000001E-3</v>
      </c>
    </row>
    <row r="49" spans="1:36" ht="15.75">
      <c r="A49" s="2525" t="s">
        <v>1119</v>
      </c>
      <c r="B49" s="1468"/>
      <c r="C49" s="2087">
        <f>ROUND(SUM(C44:C48),1)</f>
        <v>747.6</v>
      </c>
      <c r="D49" s="1468"/>
      <c r="E49" s="2087">
        <f>ROUND(SUM(E44:E48),1)</f>
        <v>-139.9</v>
      </c>
      <c r="F49" s="1468"/>
      <c r="G49" s="2087">
        <f>ROUND(SUM(G44:G48),1)</f>
        <v>1436.3</v>
      </c>
      <c r="H49" s="1468"/>
      <c r="I49" s="2087">
        <f>ROUND(SUM(I44:I48),1)</f>
        <v>244.6</v>
      </c>
      <c r="J49" s="1468"/>
      <c r="K49" s="2087">
        <f>ROUND(SUM(K44:K48),1)</f>
        <v>43.5</v>
      </c>
      <c r="L49" s="1468"/>
      <c r="M49" s="2087">
        <f>ROUND(SUM(M44:M48),1)</f>
        <v>1558.5</v>
      </c>
      <c r="N49" s="1468"/>
      <c r="O49" s="2087">
        <f>ROUND(SUM(O44:O48),1)</f>
        <v>147.1</v>
      </c>
      <c r="P49" s="1468"/>
      <c r="Q49" s="2087">
        <f>ROUND(SUM(Q44:Q48),1)</f>
        <v>132.5</v>
      </c>
      <c r="R49" s="1468"/>
      <c r="S49" s="2087">
        <f>ROUND(SUM(S44:S48),1)</f>
        <v>1658.7</v>
      </c>
      <c r="T49" s="1468"/>
      <c r="U49" s="2087">
        <f>ROUND(SUM(U44:U48),1)</f>
        <v>196.6</v>
      </c>
      <c r="V49" s="1468"/>
      <c r="W49" s="2087">
        <f>ROUND(SUM(W44:W48),1)</f>
        <v>-9.1999999999999993</v>
      </c>
      <c r="X49" s="1468"/>
      <c r="Y49" s="2087">
        <f>ROUND(SUM(Y44:Y48),1)</f>
        <v>0</v>
      </c>
      <c r="Z49" s="1468"/>
      <c r="AA49" s="2863"/>
      <c r="AB49" s="1488">
        <f>ROUND(SUM(AB44:AB48),1)</f>
        <v>6016.3</v>
      </c>
      <c r="AC49" s="3221"/>
      <c r="AD49" s="3543"/>
      <c r="AE49" s="1488">
        <f>ROUND(SUM(AE44:AE48),1)</f>
        <v>5225.7</v>
      </c>
      <c r="AF49" s="3503"/>
      <c r="AG49" s="3503"/>
      <c r="AH49" s="1488">
        <f>ROUND(SUM(AH44:AH48),1)</f>
        <v>790.6</v>
      </c>
      <c r="AI49" s="3506"/>
      <c r="AJ49" s="2604">
        <f t="shared" si="8"/>
        <v>0.151</v>
      </c>
    </row>
    <row r="50" spans="1:36" ht="15">
      <c r="A50" s="2515" t="s">
        <v>1163</v>
      </c>
      <c r="B50" s="1468"/>
      <c r="C50" s="1468"/>
      <c r="D50" s="1468"/>
      <c r="E50" s="1468"/>
      <c r="F50" s="1468"/>
      <c r="G50" s="1468"/>
      <c r="H50" s="1468"/>
      <c r="I50" s="1468"/>
      <c r="J50" s="1468"/>
      <c r="K50" s="1468"/>
      <c r="L50" s="1468"/>
      <c r="M50" s="1468"/>
      <c r="N50" s="1468"/>
      <c r="O50" s="1468"/>
      <c r="P50" s="1468"/>
      <c r="Q50" s="1468"/>
      <c r="R50" s="1468"/>
      <c r="S50" s="1468"/>
      <c r="T50" s="1468"/>
      <c r="U50" s="1468"/>
      <c r="V50" s="1468"/>
      <c r="W50" s="1468"/>
      <c r="X50" s="1468"/>
      <c r="Y50" s="1468"/>
      <c r="Z50" s="1468"/>
      <c r="AA50" s="2863"/>
      <c r="AB50" s="3221"/>
      <c r="AC50" s="3221"/>
      <c r="AD50" s="3543"/>
      <c r="AE50" s="3263"/>
      <c r="AF50" s="3503"/>
      <c r="AG50" s="3503"/>
      <c r="AH50" s="3505"/>
      <c r="AI50" s="3221"/>
      <c r="AJ50" s="3505"/>
    </row>
    <row r="51" spans="1:36" ht="15">
      <c r="A51" s="2285" t="s">
        <v>1127</v>
      </c>
      <c r="B51" s="1468"/>
      <c r="C51" s="1467">
        <f>+'Exhibit F'!D46</f>
        <v>0</v>
      </c>
      <c r="D51" s="1467"/>
      <c r="E51" s="1467">
        <f>+'Exhibit F'!F46</f>
        <v>0</v>
      </c>
      <c r="F51" s="1467"/>
      <c r="G51" s="1467">
        <f>+'Exhibit F'!H46</f>
        <v>0</v>
      </c>
      <c r="H51" s="1467"/>
      <c r="I51" s="1467">
        <f>+'Exhibit F'!J46</f>
        <v>0</v>
      </c>
      <c r="J51" s="1467"/>
      <c r="K51" s="1467">
        <f>+'Exhibit F'!L46</f>
        <v>0</v>
      </c>
      <c r="L51" s="1468"/>
      <c r="M51" s="1467">
        <f>+'Exhibit F'!N46</f>
        <v>0</v>
      </c>
      <c r="N51" s="1468"/>
      <c r="O51" s="1467">
        <f>+'Exhibit F'!P46</f>
        <v>0</v>
      </c>
      <c r="P51" s="1468"/>
      <c r="Q51" s="1467">
        <f>+'Exhibit F'!R46</f>
        <v>0</v>
      </c>
      <c r="R51" s="1468"/>
      <c r="S51" s="1467">
        <f>+'Exhibit F'!T46</f>
        <v>0</v>
      </c>
      <c r="T51" s="1468"/>
      <c r="U51" s="1467">
        <f>+'Exhibit F'!V46</f>
        <v>0</v>
      </c>
      <c r="V51" s="1468"/>
      <c r="W51" s="1467">
        <f>+'Exhibit F'!X46</f>
        <v>0</v>
      </c>
      <c r="X51" s="1468"/>
      <c r="Y51" s="1467"/>
      <c r="Z51" s="1468"/>
      <c r="AA51" s="2863"/>
      <c r="AB51" s="3263">
        <f t="shared" ref="AB51:AB56" si="9">ROUND(SUM(C51:Y51),1)</f>
        <v>0</v>
      </c>
      <c r="AC51" s="3221"/>
      <c r="AD51" s="3543"/>
      <c r="AE51" s="3263">
        <f>+'Exhibit F'!AF46</f>
        <v>0</v>
      </c>
      <c r="AF51" s="3503"/>
      <c r="AG51" s="3503"/>
      <c r="AH51" s="2045">
        <f t="shared" si="7"/>
        <v>0</v>
      </c>
      <c r="AI51" s="3221"/>
      <c r="AJ51" s="1765">
        <f>ROUND(IF(AE51=0,0,AH51/ABS(AE51)),3)</f>
        <v>0</v>
      </c>
    </row>
    <row r="52" spans="1:36" ht="15">
      <c r="A52" s="2285" t="s">
        <v>1128</v>
      </c>
      <c r="B52" s="1468"/>
      <c r="C52" s="1467">
        <f>+'Exhibit F'!D47</f>
        <v>79.7</v>
      </c>
      <c r="D52" s="1467"/>
      <c r="E52" s="1467">
        <f>+'Exhibit F'!F47</f>
        <v>57.3</v>
      </c>
      <c r="F52" s="1467"/>
      <c r="G52" s="1467">
        <f>+'Exhibit F'!H47</f>
        <v>62.199999999999989</v>
      </c>
      <c r="H52" s="1467"/>
      <c r="I52" s="1467">
        <f>+'Exhibit F'!J47</f>
        <v>124.69999999999999</v>
      </c>
      <c r="J52" s="1467"/>
      <c r="K52" s="1467">
        <f>+'Exhibit F'!L47</f>
        <v>41.800000000000011</v>
      </c>
      <c r="L52" s="1468"/>
      <c r="M52" s="1467">
        <f>+'Exhibit F'!N47</f>
        <v>53.800000000000011</v>
      </c>
      <c r="N52" s="1468"/>
      <c r="O52" s="1467">
        <f>+'Exhibit F'!P47</f>
        <v>163.20000000000005</v>
      </c>
      <c r="P52" s="1468"/>
      <c r="Q52" s="1467">
        <f>+'Exhibit F'!R47</f>
        <v>87.199999999999932</v>
      </c>
      <c r="R52" s="1468"/>
      <c r="S52" s="1467">
        <f>+'Exhibit F'!T47</f>
        <v>143.59999999999997</v>
      </c>
      <c r="T52" s="1468"/>
      <c r="U52" s="1467">
        <f>+'Exhibit F'!V47</f>
        <v>93.5</v>
      </c>
      <c r="V52" s="1468"/>
      <c r="W52" s="1467">
        <f>+'Exhibit F'!X47</f>
        <v>115.50000000000006</v>
      </c>
      <c r="X52" s="1468"/>
      <c r="Y52" s="1467"/>
      <c r="Z52" s="1468"/>
      <c r="AA52" s="2863"/>
      <c r="AB52" s="3263">
        <f t="shared" si="9"/>
        <v>1022.5</v>
      </c>
      <c r="AC52" s="3221"/>
      <c r="AD52" s="3543"/>
      <c r="AE52" s="3263">
        <f>+'Exhibit F'!AF47</f>
        <v>1014.4</v>
      </c>
      <c r="AF52" s="3503"/>
      <c r="AG52" s="3503"/>
      <c r="AH52" s="2045">
        <f t="shared" si="7"/>
        <v>8.1</v>
      </c>
      <c r="AI52" s="3221"/>
      <c r="AJ52" s="1859">
        <f t="shared" ref="AJ52:AJ58" si="10">ROUND(SUM(+AH52/ABS(AE52)),3)</f>
        <v>8.0000000000000002E-3</v>
      </c>
    </row>
    <row r="53" spans="1:36" ht="15">
      <c r="A53" s="2285" t="s">
        <v>1129</v>
      </c>
      <c r="B53" s="1468"/>
      <c r="C53" s="1467">
        <f>+'Exhibit F'!D48</f>
        <v>0.9</v>
      </c>
      <c r="D53" s="1467"/>
      <c r="E53" s="1467">
        <f>+'Exhibit F'!F48</f>
        <v>1.1000000000000001</v>
      </c>
      <c r="F53" s="1467"/>
      <c r="G53" s="1467">
        <f>+'Exhibit F'!H48</f>
        <v>1.6</v>
      </c>
      <c r="H53" s="1467"/>
      <c r="I53" s="1467">
        <f>+'Exhibit F'!J48</f>
        <v>1.1999999999999997</v>
      </c>
      <c r="J53" s="1467"/>
      <c r="K53" s="1467">
        <f>+'Exhibit F'!L48</f>
        <v>2.2000000000000002</v>
      </c>
      <c r="L53" s="1468"/>
      <c r="M53" s="1467">
        <f>+'Exhibit F'!N48</f>
        <v>2.1000000000000005</v>
      </c>
      <c r="N53" s="1468"/>
      <c r="O53" s="1467">
        <f>+'Exhibit F'!P48</f>
        <v>1</v>
      </c>
      <c r="P53" s="1468"/>
      <c r="Q53" s="1467">
        <f>+'Exhibit F'!R48</f>
        <v>1.0999999999999996</v>
      </c>
      <c r="R53" s="1468"/>
      <c r="S53" s="1467">
        <f>+'Exhibit F'!T48</f>
        <v>1</v>
      </c>
      <c r="T53" s="1468"/>
      <c r="U53" s="1467">
        <f>+'Exhibit F'!V48</f>
        <v>0.70000000000000107</v>
      </c>
      <c r="V53" s="1468"/>
      <c r="W53" s="1467">
        <f>+'Exhibit F'!X48</f>
        <v>0.90000000000000036</v>
      </c>
      <c r="X53" s="1468"/>
      <c r="Y53" s="1467"/>
      <c r="Z53" s="1468"/>
      <c r="AA53" s="2863"/>
      <c r="AB53" s="3263">
        <f t="shared" si="9"/>
        <v>13.8</v>
      </c>
      <c r="AC53" s="3221"/>
      <c r="AD53" s="3543"/>
      <c r="AE53" s="3263">
        <f>+'Exhibit F'!AF48</f>
        <v>14.4</v>
      </c>
      <c r="AF53" s="3503"/>
      <c r="AG53" s="3503"/>
      <c r="AH53" s="2045">
        <f t="shared" si="7"/>
        <v>-0.6</v>
      </c>
      <c r="AI53" s="3221"/>
      <c r="AJ53" s="1859">
        <f t="shared" si="10"/>
        <v>-4.2000000000000003E-2</v>
      </c>
    </row>
    <row r="54" spans="1:36" ht="15">
      <c r="A54" s="2285" t="s">
        <v>1130</v>
      </c>
      <c r="B54" s="1468"/>
      <c r="C54" s="1467">
        <f>+'Exhibit F'!D49+'Exhibit H'!B22</f>
        <v>82.9</v>
      </c>
      <c r="D54" s="1467"/>
      <c r="E54" s="1467">
        <f>+'Exhibit F'!F49+'Exhibit H'!D22</f>
        <v>86</v>
      </c>
      <c r="F54" s="1467"/>
      <c r="G54" s="1467">
        <f>+'Exhibit F'!H49+'Exhibit H'!F22</f>
        <v>86.699999999999989</v>
      </c>
      <c r="H54" s="1467"/>
      <c r="I54" s="1467">
        <f>+'Exhibit F'!J49+'Exhibit H'!H22</f>
        <v>118.90000000000003</v>
      </c>
      <c r="J54" s="1467"/>
      <c r="K54" s="1467">
        <f>+'Exhibit F'!L49+'Exhibit H'!J22</f>
        <v>78.799999999999955</v>
      </c>
      <c r="L54" s="1468"/>
      <c r="M54" s="1467">
        <f>+'Exhibit F'!N49+'Exhibit H'!L22</f>
        <v>85.300000000000068</v>
      </c>
      <c r="N54" s="1468"/>
      <c r="O54" s="1467">
        <f>+'Exhibit F'!P49+'Exhibit H'!N22</f>
        <v>73.199999999999932</v>
      </c>
      <c r="P54" s="1468"/>
      <c r="Q54" s="1467">
        <f>+'Exhibit F'!R49+'Exhibit H'!P22</f>
        <v>87.800000000000068</v>
      </c>
      <c r="R54" s="1468"/>
      <c r="S54" s="1467">
        <f>+'Exhibit F'!T49+'Exhibit H'!R22</f>
        <v>74.199999999999989</v>
      </c>
      <c r="T54" s="1468"/>
      <c r="U54" s="1467">
        <f>+'Exhibit F'!V49+'Exhibit H'!T22</f>
        <v>82.900000000000091</v>
      </c>
      <c r="V54" s="1468"/>
      <c r="W54" s="1467">
        <f>+'Exhibit F'!X49+'Exhibit H'!V22</f>
        <v>72.299999999999898</v>
      </c>
      <c r="X54" s="1468"/>
      <c r="Y54" s="1467"/>
      <c r="Z54" s="1468"/>
      <c r="AA54" s="2863"/>
      <c r="AB54" s="3263">
        <f t="shared" si="9"/>
        <v>929</v>
      </c>
      <c r="AC54" s="3221"/>
      <c r="AD54" s="3543"/>
      <c r="AE54" s="3263">
        <f>+'Exhibit F'!AF49+'Exhibit I State'!AG28+'Exhibit H'!AD22</f>
        <v>962</v>
      </c>
      <c r="AF54" s="3503"/>
      <c r="AG54" s="3503"/>
      <c r="AH54" s="2045">
        <f t="shared" si="7"/>
        <v>-33</v>
      </c>
      <c r="AI54" s="3221"/>
      <c r="AJ54" s="1859">
        <f t="shared" si="10"/>
        <v>-3.4000000000000002E-2</v>
      </c>
    </row>
    <row r="55" spans="1:36" ht="15">
      <c r="A55" s="2285" t="s">
        <v>1131</v>
      </c>
      <c r="B55" s="1468"/>
      <c r="C55" s="1467">
        <f>+'Exhibit F'!D50</f>
        <v>0.2</v>
      </c>
      <c r="D55" s="1467"/>
      <c r="E55" s="1467">
        <f>+'Exhibit F'!F50</f>
        <v>9.9999999999999978E-2</v>
      </c>
      <c r="F55" s="1467"/>
      <c r="G55" s="1467">
        <f>+'Exhibit F'!H50</f>
        <v>0.3</v>
      </c>
      <c r="H55" s="1467"/>
      <c r="I55" s="1467">
        <f>+'Exhibit F'!J50</f>
        <v>0.20000000000000012</v>
      </c>
      <c r="J55" s="1467"/>
      <c r="K55" s="1467">
        <f>+'Exhibit F'!L50</f>
        <v>9.9999999999999867E-2</v>
      </c>
      <c r="L55" s="1468"/>
      <c r="M55" s="1467">
        <f>+'Exhibit F'!N50</f>
        <v>0</v>
      </c>
      <c r="N55" s="1468"/>
      <c r="O55" s="1467">
        <f>+'Exhibit F'!P50</f>
        <v>0.39999999999999997</v>
      </c>
      <c r="P55" s="1468"/>
      <c r="Q55" s="1467">
        <f>+'Exhibit F'!R50</f>
        <v>0.60000000000000009</v>
      </c>
      <c r="R55" s="1468"/>
      <c r="S55" s="1467">
        <f>+'Exhibit F'!T50</f>
        <v>0.10000000000000009</v>
      </c>
      <c r="T55" s="1468"/>
      <c r="U55" s="1467">
        <f>+'Exhibit F'!V50</f>
        <v>-0.10000000000000009</v>
      </c>
      <c r="V55" s="1468"/>
      <c r="W55" s="1467">
        <f>+'Exhibit F'!X50</f>
        <v>0.10000000000000009</v>
      </c>
      <c r="X55" s="1468"/>
      <c r="Y55" s="1467"/>
      <c r="Z55" s="1468"/>
      <c r="AA55" s="2863"/>
      <c r="AB55" s="3263">
        <f t="shared" si="9"/>
        <v>2</v>
      </c>
      <c r="AC55" s="3221"/>
      <c r="AD55" s="3543"/>
      <c r="AE55" s="3263">
        <f>+'Exhibit F'!AF50</f>
        <v>2.6</v>
      </c>
      <c r="AF55" s="3503"/>
      <c r="AG55" s="3503"/>
      <c r="AH55" s="2045">
        <f t="shared" si="7"/>
        <v>-0.6</v>
      </c>
      <c r="AI55" s="3221"/>
      <c r="AJ55" s="1859">
        <f>ROUND(IF(AE55=0,0,AH55/ABS(AE55)),3)</f>
        <v>-0.23100000000000001</v>
      </c>
    </row>
    <row r="56" spans="1:36" ht="15">
      <c r="A56" s="2531" t="s">
        <v>1132</v>
      </c>
      <c r="B56" s="1468"/>
      <c r="C56" s="1467">
        <f>+'Exhibit F'!D51</f>
        <v>0</v>
      </c>
      <c r="D56" s="1467"/>
      <c r="E56" s="1467">
        <f>+'Exhibit F'!F51</f>
        <v>0</v>
      </c>
      <c r="F56" s="1467"/>
      <c r="G56" s="1467">
        <f>+'Exhibit F'!H51</f>
        <v>0</v>
      </c>
      <c r="H56" s="1467"/>
      <c r="I56" s="1467">
        <f>+'Exhibit F'!J51</f>
        <v>0</v>
      </c>
      <c r="J56" s="1467"/>
      <c r="K56" s="1467">
        <f>+'Exhibit F'!L51</f>
        <v>0</v>
      </c>
      <c r="L56" s="1468"/>
      <c r="M56" s="1467">
        <f>+'Exhibit F'!N51</f>
        <v>0</v>
      </c>
      <c r="N56" s="1468"/>
      <c r="O56" s="1467">
        <f>+'Exhibit F'!P51</f>
        <v>0</v>
      </c>
      <c r="P56" s="1468"/>
      <c r="Q56" s="1467">
        <f>+'Exhibit F'!R51</f>
        <v>0</v>
      </c>
      <c r="R56" s="1468"/>
      <c r="S56" s="1467">
        <f>+'Exhibit F'!T51</f>
        <v>0</v>
      </c>
      <c r="T56" s="1468"/>
      <c r="U56" s="1467">
        <f>+'Exhibit F'!V51</f>
        <v>0</v>
      </c>
      <c r="V56" s="1468"/>
      <c r="W56" s="1467">
        <f>+'Exhibit F'!X51</f>
        <v>0</v>
      </c>
      <c r="X56" s="1468"/>
      <c r="Y56" s="1467"/>
      <c r="Z56" s="1468"/>
      <c r="AA56" s="2863"/>
      <c r="AB56" s="3263">
        <f t="shared" si="9"/>
        <v>0</v>
      </c>
      <c r="AC56" s="3221"/>
      <c r="AD56" s="3543"/>
      <c r="AE56" s="3265">
        <f>+'Exhibit F'!AF51</f>
        <v>0</v>
      </c>
      <c r="AF56" s="3503"/>
      <c r="AG56" s="3503"/>
      <c r="AH56" s="2045">
        <f t="shared" si="7"/>
        <v>0</v>
      </c>
      <c r="AI56" s="3221"/>
      <c r="AJ56" s="1859">
        <f>ROUND(IF(AE56=0,0,AH56/ABS(AE56)),3)</f>
        <v>0</v>
      </c>
    </row>
    <row r="57" spans="1:36" ht="15">
      <c r="A57" s="2865" t="s">
        <v>1426</v>
      </c>
      <c r="B57" s="1468"/>
      <c r="C57" s="1467">
        <f>+'Exhibit F'!D52</f>
        <v>0.1</v>
      </c>
      <c r="D57" s="1467"/>
      <c r="E57" s="1467">
        <f>+'Exhibit F'!F52+'Exhibit H'!D23</f>
        <v>0.1</v>
      </c>
      <c r="F57" s="1467"/>
      <c r="G57" s="1467">
        <f>+'Exhibit F'!H52</f>
        <v>0</v>
      </c>
      <c r="H57" s="1467"/>
      <c r="I57" s="1467">
        <f>+'Exhibit F'!J52+'Exhibit H'!H23</f>
        <v>0.2</v>
      </c>
      <c r="J57" s="1467"/>
      <c r="K57" s="1467">
        <f>+'Exhibit F'!L52+'Exhibit H'!J23</f>
        <v>0.19999999999999996</v>
      </c>
      <c r="L57" s="1467"/>
      <c r="M57" s="1467">
        <f>+'Exhibit F'!N52+'Exhibit H'!L23</f>
        <v>0.10000000000000006</v>
      </c>
      <c r="N57" s="1467"/>
      <c r="O57" s="1467">
        <f>+'Exhibit F'!P52+'Exhibit H'!N23</f>
        <v>0.20000000000000007</v>
      </c>
      <c r="P57" s="1468"/>
      <c r="Q57" s="1467">
        <f>+'Exhibit F'!R52+'Exhibit H'!P23</f>
        <v>0.1</v>
      </c>
      <c r="R57" s="1468"/>
      <c r="S57" s="1467">
        <f>+'Exhibit F'!T52+'Exhibit H'!R23</f>
        <v>0.39999999999999986</v>
      </c>
      <c r="T57" s="1468"/>
      <c r="U57" s="1467">
        <f>+'Exhibit F'!V52+'Exhibit H'!T23</f>
        <v>0.50000000000000011</v>
      </c>
      <c r="V57" s="1468"/>
      <c r="W57" s="1467">
        <f>+'Exhibit F'!X52+'Exhibit H'!V23</f>
        <v>-9.999999999999995E-2</v>
      </c>
      <c r="X57" s="1468"/>
      <c r="Y57" s="1467"/>
      <c r="Z57" s="1468"/>
      <c r="AA57" s="2863"/>
      <c r="AB57" s="3263">
        <f t="shared" ref="AB57" si="11">ROUND(SUM(C57:Y57),1)</f>
        <v>1.8</v>
      </c>
      <c r="AC57" s="3221"/>
      <c r="AD57" s="3543"/>
      <c r="AE57" s="3265">
        <f>+'Exhibit F'!AF52</f>
        <v>0</v>
      </c>
      <c r="AF57" s="3503"/>
      <c r="AG57" s="3503"/>
      <c r="AH57" s="2045">
        <f t="shared" ref="AH57" si="12">ROUND(SUM(+AB57-AE57),1)</f>
        <v>1.8</v>
      </c>
      <c r="AI57" s="2520"/>
      <c r="AJ57" s="1765">
        <f>ROUND(IF(AE57=0,1,AH57/ABS(AE57)),3)</f>
        <v>1</v>
      </c>
    </row>
    <row r="58" spans="1:36" ht="15.75">
      <c r="A58" s="2525" t="s">
        <v>1125</v>
      </c>
      <c r="B58" s="1468"/>
      <c r="C58" s="1488">
        <f>ROUND(SUM(C51:C57),1)</f>
        <v>163.80000000000001</v>
      </c>
      <c r="D58" s="1468"/>
      <c r="E58" s="1488">
        <f>ROUND(SUM(E51:E57),1)</f>
        <v>144.6</v>
      </c>
      <c r="F58" s="1468"/>
      <c r="G58" s="1488">
        <f>ROUND(SUM(G51:G57),1)</f>
        <v>150.80000000000001</v>
      </c>
      <c r="H58" s="1468"/>
      <c r="I58" s="1488">
        <f>ROUND(SUM(I51:I57),1)</f>
        <v>245.2</v>
      </c>
      <c r="J58" s="1468"/>
      <c r="K58" s="1488">
        <f>ROUND(SUM(K51:K57),1)</f>
        <v>123.1</v>
      </c>
      <c r="L58" s="1468"/>
      <c r="M58" s="1488">
        <f>ROUND(SUM(M51:M57),1)</f>
        <v>141.30000000000001</v>
      </c>
      <c r="N58" s="1468"/>
      <c r="O58" s="1488">
        <f>ROUND(SUM(O51:O57),1)</f>
        <v>238</v>
      </c>
      <c r="P58" s="1468"/>
      <c r="Q58" s="1488">
        <f>ROUND(SUM(Q51:Q57),1)</f>
        <v>176.8</v>
      </c>
      <c r="R58" s="1468"/>
      <c r="S58" s="1488">
        <f>ROUND(SUM(S51:S57),1)</f>
        <v>219.3</v>
      </c>
      <c r="T58" s="1468"/>
      <c r="U58" s="1488">
        <f>ROUND(SUM(U51:U57),1)</f>
        <v>177.5</v>
      </c>
      <c r="V58" s="1468"/>
      <c r="W58" s="1488">
        <f>ROUND(SUM(W51:W57),1)</f>
        <v>188.7</v>
      </c>
      <c r="X58" s="1468"/>
      <c r="Y58" s="1488">
        <f>ROUND(SUM(Y51:Y57),1)</f>
        <v>0</v>
      </c>
      <c r="Z58" s="1468"/>
      <c r="AA58" s="2863"/>
      <c r="AB58" s="1488">
        <f>ROUND(SUM(AB51:AB57),1)</f>
        <v>1969.1</v>
      </c>
      <c r="AC58" s="3221"/>
      <c r="AD58" s="3543"/>
      <c r="AE58" s="1488">
        <f>ROUND(SUM(AE51:AE57),1)</f>
        <v>1993.4</v>
      </c>
      <c r="AF58" s="3503"/>
      <c r="AG58" s="3503"/>
      <c r="AH58" s="1488">
        <f>ROUND(SUM(AH51:AH57),1)</f>
        <v>-24.3</v>
      </c>
      <c r="AI58" s="3506"/>
      <c r="AJ58" s="1861">
        <f t="shared" si="10"/>
        <v>-1.2E-2</v>
      </c>
    </row>
    <row r="59" spans="1:36" ht="15.75">
      <c r="A59" s="1468"/>
      <c r="B59" s="1468"/>
      <c r="C59" s="2866"/>
      <c r="D59" s="1467"/>
      <c r="E59" s="2866"/>
      <c r="F59" s="2866"/>
      <c r="G59" s="2866"/>
      <c r="H59" s="2866"/>
      <c r="I59" s="2866"/>
      <c r="J59" s="2866"/>
      <c r="K59" s="2866"/>
      <c r="L59" s="2866"/>
      <c r="M59" s="2866"/>
      <c r="N59" s="2866"/>
      <c r="O59" s="2866"/>
      <c r="P59" s="2866"/>
      <c r="Q59" s="2866"/>
      <c r="R59" s="2866"/>
      <c r="S59" s="2866"/>
      <c r="T59" s="2866"/>
      <c r="U59" s="2866"/>
      <c r="V59" s="2866"/>
      <c r="W59" s="2866"/>
      <c r="X59" s="2866"/>
      <c r="Y59" s="2866"/>
      <c r="Z59" s="1467"/>
      <c r="AA59" s="2867"/>
      <c r="AB59" s="3264"/>
      <c r="AC59" s="3263"/>
      <c r="AD59" s="3544"/>
      <c r="AE59" s="3265"/>
      <c r="AF59" s="3265"/>
      <c r="AG59" s="3265"/>
      <c r="AH59" s="3265"/>
      <c r="AI59" s="3221"/>
      <c r="AJ59" s="1862"/>
    </row>
    <row r="60" spans="1:36" ht="15.75">
      <c r="A60" s="2525" t="s">
        <v>1098</v>
      </c>
      <c r="B60" s="2067"/>
      <c r="C60" s="19">
        <f>ROUND(SUM(C58+C49+C42+C30),1)</f>
        <v>11447.7</v>
      </c>
      <c r="D60" s="2051"/>
      <c r="E60" s="19">
        <f>ROUND(SUM(E58+E49+E42+E30),1)</f>
        <v>3784.1</v>
      </c>
      <c r="F60" s="2051"/>
      <c r="G60" s="19">
        <f>ROUND(SUM(G58+G49+G42+G30),1)</f>
        <v>8506.4</v>
      </c>
      <c r="H60" s="2051"/>
      <c r="I60" s="19">
        <f>ROUND(SUM(I58+I49+I42+I30),1)</f>
        <v>5201.3</v>
      </c>
      <c r="J60" s="2051"/>
      <c r="K60" s="19">
        <f>ROUND(SUM(K58+K49+K42+K30),1)</f>
        <v>4440.8999999999996</v>
      </c>
      <c r="L60" s="2051"/>
      <c r="M60" s="19">
        <f>ROUND(SUM(M58+M49+M42+M30),1)</f>
        <v>8287.6</v>
      </c>
      <c r="N60" s="2051"/>
      <c r="O60" s="19">
        <f>ROUND(SUM(O58+O49+O42+O30),1)</f>
        <v>4325.1000000000004</v>
      </c>
      <c r="P60" s="2051"/>
      <c r="Q60" s="19">
        <f>ROUND(SUM(Q58+Q49+Q42+Q30),1)</f>
        <v>4147.1000000000004</v>
      </c>
      <c r="R60" s="2051"/>
      <c r="S60" s="19">
        <f>ROUND(SUM(S58+S49+S42+S30),1)</f>
        <v>7884.1</v>
      </c>
      <c r="T60" s="2051"/>
      <c r="U60" s="19">
        <f>ROUND(SUM(U58+U49+U42+U30),1)</f>
        <v>10774.4</v>
      </c>
      <c r="V60" s="2051"/>
      <c r="W60" s="19">
        <f>ROUND(SUM(W58+W49+W42+W30),1)</f>
        <v>5083.8</v>
      </c>
      <c r="X60" s="1491"/>
      <c r="Y60" s="19">
        <f>ROUND(SUM(Y58+Y49+Y42+Y30),1)</f>
        <v>0</v>
      </c>
      <c r="Z60" s="1491"/>
      <c r="AA60" s="2088"/>
      <c r="AB60" s="3545">
        <f>ROUND(SUM(C60:Y60),1)</f>
        <v>73882.5</v>
      </c>
      <c r="AC60" s="2040"/>
      <c r="AD60" s="2084"/>
      <c r="AE60" s="2028">
        <f>ROUND(SUM(+AE30+AE42+AE49+AE58),1)</f>
        <v>67012.7</v>
      </c>
      <c r="AF60" s="2021"/>
      <c r="AG60" s="3277"/>
      <c r="AH60" s="2028">
        <f>ROUND(+AB60-AE60,1)</f>
        <v>6869.8</v>
      </c>
      <c r="AI60" s="2086"/>
      <c r="AJ60" s="3507">
        <f>ROUND(SUM(+AH60/ABS(AE60)),3)</f>
        <v>0.10299999999999999</v>
      </c>
    </row>
    <row r="61" spans="1:36" ht="15">
      <c r="A61" s="1468"/>
      <c r="B61" s="1468"/>
      <c r="C61" s="1467"/>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2867"/>
      <c r="AB61" s="3263"/>
      <c r="AC61" s="3263"/>
      <c r="AD61" s="3544"/>
      <c r="AE61" s="3263"/>
      <c r="AF61" s="3265"/>
      <c r="AG61" s="3265"/>
      <c r="AH61" s="3263"/>
      <c r="AI61" s="3221"/>
      <c r="AJ61" s="1859"/>
    </row>
    <row r="62" spans="1:36" ht="15.75">
      <c r="A62" s="2514" t="s">
        <v>1033</v>
      </c>
      <c r="B62" s="1468"/>
      <c r="C62" s="1467"/>
      <c r="D62" s="1467"/>
      <c r="E62" s="1467"/>
      <c r="F62" s="1467"/>
      <c r="G62" s="1467"/>
      <c r="H62" s="1467"/>
      <c r="I62" s="1467"/>
      <c r="J62" s="1467"/>
      <c r="K62" s="1467"/>
      <c r="L62" s="1467"/>
      <c r="M62" s="1467"/>
      <c r="N62" s="1467"/>
      <c r="O62" s="1467"/>
      <c r="P62" s="1467"/>
      <c r="Q62" s="1467"/>
      <c r="R62" s="1467"/>
      <c r="S62" s="1467"/>
      <c r="T62" s="1467"/>
      <c r="U62" s="1467"/>
      <c r="V62" s="1467"/>
      <c r="W62" s="1467"/>
      <c r="X62" s="1467"/>
      <c r="Y62" s="1467"/>
      <c r="Z62" s="1467"/>
      <c r="AA62" s="2868"/>
      <c r="AB62" s="3263"/>
      <c r="AC62" s="3263"/>
      <c r="AD62" s="3544"/>
      <c r="AE62" s="3263"/>
      <c r="AF62" s="3265"/>
      <c r="AG62" s="3265"/>
      <c r="AH62" s="3263"/>
      <c r="AI62" s="3221"/>
      <c r="AJ62" s="1765"/>
    </row>
    <row r="63" spans="1:36" ht="15">
      <c r="A63" s="2538" t="s">
        <v>1154</v>
      </c>
      <c r="B63" s="1468"/>
      <c r="C63" s="1467"/>
      <c r="D63" s="1467"/>
      <c r="E63" s="1467"/>
      <c r="F63" s="1467"/>
      <c r="G63" s="1467"/>
      <c r="H63" s="1467"/>
      <c r="I63" s="1467"/>
      <c r="J63" s="1467"/>
      <c r="K63" s="1467"/>
      <c r="L63" s="1467"/>
      <c r="M63" s="1467"/>
      <c r="N63" s="1467"/>
      <c r="O63" s="1467"/>
      <c r="P63" s="1467"/>
      <c r="Q63" s="1467"/>
      <c r="R63" s="1467"/>
      <c r="S63" s="1467"/>
      <c r="T63" s="1467"/>
      <c r="U63" s="1467"/>
      <c r="V63" s="1467"/>
      <c r="W63" s="1467"/>
      <c r="X63" s="1467"/>
      <c r="Y63" s="1467"/>
      <c r="Z63" s="1467"/>
      <c r="AA63" s="2868"/>
      <c r="AB63" s="3263"/>
      <c r="AC63" s="3263"/>
      <c r="AD63" s="3544"/>
      <c r="AE63" s="3263"/>
      <c r="AF63" s="3265"/>
      <c r="AG63" s="3265"/>
      <c r="AH63" s="3263"/>
      <c r="AI63" s="3221"/>
      <c r="AJ63" s="1765"/>
    </row>
    <row r="64" spans="1:36" ht="15">
      <c r="A64" s="2538" t="s">
        <v>1031</v>
      </c>
      <c r="B64" s="1468"/>
      <c r="C64" s="1467">
        <f>+'Exhibit F'!D59+'Exhibit G State'!D42</f>
        <v>2</v>
      </c>
      <c r="D64" s="1467"/>
      <c r="E64" s="1467">
        <f>+'Exhibit F'!F59+'Exhibit G State'!F42</f>
        <v>1.2000000000000002</v>
      </c>
      <c r="F64" s="1467"/>
      <c r="G64" s="1467">
        <f>+'Exhibit F'!H59+'Exhibit G State'!H42</f>
        <v>0.89999999999999991</v>
      </c>
      <c r="H64" s="1467"/>
      <c r="I64" s="1467">
        <f>+'Exhibit F'!J59+'Exhibit G State'!J42</f>
        <v>1.2</v>
      </c>
      <c r="J64" s="1467"/>
      <c r="K64" s="1467">
        <f>+'Exhibit F'!L59+'Exhibit G State'!L42</f>
        <v>5.6</v>
      </c>
      <c r="L64" s="1467"/>
      <c r="M64" s="1467">
        <f>+'Exhibit F'!N59+'Exhibit G State'!N42</f>
        <v>31</v>
      </c>
      <c r="N64" s="1467"/>
      <c r="O64" s="1467">
        <f>+'Exhibit F'!P59+'Exhibit G State'!P42</f>
        <v>36.200000000000003</v>
      </c>
      <c r="P64" s="1467"/>
      <c r="Q64" s="1467">
        <f>+'Exhibit F'!R59+'Exhibit G State'!R42</f>
        <v>215.9</v>
      </c>
      <c r="R64" s="1467"/>
      <c r="S64" s="1467">
        <f>+'Exhibit F'!T59+'Exhibit G State'!T42</f>
        <v>1.100000000000001</v>
      </c>
      <c r="T64" s="1467"/>
      <c r="U64" s="1467">
        <f>+'Exhibit F'!V59+'Exhibit G State'!V42</f>
        <v>0.89999999999999902</v>
      </c>
      <c r="V64" s="1467"/>
      <c r="W64" s="1467">
        <f>+'Exhibit F'!X59+'Exhibit G State'!X42</f>
        <v>25.5</v>
      </c>
      <c r="X64" s="1467"/>
      <c r="Y64" s="1467"/>
      <c r="Z64" s="1467"/>
      <c r="AA64" s="2868"/>
      <c r="AB64" s="3263">
        <f>ROUND(SUM(C64:Y64),1)</f>
        <v>321.5</v>
      </c>
      <c r="AC64" s="3263"/>
      <c r="AD64" s="3544"/>
      <c r="AE64" s="3263">
        <f>+'Exhibit F'!AF59+'Exhibit G State'!AG42</f>
        <v>347.8</v>
      </c>
      <c r="AF64" s="3265"/>
      <c r="AG64" s="3265"/>
      <c r="AH64" s="3263">
        <f t="shared" ref="AH64:AH104" si="13">ROUND(SUM(AB64-AE64),1)</f>
        <v>-26.3</v>
      </c>
      <c r="AI64" s="3221"/>
      <c r="AJ64" s="1859">
        <f>ROUND(SUM(AH64/ABS(AE64)),3)</f>
        <v>-7.5999999999999998E-2</v>
      </c>
    </row>
    <row r="65" spans="1:36" ht="15">
      <c r="A65" s="2538" t="s">
        <v>1032</v>
      </c>
      <c r="B65" s="1468"/>
      <c r="C65" s="1467">
        <f>+'Exhibit F'!D60</f>
        <v>0.2</v>
      </c>
      <c r="D65" s="1467"/>
      <c r="E65" s="1467">
        <f>+'Exhibit F'!F60</f>
        <v>0.3</v>
      </c>
      <c r="F65" s="1467"/>
      <c r="G65" s="1467">
        <f>+'Exhibit F'!H60</f>
        <v>8.1999999999999993</v>
      </c>
      <c r="H65" s="1467"/>
      <c r="I65" s="1467">
        <f>+'Exhibit F'!J60</f>
        <v>0.30000000000000071</v>
      </c>
      <c r="J65" s="1467"/>
      <c r="K65" s="1467">
        <f>+'Exhibit F'!L60</f>
        <v>9.9999999999999645E-2</v>
      </c>
      <c r="L65" s="1467"/>
      <c r="M65" s="1467">
        <f>+'Exhibit F'!N60</f>
        <v>39.1</v>
      </c>
      <c r="N65" s="1467"/>
      <c r="O65" s="1467">
        <f>+'Exhibit F'!P60</f>
        <v>0.29999999999999716</v>
      </c>
      <c r="P65" s="1467"/>
      <c r="Q65" s="1467">
        <f>+'Exhibit F'!R60</f>
        <v>0.29999999999999716</v>
      </c>
      <c r="R65" s="1467"/>
      <c r="S65" s="1467">
        <f>+'Exhibit F'!T60</f>
        <v>23.200000000000003</v>
      </c>
      <c r="T65" s="1467"/>
      <c r="U65" s="1467">
        <f>+'Exhibit F'!V60</f>
        <v>0.59999999999999432</v>
      </c>
      <c r="V65" s="1467"/>
      <c r="W65" s="1467">
        <f>+'Exhibit F'!X60</f>
        <v>0.10000000000000853</v>
      </c>
      <c r="X65" s="1467"/>
      <c r="Y65" s="1467"/>
      <c r="Z65" s="1467"/>
      <c r="AA65" s="2868"/>
      <c r="AB65" s="3263">
        <f>ROUND(SUM(C65:Y65),1)</f>
        <v>72.7</v>
      </c>
      <c r="AC65" s="3263"/>
      <c r="AD65" s="3544"/>
      <c r="AE65" s="3263">
        <f>+'Exhibit F'!AF60</f>
        <v>73.5</v>
      </c>
      <c r="AF65" s="3265"/>
      <c r="AG65" s="3265"/>
      <c r="AH65" s="3263">
        <f t="shared" si="13"/>
        <v>-0.8</v>
      </c>
      <c r="AI65" s="3221"/>
      <c r="AJ65" s="1859">
        <f>ROUND(SUM(AH65/ABS(AE65)),3)</f>
        <v>-1.0999999999999999E-2</v>
      </c>
    </row>
    <row r="66" spans="1:36" ht="15">
      <c r="A66" s="2538" t="s">
        <v>1155</v>
      </c>
      <c r="B66" s="1468"/>
      <c r="C66" s="1467"/>
      <c r="D66" s="1467"/>
      <c r="E66" s="1467"/>
      <c r="F66" s="1467"/>
      <c r="G66" s="1467"/>
      <c r="H66" s="1467"/>
      <c r="I66" s="1467"/>
      <c r="J66" s="1467"/>
      <c r="K66" s="1467"/>
      <c r="L66" s="1467"/>
      <c r="M66" s="1467"/>
      <c r="N66" s="1467"/>
      <c r="O66" s="1467"/>
      <c r="P66" s="1467"/>
      <c r="Q66" s="1467"/>
      <c r="R66" s="1467"/>
      <c r="S66" s="1467"/>
      <c r="T66" s="1467"/>
      <c r="U66" s="1467"/>
      <c r="V66" s="1467"/>
      <c r="W66" s="1467"/>
      <c r="X66" s="1467"/>
      <c r="Y66" s="1467"/>
      <c r="Z66" s="1467"/>
      <c r="AA66" s="2868"/>
      <c r="AB66" s="3263"/>
      <c r="AC66" s="3263"/>
      <c r="AD66" s="3544"/>
      <c r="AE66" s="3263"/>
      <c r="AF66" s="3265"/>
      <c r="AG66" s="3265"/>
      <c r="AH66" s="3263" t="s">
        <v>15</v>
      </c>
      <c r="AI66" s="3221" t="s">
        <v>15</v>
      </c>
      <c r="AJ66" s="1765" t="s">
        <v>15</v>
      </c>
    </row>
    <row r="67" spans="1:36" ht="15">
      <c r="A67" s="2538" t="s">
        <v>1036</v>
      </c>
      <c r="B67" s="1468"/>
      <c r="C67" s="1467">
        <f>+'Exhibit F'!D62+'Exhibit G State'!D44</f>
        <v>66.400000000000006</v>
      </c>
      <c r="D67" s="1467"/>
      <c r="E67" s="1467">
        <f>+'Exhibit F'!F62+'Exhibit G State'!F44</f>
        <v>33.599999999999994</v>
      </c>
      <c r="F67" s="1467"/>
      <c r="G67" s="1467">
        <f>+'Exhibit F'!H62+'Exhibit G State'!H44</f>
        <v>94.199999999999989</v>
      </c>
      <c r="H67" s="1467"/>
      <c r="I67" s="1467">
        <f>+'Exhibit F'!J62+'Exhibit G State'!J44</f>
        <v>49.200000000000017</v>
      </c>
      <c r="J67" s="1467"/>
      <c r="K67" s="1467">
        <f>+'Exhibit F'!L62+'Exhibit G State'!L44</f>
        <v>43.900000000000006</v>
      </c>
      <c r="L67" s="1467"/>
      <c r="M67" s="1467">
        <f>+'Exhibit F'!N62+'Exhibit G State'!N44</f>
        <v>68.30000000000004</v>
      </c>
      <c r="N67" s="1467"/>
      <c r="O67" s="1467">
        <f>+'Exhibit F'!P62+'Exhibit G State'!P44</f>
        <v>68.099999999999881</v>
      </c>
      <c r="P67" s="1467"/>
      <c r="Q67" s="1467">
        <f>+'Exhibit F'!R62+'Exhibit G State'!R44</f>
        <v>28.800000000000068</v>
      </c>
      <c r="R67" s="1467"/>
      <c r="S67" s="1467">
        <f>+'Exhibit F'!T62+'Exhibit G State'!T44</f>
        <v>72.600000000000051</v>
      </c>
      <c r="T67" s="1467"/>
      <c r="U67" s="1467">
        <f>+'Exhibit F'!V62+'Exhibit G State'!V44</f>
        <v>91.799999999999955</v>
      </c>
      <c r="V67" s="1467"/>
      <c r="W67" s="1467">
        <f>+'Exhibit F'!X62+'Exhibit G State'!X44</f>
        <v>38.300000000000068</v>
      </c>
      <c r="X67" s="1467"/>
      <c r="Y67" s="1467"/>
      <c r="Z67" s="1467"/>
      <c r="AA67" s="2868"/>
      <c r="AB67" s="3263">
        <f>ROUND(SUM(C67:Y67),1)</f>
        <v>655.20000000000005</v>
      </c>
      <c r="AC67" s="3263"/>
      <c r="AD67" s="3544"/>
      <c r="AE67" s="3263">
        <f>+'Exhibit F'!AF62+'Exhibit G State'!AG44</f>
        <v>612.70000000000005</v>
      </c>
      <c r="AF67" s="3265"/>
      <c r="AG67" s="3265"/>
      <c r="AH67" s="3263">
        <f t="shared" si="13"/>
        <v>42.5</v>
      </c>
      <c r="AI67" s="3221"/>
      <c r="AJ67" s="1859">
        <f>ROUND(SUM(AH67/ABS(AE67)),3)</f>
        <v>6.9000000000000006E-2</v>
      </c>
    </row>
    <row r="68" spans="1:36" ht="15">
      <c r="A68" s="2538" t="s">
        <v>1037</v>
      </c>
      <c r="B68" s="1468"/>
      <c r="C68" s="1467">
        <f>+'Exhibit F'!D63+'Exhibit G State'!D45</f>
        <v>625.70000000000005</v>
      </c>
      <c r="D68" s="1467"/>
      <c r="E68" s="1467">
        <f>+'Exhibit F'!F63+'Exhibit G State'!F45</f>
        <v>523.90000000000009</v>
      </c>
      <c r="F68" s="1467"/>
      <c r="G68" s="1467">
        <f>+'Exhibit F'!H63+'Exhibit G State'!H45</f>
        <v>508.99999999999983</v>
      </c>
      <c r="H68" s="1467"/>
      <c r="I68" s="1467">
        <f>+'Exhibit F'!J63+'Exhibit G State'!J45</f>
        <v>571.29999999999995</v>
      </c>
      <c r="J68" s="1467"/>
      <c r="K68" s="1467">
        <f>+'Exhibit F'!L63+'Exhibit G State'!L45</f>
        <v>518.50000000000034</v>
      </c>
      <c r="L68" s="1467"/>
      <c r="M68" s="1467">
        <f>+'Exhibit F'!N63+'Exhibit G State'!N45</f>
        <v>544.1</v>
      </c>
      <c r="N68" s="1467"/>
      <c r="O68" s="1467">
        <f>+'Exhibit F'!P63+'Exhibit G State'!P45</f>
        <v>531.19999999999982</v>
      </c>
      <c r="P68" s="1467"/>
      <c r="Q68" s="1467">
        <f>+'Exhibit F'!R63+'Exhibit G State'!R45</f>
        <v>472.50000000000034</v>
      </c>
      <c r="R68" s="1467"/>
      <c r="S68" s="1467">
        <f>+'Exhibit F'!T63+'Exhibit G State'!T45</f>
        <v>529.39999999999941</v>
      </c>
      <c r="T68" s="1467"/>
      <c r="U68" s="1467">
        <f>+'Exhibit F'!V63+'Exhibit G State'!V45</f>
        <v>578.00000000000023</v>
      </c>
      <c r="V68" s="1467"/>
      <c r="W68" s="1467">
        <f>+'Exhibit F'!X63+'Exhibit G State'!X45</f>
        <v>535.20000000000005</v>
      </c>
      <c r="X68" s="1467"/>
      <c r="Y68" s="1467"/>
      <c r="Z68" s="1467"/>
      <c r="AA68" s="2868"/>
      <c r="AB68" s="3263">
        <f>ROUND(SUM(C68:Y68),1)</f>
        <v>5938.8</v>
      </c>
      <c r="AC68" s="3263"/>
      <c r="AD68" s="3544"/>
      <c r="AE68" s="3263">
        <f>+'Exhibit F'!AF63+'Exhibit G State'!AG45+'Exhibit H'!AD30</f>
        <v>5608.9000000000005</v>
      </c>
      <c r="AF68" s="3265"/>
      <c r="AG68" s="3265"/>
      <c r="AH68" s="3263">
        <f t="shared" si="13"/>
        <v>329.9</v>
      </c>
      <c r="AI68" s="3221"/>
      <c r="AJ68" s="1859">
        <f>ROUND(SUM(AH68/ABS(AE68)),3)</f>
        <v>5.8999999999999997E-2</v>
      </c>
    </row>
    <row r="69" spans="1:36" ht="15">
      <c r="A69" s="2538" t="s">
        <v>1038</v>
      </c>
      <c r="B69" s="1468"/>
      <c r="C69" s="1467">
        <f>+'Exhibit F'!D64+'Exhibit G State'!D46</f>
        <v>5.0999999999999996</v>
      </c>
      <c r="D69" s="1467"/>
      <c r="E69" s="1467">
        <f>+'Exhibit F'!F64+'Exhibit G State'!F46</f>
        <v>0</v>
      </c>
      <c r="F69" s="1467"/>
      <c r="G69" s="1467">
        <f>+'Exhibit F'!H64+'Exhibit G State'!H46</f>
        <v>0.70000000000000018</v>
      </c>
      <c r="H69" s="1467"/>
      <c r="I69" s="1467">
        <f>+'Exhibit F'!J64+'Exhibit G State'!J46</f>
        <v>0</v>
      </c>
      <c r="J69" s="1467"/>
      <c r="K69" s="1467">
        <f>+'Exhibit F'!L64+'Exhibit G State'!L46</f>
        <v>0.90000000000000036</v>
      </c>
      <c r="L69" s="1467"/>
      <c r="M69" s="1467">
        <f>+'Exhibit F'!N64+'Exhibit G State'!N46</f>
        <v>44.199999999999996</v>
      </c>
      <c r="N69" s="1467"/>
      <c r="O69" s="1467">
        <f>+'Exhibit F'!P64+'Exhibit G State'!P46</f>
        <v>-6</v>
      </c>
      <c r="P69" s="1467"/>
      <c r="Q69" s="1467">
        <f>+'Exhibit F'!R64+'Exhibit G State'!R46</f>
        <v>-1.6999999999999957</v>
      </c>
      <c r="R69" s="1467"/>
      <c r="S69" s="1467">
        <f>+'Exhibit F'!T64+'Exhibit G State'!T46</f>
        <v>0.79999999999999716</v>
      </c>
      <c r="T69" s="1467"/>
      <c r="U69" s="1467">
        <f>+'Exhibit F'!V64+'Exhibit G State'!V46</f>
        <v>0</v>
      </c>
      <c r="V69" s="1467"/>
      <c r="W69" s="1467">
        <f>+'Exhibit F'!X64+'Exhibit G State'!X46</f>
        <v>11</v>
      </c>
      <c r="X69" s="1467"/>
      <c r="Y69" s="1467"/>
      <c r="Z69" s="1467"/>
      <c r="AA69" s="2868"/>
      <c r="AB69" s="3263">
        <f>ROUND(SUM(C69:Y69),1)</f>
        <v>55</v>
      </c>
      <c r="AC69" s="3263"/>
      <c r="AD69" s="3544"/>
      <c r="AE69" s="3263">
        <f>+'Exhibit F'!AF64+'Exhibit G State'!AG46</f>
        <v>40.700000000000003</v>
      </c>
      <c r="AF69" s="3265"/>
      <c r="AG69" s="3265"/>
      <c r="AH69" s="3263">
        <f t="shared" si="13"/>
        <v>14.3</v>
      </c>
      <c r="AI69" s="3221"/>
      <c r="AJ69" s="1765">
        <f>ROUND(IF(AE69=0,0,AH69/ABS(AE69)),3)</f>
        <v>0.35099999999999998</v>
      </c>
    </row>
    <row r="70" spans="1:36" ht="15">
      <c r="A70" s="2538" t="s">
        <v>1039</v>
      </c>
      <c r="B70" s="1468"/>
      <c r="C70" s="1467">
        <f>+'Exhibit F'!D65+'Exhibit G State'!D47</f>
        <v>0</v>
      </c>
      <c r="D70" s="1467"/>
      <c r="E70" s="1467">
        <f>+'Exhibit F'!F65+'Exhibit G State'!F47</f>
        <v>0.2</v>
      </c>
      <c r="F70" s="1467"/>
      <c r="G70" s="1467">
        <f>+'Exhibit F'!H65+'Exhibit G State'!H47</f>
        <v>0.1</v>
      </c>
      <c r="H70" s="1467"/>
      <c r="I70" s="1467">
        <f>+'Exhibit F'!J65+'Exhibit G State'!J47</f>
        <v>0</v>
      </c>
      <c r="J70" s="1467"/>
      <c r="K70" s="1467">
        <f>+'Exhibit F'!L65+'Exhibit G State'!L47</f>
        <v>0.19999999999999998</v>
      </c>
      <c r="L70" s="1467"/>
      <c r="M70" s="1467">
        <f>+'Exhibit F'!N65+'Exhibit G State'!N47</f>
        <v>0</v>
      </c>
      <c r="N70" s="1467"/>
      <c r="O70" s="1467">
        <f>+'Exhibit F'!P65+'Exhibit G State'!P47</f>
        <v>0</v>
      </c>
      <c r="P70" s="1467"/>
      <c r="Q70" s="1467">
        <f>+'Exhibit F'!R65+'Exhibit G State'!R47</f>
        <v>0.10000000000000003</v>
      </c>
      <c r="R70" s="1467"/>
      <c r="S70" s="1467">
        <f>+'Exhibit F'!T65+'Exhibit G State'!T47</f>
        <v>0.1</v>
      </c>
      <c r="T70" s="1467"/>
      <c r="U70" s="1467">
        <f>+'Exhibit F'!V65+'Exhibit G State'!V47</f>
        <v>0.20000000000000007</v>
      </c>
      <c r="V70" s="1467"/>
      <c r="W70" s="1467">
        <f>+'Exhibit F'!X65+'Exhibit G State'!X47</f>
        <v>9.9999999999999978E-2</v>
      </c>
      <c r="X70" s="1467"/>
      <c r="Y70" s="1467"/>
      <c r="Z70" s="1467"/>
      <c r="AA70" s="2868"/>
      <c r="AB70" s="3263">
        <f>ROUND(SUM(C70:Y70),1)</f>
        <v>1</v>
      </c>
      <c r="AC70" s="3263"/>
      <c r="AD70" s="3544"/>
      <c r="AE70" s="3263">
        <f>+'Exhibit F'!AF65+'Exhibit G State'!AG47</f>
        <v>2</v>
      </c>
      <c r="AF70" s="3265"/>
      <c r="AG70" s="3265"/>
      <c r="AH70" s="3263">
        <f t="shared" si="13"/>
        <v>-1</v>
      </c>
      <c r="AI70" s="3221"/>
      <c r="AJ70" s="1765">
        <f>ROUND(IF(AE70=0,0,AH70/ABS(AE70)),3)</f>
        <v>-0.5</v>
      </c>
    </row>
    <row r="71" spans="1:36" ht="15">
      <c r="A71" s="2538" t="s">
        <v>1160</v>
      </c>
      <c r="B71" s="1468"/>
      <c r="C71" s="1467"/>
      <c r="D71" s="1467"/>
      <c r="E71" s="1467"/>
      <c r="F71" s="1467"/>
      <c r="G71" s="1467"/>
      <c r="H71" s="1467"/>
      <c r="I71" s="1467"/>
      <c r="J71" s="1467"/>
      <c r="K71" s="1467"/>
      <c r="L71" s="1467"/>
      <c r="M71" s="1467"/>
      <c r="N71" s="1467"/>
      <c r="O71" s="1467"/>
      <c r="P71" s="1467"/>
      <c r="Q71" s="1467"/>
      <c r="R71" s="1467"/>
      <c r="S71" s="1467"/>
      <c r="T71" s="1467"/>
      <c r="U71" s="1467"/>
      <c r="V71" s="1467"/>
      <c r="W71" s="1467"/>
      <c r="X71" s="1467"/>
      <c r="Y71" s="1467"/>
      <c r="Z71" s="1467"/>
      <c r="AA71" s="2868"/>
      <c r="AB71" s="3263"/>
      <c r="AC71" s="3263"/>
      <c r="AD71" s="3544"/>
      <c r="AE71" s="3263"/>
      <c r="AF71" s="3265"/>
      <c r="AG71" s="3265"/>
      <c r="AH71" s="3263"/>
      <c r="AI71" s="3221"/>
      <c r="AJ71" s="1765"/>
    </row>
    <row r="72" spans="1:36" ht="15">
      <c r="A72" s="2538" t="s">
        <v>1040</v>
      </c>
      <c r="B72" s="1468"/>
      <c r="C72" s="1467">
        <f>+'Exhibit F'!D67+'Exhibit H'!B32</f>
        <v>5.7</v>
      </c>
      <c r="D72" s="1467"/>
      <c r="E72" s="1467">
        <f>+'Exhibit F'!F67+'Exhibit H'!D32</f>
        <v>5.9999999999999991</v>
      </c>
      <c r="F72" s="1467"/>
      <c r="G72" s="1467">
        <f>+'Exhibit F'!H67+'Exhibit H'!F32</f>
        <v>5.400000000000003</v>
      </c>
      <c r="H72" s="1467"/>
      <c r="I72" s="1467">
        <f>+'Exhibit F'!J67+'Exhibit H'!H32</f>
        <v>5.9999999999999991</v>
      </c>
      <c r="J72" s="1467"/>
      <c r="K72" s="1467">
        <f>+'Exhibit F'!L67+'Exhibit H'!J32</f>
        <v>6.8999999999999995</v>
      </c>
      <c r="L72" s="1467"/>
      <c r="M72" s="1467">
        <f>+'Exhibit F'!N67+'Exhibit H'!L32</f>
        <v>6.9999999999999991</v>
      </c>
      <c r="N72" s="1467"/>
      <c r="O72" s="1467">
        <f>+'Exhibit F'!P67+'Exhibit H'!N32</f>
        <v>7.3999999999999959</v>
      </c>
      <c r="P72" s="1467"/>
      <c r="Q72" s="1467">
        <f>+'Exhibit F'!R67+'Exhibit H'!P32</f>
        <v>7.1999999999999984</v>
      </c>
      <c r="R72" s="1467"/>
      <c r="S72" s="1467">
        <f>+'Exhibit F'!T67+'Exhibit H'!R32</f>
        <v>5.5000000000000009</v>
      </c>
      <c r="T72" s="1467"/>
      <c r="U72" s="1467">
        <f>+'Exhibit F'!V67+'Exhibit H'!T32</f>
        <v>5.6999999999999948</v>
      </c>
      <c r="V72" s="1467"/>
      <c r="W72" s="1467">
        <f>+'Exhibit F'!X67+'Exhibit H'!V32</f>
        <v>5.2000000000000037</v>
      </c>
      <c r="X72" s="1467"/>
      <c r="Y72" s="1467"/>
      <c r="Z72" s="1467"/>
      <c r="AA72" s="2868"/>
      <c r="AB72" s="3263">
        <f t="shared" ref="AB72:AB79" si="14">ROUND(SUM(C72:Y72),1)</f>
        <v>68</v>
      </c>
      <c r="AC72" s="3263"/>
      <c r="AD72" s="3544"/>
      <c r="AE72" s="3263">
        <f>+'Exhibit F'!AF67+'Exhibit H'!AD32</f>
        <v>68.7</v>
      </c>
      <c r="AF72" s="3265"/>
      <c r="AG72" s="3265"/>
      <c r="AH72" s="3263">
        <f t="shared" si="13"/>
        <v>-0.7</v>
      </c>
      <c r="AI72" s="3221"/>
      <c r="AJ72" s="1859">
        <f>ROUND(SUM(AH72/ABS(AE72)),3)</f>
        <v>-0.01</v>
      </c>
    </row>
    <row r="73" spans="1:36" ht="15">
      <c r="A73" s="2538" t="s">
        <v>1256</v>
      </c>
      <c r="B73" s="1468"/>
      <c r="C73" s="1467">
        <f>'Exhibit G State'!D49</f>
        <v>0</v>
      </c>
      <c r="D73" s="1467" t="s">
        <v>15</v>
      </c>
      <c r="E73" s="1467">
        <f>'Exhibit G State'!F49</f>
        <v>0.8</v>
      </c>
      <c r="F73" s="1467"/>
      <c r="G73" s="1467">
        <f>'Exhibit G State'!H49</f>
        <v>1.4999999999999998</v>
      </c>
      <c r="H73" s="1467"/>
      <c r="I73" s="1467">
        <f>'Exhibit G State'!J49</f>
        <v>0</v>
      </c>
      <c r="J73" s="1467"/>
      <c r="K73" s="1467">
        <f>'Exhibit G State'!L49</f>
        <v>0.10000000000000009</v>
      </c>
      <c r="L73" s="1467"/>
      <c r="M73" s="1467">
        <f>'Exhibit G State'!N49</f>
        <v>0.20000000000000018</v>
      </c>
      <c r="N73" s="1467"/>
      <c r="O73" s="1467">
        <f>'Exhibit G State'!P49</f>
        <v>0</v>
      </c>
      <c r="P73" s="1467"/>
      <c r="Q73" s="1467">
        <f>'Exhibit G State'!R49</f>
        <v>0</v>
      </c>
      <c r="R73" s="1467"/>
      <c r="S73" s="1467">
        <f>'Exhibit G State'!T49</f>
        <v>0</v>
      </c>
      <c r="T73" s="1467"/>
      <c r="U73" s="1467">
        <f>'Exhibit G State'!V49</f>
        <v>0</v>
      </c>
      <c r="V73" s="1467"/>
      <c r="W73" s="1467">
        <f>'Exhibit G State'!X49</f>
        <v>0</v>
      </c>
      <c r="X73" s="1467"/>
      <c r="Y73" s="1467"/>
      <c r="Z73" s="1467"/>
      <c r="AA73" s="2867"/>
      <c r="AB73" s="3263">
        <f t="shared" si="14"/>
        <v>2.6</v>
      </c>
      <c r="AC73" s="3263"/>
      <c r="AD73" s="3544"/>
      <c r="AE73" s="3263">
        <f>'Exhibit G State'!AG49</f>
        <v>2.1</v>
      </c>
      <c r="AF73" s="3265"/>
      <c r="AG73" s="3265"/>
      <c r="AH73" s="3263">
        <f t="shared" si="13"/>
        <v>0.5</v>
      </c>
      <c r="AI73" s="3221"/>
      <c r="AJ73" s="1765">
        <f>ROUND(IF(AE73=0,0,AH73/ABS(AE73)),3)</f>
        <v>0.23799999999999999</v>
      </c>
    </row>
    <row r="74" spans="1:36" ht="15">
      <c r="A74" s="2538" t="s">
        <v>1041</v>
      </c>
      <c r="B74" s="1468"/>
      <c r="C74" s="1467">
        <f>+'Exhibit F'!D69+'Exhibit G State'!D50+'Exhibit H'!B33</f>
        <v>59.7</v>
      </c>
      <c r="D74" s="1467"/>
      <c r="E74" s="1467">
        <f>+'Exhibit F'!F69+'Exhibit G State'!F50+'Exhibit H'!D33</f>
        <v>55</v>
      </c>
      <c r="F74" s="1467"/>
      <c r="G74" s="1467">
        <f>+'Exhibit F'!H69+'Exhibit G State'!H50+'Exhibit H'!F33</f>
        <v>127.8</v>
      </c>
      <c r="H74" s="1467"/>
      <c r="I74" s="1467">
        <f>+'Exhibit F'!J69+'Exhibit G State'!J50+'Exhibit H'!H33</f>
        <v>62.5</v>
      </c>
      <c r="J74" s="1467"/>
      <c r="K74" s="1467">
        <f>+'Exhibit F'!L69+'Exhibit G State'!L50+'Exhibit H'!J33</f>
        <v>36.200000000000024</v>
      </c>
      <c r="L74" s="1467"/>
      <c r="M74" s="1467">
        <f>+'Exhibit F'!N69+'Exhibit G State'!N50+'Exhibit H'!L33</f>
        <v>130.69999999999996</v>
      </c>
      <c r="N74" s="1467"/>
      <c r="O74" s="1467">
        <f>+'Exhibit F'!P69+'Exhibit G State'!P50+'Exhibit H'!N33</f>
        <v>79.700000000000045</v>
      </c>
      <c r="P74" s="1467"/>
      <c r="Q74" s="1467">
        <f>+'Exhibit F'!R69+'Exhibit G State'!R50+'Exhibit H'!P33</f>
        <v>69.799999999999955</v>
      </c>
      <c r="R74" s="1467"/>
      <c r="S74" s="1467">
        <f>+'Exhibit F'!T69+'Exhibit G State'!T50+'Exhibit H'!R33</f>
        <v>107.90000000000003</v>
      </c>
      <c r="T74" s="1467"/>
      <c r="U74" s="1467">
        <f>+'Exhibit F'!V69+'Exhibit G State'!V50+'Exhibit H'!T33</f>
        <v>88.199999999999932</v>
      </c>
      <c r="V74" s="1467"/>
      <c r="W74" s="1467">
        <f>+'Exhibit F'!X69+'Exhibit G State'!X50+'Exhibit H'!V33</f>
        <v>41.100000000000136</v>
      </c>
      <c r="X74" s="1467"/>
      <c r="Y74" s="1467"/>
      <c r="Z74" s="1467"/>
      <c r="AA74" s="2868"/>
      <c r="AB74" s="3263">
        <f t="shared" si="14"/>
        <v>858.6</v>
      </c>
      <c r="AC74" s="3263"/>
      <c r="AD74" s="3544"/>
      <c r="AE74" s="3263">
        <f>+'Exhibit F'!AF69+'Exhibit G State'!AG50+'Exhibit H'!AD33</f>
        <v>786.8</v>
      </c>
      <c r="AF74" s="3265"/>
      <c r="AG74" s="3265"/>
      <c r="AH74" s="3263">
        <f t="shared" si="13"/>
        <v>71.8</v>
      </c>
      <c r="AI74" s="3221"/>
      <c r="AJ74" s="1859">
        <f>ROUND(SUM(AH74/AE74),3)</f>
        <v>9.0999999999999998E-2</v>
      </c>
    </row>
    <row r="75" spans="1:36" ht="15">
      <c r="A75" s="2538" t="s">
        <v>1042</v>
      </c>
      <c r="B75" s="1468"/>
      <c r="C75" s="1467">
        <f>+'Exhibit F'!D70+'Exhibit G State'!D51+'Exhibit H'!B34</f>
        <v>28.6</v>
      </c>
      <c r="D75" s="1467"/>
      <c r="E75" s="1467">
        <f>+'Exhibit F'!F70+'Exhibit G State'!F51+'Exhibit H'!D34</f>
        <v>18</v>
      </c>
      <c r="F75" s="1467"/>
      <c r="G75" s="1467">
        <f>+'Exhibit F'!H70+'Exhibit G State'!H51+'Exhibit H'!F34</f>
        <v>22.900000000000006</v>
      </c>
      <c r="H75" s="1467"/>
      <c r="I75" s="1467">
        <f>+'Exhibit F'!J70+'Exhibit G State'!J51+'Exhibit H'!H34</f>
        <v>22.599999999999991</v>
      </c>
      <c r="J75" s="1467"/>
      <c r="K75" s="1467">
        <f>+'Exhibit F'!L70+'Exhibit G State'!L51+'Exhibit H'!J34</f>
        <v>17.800000000000004</v>
      </c>
      <c r="L75" s="1467"/>
      <c r="M75" s="1467">
        <f>+'Exhibit F'!N70+'Exhibit G State'!N51+'Exhibit H'!L34</f>
        <v>34.499999999999993</v>
      </c>
      <c r="N75" s="1467"/>
      <c r="O75" s="1467">
        <f>+'Exhibit F'!P70+'Exhibit G State'!P51+'Exhibit H'!N34</f>
        <v>20.499999999999979</v>
      </c>
      <c r="P75" s="1467"/>
      <c r="Q75" s="1467">
        <f>+'Exhibit F'!R70+'Exhibit G State'!R51+'Exhibit H'!P34</f>
        <v>22.199999999999996</v>
      </c>
      <c r="R75" s="1467"/>
      <c r="S75" s="1467">
        <f>+'Exhibit F'!T70+'Exhibit G State'!T51+'Exhibit H'!R34</f>
        <v>33.400000000000027</v>
      </c>
      <c r="T75" s="1467"/>
      <c r="U75" s="1467">
        <f>+'Exhibit F'!V70+'Exhibit G State'!V51+'Exhibit H'!T34</f>
        <v>16.000000000000007</v>
      </c>
      <c r="V75" s="1467"/>
      <c r="W75" s="1467">
        <f>+'Exhibit F'!X70+'Exhibit G State'!X51+'Exhibit H'!V34</f>
        <v>29.799999999999955</v>
      </c>
      <c r="X75" s="1467"/>
      <c r="Y75" s="1467"/>
      <c r="Z75" s="1467"/>
      <c r="AA75" s="2868"/>
      <c r="AB75" s="3263">
        <f t="shared" si="14"/>
        <v>266.3</v>
      </c>
      <c r="AC75" s="3263"/>
      <c r="AD75" s="3544"/>
      <c r="AE75" s="3263">
        <f>+'Exhibit F'!AF70+'Exhibit G State'!AG51+'Exhibit H'!AD34</f>
        <v>253.7</v>
      </c>
      <c r="AF75" s="3265"/>
      <c r="AG75" s="3265"/>
      <c r="AH75" s="3263">
        <f t="shared" si="13"/>
        <v>12.6</v>
      </c>
      <c r="AI75" s="3221"/>
      <c r="AJ75" s="1859">
        <f>ROUND(SUM(AH75/ABS(AE75)),3)</f>
        <v>0.05</v>
      </c>
    </row>
    <row r="76" spans="1:36" ht="15">
      <c r="A76" s="2538" t="s">
        <v>1043</v>
      </c>
      <c r="B76" s="1468"/>
      <c r="C76" s="1467">
        <f>+'Exhibit F'!D71+'Exhibit G State'!D52+'Exhibit H'!B35</f>
        <v>0.5</v>
      </c>
      <c r="D76" s="1467"/>
      <c r="E76" s="1467">
        <f>+'Exhibit F'!F71+'Exhibit G State'!F52+'Exhibit H'!D35</f>
        <v>0.49999999999999994</v>
      </c>
      <c r="F76" s="1467"/>
      <c r="G76" s="1467">
        <f>+'Exhibit F'!H71+'Exhibit G State'!H52+'Exhibit H'!F35</f>
        <v>1.2000000000000002</v>
      </c>
      <c r="H76" s="1467"/>
      <c r="I76" s="1467">
        <f>+'Exhibit F'!J71+'Exhibit G State'!J52+'Exhibit H'!H35</f>
        <v>0.19999999999999996</v>
      </c>
      <c r="J76" s="1467"/>
      <c r="K76" s="1467">
        <f>+'Exhibit F'!L71+'Exhibit G State'!L52+'Exhibit H'!J35</f>
        <v>0.60000000000000031</v>
      </c>
      <c r="L76" s="1467"/>
      <c r="M76" s="1467">
        <f>+'Exhibit F'!N71+'Exhibit G State'!N52+'Exhibit H'!L35</f>
        <v>1.2999999999999998</v>
      </c>
      <c r="N76" s="1467"/>
      <c r="O76" s="1467">
        <f>+'Exhibit F'!P71+'Exhibit G State'!P52+'Exhibit H'!N35</f>
        <v>0.5</v>
      </c>
      <c r="P76" s="1467"/>
      <c r="Q76" s="1467">
        <f>+'Exhibit F'!R71+'Exhibit G State'!R52+'Exhibit H'!P35</f>
        <v>0.39999999999999991</v>
      </c>
      <c r="R76" s="1467"/>
      <c r="S76" s="1467">
        <f>+'Exhibit F'!T71+'Exhibit G State'!T52+'Exhibit H'!R35</f>
        <v>1.0000000000000002</v>
      </c>
      <c r="T76" s="1467"/>
      <c r="U76" s="1467">
        <f>+'Exhibit F'!V71+'Exhibit G State'!V52+'Exhibit H'!T35</f>
        <v>1.1999999999999986</v>
      </c>
      <c r="V76" s="1467"/>
      <c r="W76" s="1467">
        <f>+'Exhibit F'!X71+'Exhibit G State'!X52+'Exhibit H'!V35</f>
        <v>0.20000000000000023</v>
      </c>
      <c r="X76" s="1467"/>
      <c r="Y76" s="1467"/>
      <c r="Z76" s="1467"/>
      <c r="AA76" s="2868"/>
      <c r="AB76" s="3263">
        <f t="shared" si="14"/>
        <v>7.6</v>
      </c>
      <c r="AC76" s="3263"/>
      <c r="AD76" s="3544"/>
      <c r="AE76" s="3263">
        <f>+'Exhibit F'!AF71+'Exhibit G State'!AG52+'Exhibit H'!AD35</f>
        <v>9.3000000000000007</v>
      </c>
      <c r="AF76" s="3265"/>
      <c r="AG76" s="3265"/>
      <c r="AH76" s="3263">
        <f t="shared" si="13"/>
        <v>-1.7</v>
      </c>
      <c r="AI76" s="3221"/>
      <c r="AJ76" s="1859">
        <f>ROUND(SUM(AH76/ABS(AE76)),3)</f>
        <v>-0.183</v>
      </c>
    </row>
    <row r="77" spans="1:36" ht="15">
      <c r="A77" s="2538" t="s">
        <v>1044</v>
      </c>
      <c r="B77" s="1468"/>
      <c r="C77" s="1467">
        <f>+'Exhibit F'!D72+'Exhibit G State'!D53+'Exhibit H'!B36</f>
        <v>59.2</v>
      </c>
      <c r="D77" s="1467"/>
      <c r="E77" s="1467">
        <f>+'Exhibit F'!F72+'Exhibit G State'!F53+'Exhibit H'!D36</f>
        <v>61.499999999999993</v>
      </c>
      <c r="F77" s="1467"/>
      <c r="G77" s="1467">
        <f>+'Exhibit F'!H72+'Exhibit G State'!H53+'Exhibit H'!F36</f>
        <v>40.300000000000004</v>
      </c>
      <c r="H77" s="1467"/>
      <c r="I77" s="1467">
        <f>+'Exhibit F'!J72+'Exhibit G State'!J53+'Exhibit H'!H36</f>
        <v>59</v>
      </c>
      <c r="J77" s="1467"/>
      <c r="K77" s="1467">
        <f>+'Exhibit F'!L72+'Exhibit G State'!L53+'Exhibit H'!J36</f>
        <v>52.699999999999996</v>
      </c>
      <c r="L77" s="1467"/>
      <c r="M77" s="1467">
        <f>+'Exhibit F'!N72+'Exhibit G State'!N53+'Exhibit H'!L36</f>
        <v>34.200000000000031</v>
      </c>
      <c r="N77" s="1467"/>
      <c r="O77" s="1467">
        <f>+'Exhibit F'!P72+'Exhibit G State'!P53+'Exhibit H'!N36</f>
        <v>59.099999999999987</v>
      </c>
      <c r="P77" s="1467"/>
      <c r="Q77" s="1467">
        <f>+'Exhibit F'!R72+'Exhibit G State'!R53+'Exhibit H'!P36</f>
        <v>35.899999999999991</v>
      </c>
      <c r="R77" s="1467"/>
      <c r="S77" s="1467">
        <f>+'Exhibit F'!T72+'Exhibit G State'!T53+'Exhibit H'!R36</f>
        <v>63.70000000000001</v>
      </c>
      <c r="T77" s="1467"/>
      <c r="U77" s="1467">
        <f>+'Exhibit F'!V72+'Exhibit G State'!V53+'Exhibit H'!T36</f>
        <v>63.499999999999993</v>
      </c>
      <c r="V77" s="1467"/>
      <c r="W77" s="1467">
        <f>+'Exhibit F'!X72+'Exhibit G State'!X53+'Exhibit H'!V36</f>
        <v>40.90000000000002</v>
      </c>
      <c r="X77" s="1467"/>
      <c r="Y77" s="1467"/>
      <c r="Z77" s="1467"/>
      <c r="AA77" s="2868"/>
      <c r="AB77" s="3263">
        <f t="shared" si="14"/>
        <v>570</v>
      </c>
      <c r="AC77" s="3263"/>
      <c r="AD77" s="3544"/>
      <c r="AE77" s="3263">
        <f>+'Exhibit F'!AF72+'Exhibit G State'!AG53+'Exhibit H'!AD36</f>
        <v>723</v>
      </c>
      <c r="AF77" s="3265"/>
      <c r="AG77" s="3265"/>
      <c r="AH77" s="3263">
        <f t="shared" si="13"/>
        <v>-153</v>
      </c>
      <c r="AI77" s="3221"/>
      <c r="AJ77" s="1765">
        <f>ROUND(IF(AE77=0,0,AH77/ABS(AE77)),3)</f>
        <v>-0.21199999999999999</v>
      </c>
    </row>
    <row r="78" spans="1:36" ht="15">
      <c r="A78" s="2538" t="s">
        <v>1045</v>
      </c>
      <c r="B78" s="1468"/>
      <c r="C78" s="1467">
        <f>+'Exhibit F'!D73+'Exhibit G State'!D54+'Exhibit H'!B37</f>
        <v>55.2</v>
      </c>
      <c r="D78" s="1467"/>
      <c r="E78" s="1467">
        <f>+'Exhibit F'!F73+'Exhibit G State'!F54+'Exhibit H'!D37</f>
        <v>47.099999999999994</v>
      </c>
      <c r="F78" s="1467"/>
      <c r="G78" s="1467">
        <f>+'Exhibit F'!H73+'Exhibit G State'!H54+'Exhibit H'!F37</f>
        <v>67.300000000000011</v>
      </c>
      <c r="H78" s="1467"/>
      <c r="I78" s="1467">
        <f>+'Exhibit F'!J73+'Exhibit G State'!J54+'Exhibit H'!H37</f>
        <v>67.5</v>
      </c>
      <c r="J78" s="1467"/>
      <c r="K78" s="1467">
        <f>+'Exhibit F'!L73+'Exhibit G State'!L54+'Exhibit H'!J37</f>
        <v>95.399999999999977</v>
      </c>
      <c r="L78" s="1467"/>
      <c r="M78" s="1467">
        <f>+'Exhibit F'!N73+'Exhibit G State'!N54+'Exhibit H'!L37</f>
        <v>131.30000000000004</v>
      </c>
      <c r="N78" s="1467"/>
      <c r="O78" s="1467">
        <f>+'Exhibit F'!P73+'Exhibit G State'!P54+'Exhibit H'!N37</f>
        <v>57.900000000000048</v>
      </c>
      <c r="P78" s="1467"/>
      <c r="Q78" s="1467">
        <f>+'Exhibit F'!R73+'Exhibit G State'!R54+'Exhibit H'!P37</f>
        <v>72.599999999999881</v>
      </c>
      <c r="R78" s="1467"/>
      <c r="S78" s="1467">
        <f>+'Exhibit F'!T73+'Exhibit G State'!T54+'Exhibit H'!R37</f>
        <v>62.500000000000043</v>
      </c>
      <c r="T78" s="1467"/>
      <c r="U78" s="1467">
        <f>+'Exhibit F'!V73+'Exhibit G State'!V54+'Exhibit H'!T37</f>
        <v>50.099999999999952</v>
      </c>
      <c r="V78" s="1467"/>
      <c r="W78" s="1467">
        <f>+'Exhibit F'!X73+'Exhibit G State'!X54+'Exhibit H'!V37</f>
        <v>131.7000000000001</v>
      </c>
      <c r="X78" s="1467"/>
      <c r="Y78" s="1467"/>
      <c r="Z78" s="1467"/>
      <c r="AA78" s="2868"/>
      <c r="AB78" s="3263">
        <f t="shared" si="14"/>
        <v>838.6</v>
      </c>
      <c r="AC78" s="3263"/>
      <c r="AD78" s="3544"/>
      <c r="AE78" s="3263">
        <f>+'Exhibit F'!AF73+'Exhibit G State'!AG54+'Exhibit H'!AD37</f>
        <v>710.8</v>
      </c>
      <c r="AF78" s="3265"/>
      <c r="AG78" s="3265"/>
      <c r="AH78" s="3263">
        <f t="shared" si="13"/>
        <v>127.8</v>
      </c>
      <c r="AI78" s="3221"/>
      <c r="AJ78" s="1859">
        <f>ROUND(SUM(AH78/ABS(AE78)),3)</f>
        <v>0.18</v>
      </c>
    </row>
    <row r="79" spans="1:36" ht="15">
      <c r="A79" s="2538" t="s">
        <v>1034</v>
      </c>
      <c r="B79" s="1468"/>
      <c r="C79" s="1467">
        <f>+'Exhibit F'!D74+'Exhibit G State'!D55</f>
        <v>625.70000000000005</v>
      </c>
      <c r="D79" s="1467"/>
      <c r="E79" s="1467">
        <f>+'Exhibit F'!F74+'Exhibit G State'!F55</f>
        <v>221.8</v>
      </c>
      <c r="F79" s="1467"/>
      <c r="G79" s="1467">
        <f>+'Exhibit F'!H74+'Exhibit G State'!H55</f>
        <v>133.19999999999999</v>
      </c>
      <c r="H79" s="1467"/>
      <c r="I79" s="1467">
        <f>+'Exhibit F'!J74+'Exhibit G State'!J55</f>
        <v>48.699999999999989</v>
      </c>
      <c r="J79" s="1467"/>
      <c r="K79" s="1467">
        <f>+'Exhibit F'!L74+'Exhibit G State'!L55</f>
        <v>29.500000000000028</v>
      </c>
      <c r="L79" s="1467"/>
      <c r="M79" s="1467">
        <f>+'Exhibit F'!N74+'Exhibit G State'!N55</f>
        <v>36.499999999999957</v>
      </c>
      <c r="N79" s="1467"/>
      <c r="O79" s="1467">
        <f>+'Exhibit F'!P74+'Exhibit G State'!P55</f>
        <v>85.899999999999977</v>
      </c>
      <c r="P79" s="1467"/>
      <c r="Q79" s="1467">
        <f>+'Exhibit F'!R74+'Exhibit G State'!R55</f>
        <v>32.300000000000068</v>
      </c>
      <c r="R79" s="1467"/>
      <c r="S79" s="1467">
        <f>+'Exhibit F'!T74+'Exhibit G State'!T55</f>
        <v>42.699999999999989</v>
      </c>
      <c r="T79" s="1467"/>
      <c r="U79" s="1467">
        <f>+'Exhibit F'!V74+'Exhibit G State'!V55</f>
        <v>34.700000000000102</v>
      </c>
      <c r="V79" s="1467"/>
      <c r="W79" s="1467">
        <f>+'Exhibit F'!X74+'Exhibit G State'!X55</f>
        <v>18.199999999999875</v>
      </c>
      <c r="X79" s="1467"/>
      <c r="Y79" s="1467"/>
      <c r="Z79" s="1467"/>
      <c r="AA79" s="2868"/>
      <c r="AB79" s="3263">
        <f t="shared" si="14"/>
        <v>1309.2</v>
      </c>
      <c r="AC79" s="3263"/>
      <c r="AD79" s="3544"/>
      <c r="AE79" s="3263">
        <f>+'Exhibit F'!AF74+'Exhibit G State'!AG55</f>
        <v>1453.2</v>
      </c>
      <c r="AF79" s="3265"/>
      <c r="AG79" s="3265"/>
      <c r="AH79" s="3263">
        <f t="shared" si="13"/>
        <v>-144</v>
      </c>
      <c r="AI79" s="3221"/>
      <c r="AJ79" s="1859">
        <f>ROUND(SUM(AH79/ABS(AE79)),3)</f>
        <v>-9.9000000000000005E-2</v>
      </c>
    </row>
    <row r="80" spans="1:36" ht="15">
      <c r="A80" s="2538" t="s">
        <v>1157</v>
      </c>
      <c r="B80" s="1468"/>
      <c r="C80" s="1467"/>
      <c r="D80" s="1467"/>
      <c r="E80" s="1467"/>
      <c r="F80" s="1467"/>
      <c r="G80" s="1467"/>
      <c r="H80" s="1467"/>
      <c r="I80" s="1467"/>
      <c r="J80" s="1467"/>
      <c r="K80" s="1467"/>
      <c r="L80" s="1467"/>
      <c r="M80" s="1467"/>
      <c r="N80" s="1467"/>
      <c r="O80" s="1467"/>
      <c r="P80" s="1467"/>
      <c r="Q80" s="1467"/>
      <c r="R80" s="1467"/>
      <c r="S80" s="1467"/>
      <c r="T80" s="1467"/>
      <c r="U80" s="1467"/>
      <c r="V80" s="1467"/>
      <c r="W80" s="1467"/>
      <c r="X80" s="1467"/>
      <c r="Y80" s="1467"/>
      <c r="Z80" s="1467"/>
      <c r="AA80" s="2868"/>
      <c r="AB80" s="3263"/>
      <c r="AC80" s="3263"/>
      <c r="AD80" s="3544"/>
      <c r="AE80" s="3263"/>
      <c r="AF80" s="3265"/>
      <c r="AG80" s="3265"/>
      <c r="AH80" s="3263"/>
      <c r="AI80" s="3221"/>
      <c r="AJ80" s="1859" t="s">
        <v>15</v>
      </c>
    </row>
    <row r="81" spans="1:36" ht="15">
      <c r="A81" s="2538" t="s">
        <v>1046</v>
      </c>
      <c r="B81" s="1468"/>
      <c r="C81" s="1467">
        <f>+'Exhibit G State'!D57</f>
        <v>31.4</v>
      </c>
      <c r="D81" s="1467"/>
      <c r="E81" s="1467">
        <f>+'Exhibit G State'!F57</f>
        <v>18.800000000000004</v>
      </c>
      <c r="F81" s="1467"/>
      <c r="G81" s="1467">
        <f>+'Exhibit G State'!H57</f>
        <v>19.700000000000003</v>
      </c>
      <c r="H81" s="1467"/>
      <c r="I81" s="1467">
        <f>+'Exhibit G State'!J57</f>
        <v>37.699999999999982</v>
      </c>
      <c r="J81" s="1467"/>
      <c r="K81" s="1467">
        <f>+'Exhibit G State'!L57</f>
        <v>15.300000000000004</v>
      </c>
      <c r="L81" s="1467"/>
      <c r="M81" s="1467">
        <f>+'Exhibit G State'!N57</f>
        <v>20</v>
      </c>
      <c r="N81" s="1467"/>
      <c r="O81" s="1467">
        <f>+'Exhibit G State'!P57</f>
        <v>36.79999999999999</v>
      </c>
      <c r="P81" s="1467"/>
      <c r="Q81" s="1467">
        <f>+'Exhibit G State'!R57</f>
        <v>13.300000000000004</v>
      </c>
      <c r="R81" s="1467"/>
      <c r="S81" s="1467">
        <f>+'Exhibit G State'!T57</f>
        <v>17.599999999999994</v>
      </c>
      <c r="T81" s="1467"/>
      <c r="U81" s="1467">
        <f>+'Exhibit G State'!V57</f>
        <v>35.699999999999996</v>
      </c>
      <c r="V81" s="1467"/>
      <c r="W81" s="1467">
        <f>+'Exhibit G State'!X57</f>
        <v>15.199999999999982</v>
      </c>
      <c r="X81" s="1467"/>
      <c r="Y81" s="1467"/>
      <c r="Z81" s="1467"/>
      <c r="AA81" s="2868"/>
      <c r="AB81" s="3263">
        <f>ROUND(SUM(C81:Y81),1)</f>
        <v>261.5</v>
      </c>
      <c r="AC81" s="3263"/>
      <c r="AD81" s="3544"/>
      <c r="AE81" s="3263">
        <f>+'Exhibit G State'!AG57</f>
        <v>236.7</v>
      </c>
      <c r="AF81" s="3265"/>
      <c r="AG81" s="3265"/>
      <c r="AH81" s="3263">
        <f t="shared" si="13"/>
        <v>24.8</v>
      </c>
      <c r="AI81" s="3221"/>
      <c r="AJ81" s="1870">
        <f>ROUND(SUM(AH81/ABS(AE81)),3)</f>
        <v>0.105</v>
      </c>
    </row>
    <row r="82" spans="1:36" ht="15">
      <c r="A82" s="2538" t="s">
        <v>1047</v>
      </c>
      <c r="B82" s="1468"/>
      <c r="C82" s="1467">
        <f>+'Exhibit G State'!D58</f>
        <v>218.4</v>
      </c>
      <c r="D82" s="1467"/>
      <c r="E82" s="1467">
        <f>+'Exhibit G State'!F58</f>
        <v>262</v>
      </c>
      <c r="F82" s="1467"/>
      <c r="G82" s="1467">
        <f>+'Exhibit G State'!H58</f>
        <v>202.30000000000007</v>
      </c>
      <c r="H82" s="1467"/>
      <c r="I82" s="1467">
        <f>+'Exhibit G State'!J58</f>
        <v>225.69999999999993</v>
      </c>
      <c r="J82" s="1467"/>
      <c r="K82" s="1467">
        <f>+'Exhibit G State'!L58</f>
        <v>170.19999999999993</v>
      </c>
      <c r="L82" s="1467"/>
      <c r="M82" s="1467">
        <f>+'Exhibit G State'!N58</f>
        <v>176.30000000000007</v>
      </c>
      <c r="N82" s="1467"/>
      <c r="O82" s="1467">
        <f>+'Exhibit G State'!P58</f>
        <v>220.09999999999991</v>
      </c>
      <c r="P82" s="1467"/>
      <c r="Q82" s="1467">
        <f>+'Exhibit G State'!R58</f>
        <v>177.79999999999995</v>
      </c>
      <c r="R82" s="1467"/>
      <c r="S82" s="1467">
        <f>+'Exhibit G State'!T58</f>
        <v>180.00000000000011</v>
      </c>
      <c r="T82" s="1467"/>
      <c r="U82" s="1467">
        <f>+'Exhibit G State'!V58</f>
        <v>221.50000000000011</v>
      </c>
      <c r="V82" s="1467"/>
      <c r="W82" s="1467">
        <f>+'Exhibit G State'!X58</f>
        <v>170.19999999999993</v>
      </c>
      <c r="X82" s="1467"/>
      <c r="Y82" s="1467"/>
      <c r="Z82" s="1467"/>
      <c r="AA82" s="2868"/>
      <c r="AB82" s="3263">
        <f>ROUND(SUM(C82:Y82),1)</f>
        <v>2224.5</v>
      </c>
      <c r="AC82" s="3263"/>
      <c r="AD82" s="3544"/>
      <c r="AE82" s="3263">
        <f>+'Exhibit G State'!AG58</f>
        <v>2352.6</v>
      </c>
      <c r="AF82" s="3265"/>
      <c r="AG82" s="3265"/>
      <c r="AH82" s="3263">
        <f t="shared" si="13"/>
        <v>-128.1</v>
      </c>
      <c r="AI82" s="3221"/>
      <c r="AJ82" s="1870">
        <f>ROUND(SUM(AH82/ABS(AE82)),3)</f>
        <v>-5.3999999999999999E-2</v>
      </c>
    </row>
    <row r="83" spans="1:36" ht="15">
      <c r="A83" s="2538" t="s">
        <v>1048</v>
      </c>
      <c r="B83" s="1468"/>
      <c r="C83" s="1467">
        <f>+'Exhibit G State'!D59</f>
        <v>76.599999999999994</v>
      </c>
      <c r="D83" s="1467"/>
      <c r="E83" s="1467">
        <f>+'Exhibit G State'!F59</f>
        <v>88.5</v>
      </c>
      <c r="F83" s="1467"/>
      <c r="G83" s="1467">
        <f>+'Exhibit G State'!H59</f>
        <v>63.200000000000017</v>
      </c>
      <c r="H83" s="1467"/>
      <c r="I83" s="1467">
        <f>+'Exhibit G State'!J59</f>
        <v>89.5</v>
      </c>
      <c r="J83" s="1467"/>
      <c r="K83" s="1467">
        <f>+'Exhibit G State'!L59</f>
        <v>76.500000000000028</v>
      </c>
      <c r="L83" s="1467"/>
      <c r="M83" s="1467">
        <f>+'Exhibit G State'!N59</f>
        <v>77.5</v>
      </c>
      <c r="N83" s="1467"/>
      <c r="O83" s="1467">
        <f>+'Exhibit G State'!P59</f>
        <v>94.599999999999881</v>
      </c>
      <c r="P83" s="1467"/>
      <c r="Q83" s="1467">
        <f>+'Exhibit G State'!R59</f>
        <v>72.700000000000045</v>
      </c>
      <c r="R83" s="1467"/>
      <c r="S83" s="1467">
        <f>+'Exhibit G State'!T59</f>
        <v>70.600000000000051</v>
      </c>
      <c r="T83" s="1467"/>
      <c r="U83" s="1467">
        <f>+'Exhibit G State'!V59</f>
        <v>99</v>
      </c>
      <c r="V83" s="1467"/>
      <c r="W83" s="1467">
        <f>+'Exhibit G State'!X59</f>
        <v>79.099999999999881</v>
      </c>
      <c r="X83" s="1467"/>
      <c r="Y83" s="1467"/>
      <c r="Z83" s="1467"/>
      <c r="AA83" s="2868"/>
      <c r="AB83" s="3263">
        <f>ROUND(SUM(C83:Y83),1)</f>
        <v>887.8</v>
      </c>
      <c r="AC83" s="3263"/>
      <c r="AD83" s="3544"/>
      <c r="AE83" s="3263">
        <f>+'Exhibit G State'!AG59</f>
        <v>874.7</v>
      </c>
      <c r="AF83" s="3265"/>
      <c r="AG83" s="3265"/>
      <c r="AH83" s="3263">
        <f t="shared" si="13"/>
        <v>13.1</v>
      </c>
      <c r="AI83" s="3221"/>
      <c r="AJ83" s="1870">
        <f>ROUND(SUM(AH83/ABS(AE83)),3)</f>
        <v>1.4999999999999999E-2</v>
      </c>
    </row>
    <row r="84" spans="1:36" ht="15">
      <c r="A84" s="2538" t="s">
        <v>1035</v>
      </c>
      <c r="B84" s="1468"/>
      <c r="C84" s="1467">
        <f>+'Exhibit F'!D75+'Exhibit H'!B38+'Exhibit G State'!D60</f>
        <v>41.4</v>
      </c>
      <c r="D84" s="1467"/>
      <c r="E84" s="1467">
        <f>+'Exhibit F'!F75+'Exhibit H'!D38+'Exhibit G State'!F60</f>
        <v>35</v>
      </c>
      <c r="F84" s="1467"/>
      <c r="G84" s="1467">
        <f>+'Exhibit F'!H75+'Exhibit H'!F38+'Exhibit G State'!H60</f>
        <v>41.599999999999994</v>
      </c>
      <c r="H84" s="1467"/>
      <c r="I84" s="1467">
        <f>+'Exhibit F'!J75+'Exhibit H'!H38+'Exhibit G State'!J60</f>
        <v>32.900000000000006</v>
      </c>
      <c r="J84" s="1467"/>
      <c r="K84" s="1467">
        <f>+'Exhibit F'!L75+'Exhibit H'!J38+'Exhibit G State'!L60</f>
        <v>35.300000000000018</v>
      </c>
      <c r="L84" s="1467"/>
      <c r="M84" s="1467">
        <f>+'Exhibit F'!N75+'Exhibit H'!L38+'Exhibit G State'!N60</f>
        <v>32.199999999999982</v>
      </c>
      <c r="N84" s="1467"/>
      <c r="O84" s="1467">
        <f>+'Exhibit F'!P75+'Exhibit H'!N38+'Exhibit G State'!P60</f>
        <v>33.799999999999983</v>
      </c>
      <c r="P84" s="1467"/>
      <c r="Q84" s="1467">
        <f>+'Exhibit F'!R75+'Exhibit H'!P38+'Exhibit G State'!R60</f>
        <v>30.400000000000009</v>
      </c>
      <c r="R84" s="1467"/>
      <c r="S84" s="1467">
        <f>+'Exhibit F'!T75+'Exhibit H'!R38+'Exhibit G State'!T60</f>
        <v>25.000000000000018</v>
      </c>
      <c r="T84" s="1467"/>
      <c r="U84" s="1467">
        <f>+'Exhibit F'!V75+'Exhibit H'!T38+'Exhibit G State'!V60</f>
        <v>24.100000000000026</v>
      </c>
      <c r="V84" s="1467"/>
      <c r="W84" s="1467">
        <f>+'Exhibit F'!X75+'Exhibit H'!V38+'Exhibit G State'!X60</f>
        <v>28.099999999999952</v>
      </c>
      <c r="X84" s="1467"/>
      <c r="Y84" s="1467"/>
      <c r="Z84" s="1467"/>
      <c r="AA84" s="2868"/>
      <c r="AB84" s="3263">
        <f>ROUND(SUM(C84:Y84),1)</f>
        <v>359.8</v>
      </c>
      <c r="AC84" s="3263"/>
      <c r="AD84" s="3544"/>
      <c r="AE84" s="3263">
        <f>+'Exhibit F'!AF75+'Exhibit H'!AD38+'Exhibit G State'!AG60</f>
        <v>276.10000000000002</v>
      </c>
      <c r="AF84" s="3265"/>
      <c r="AG84" s="3265"/>
      <c r="AH84" s="3263">
        <f t="shared" si="13"/>
        <v>83.7</v>
      </c>
      <c r="AI84" s="3221"/>
      <c r="AJ84" s="1870">
        <f>ROUND(SUM(AH84/ABS(AE84)),3)</f>
        <v>0.30299999999999999</v>
      </c>
    </row>
    <row r="85" spans="1:36" ht="15">
      <c r="A85" s="2538" t="s">
        <v>1158</v>
      </c>
      <c r="B85" s="1468"/>
      <c r="C85" s="1467"/>
      <c r="D85" s="1467"/>
      <c r="E85" s="1467"/>
      <c r="F85" s="1467"/>
      <c r="G85" s="1467"/>
      <c r="H85" s="1467"/>
      <c r="I85" s="1467"/>
      <c r="J85" s="1467"/>
      <c r="K85" s="1467"/>
      <c r="L85" s="1467"/>
      <c r="M85" s="1467"/>
      <c r="N85" s="1467"/>
      <c r="O85" s="1467"/>
      <c r="P85" s="1467"/>
      <c r="Q85" s="1467"/>
      <c r="R85" s="1467"/>
      <c r="S85" s="1467"/>
      <c r="T85" s="1467"/>
      <c r="U85" s="1467"/>
      <c r="V85" s="1467"/>
      <c r="W85" s="1467"/>
      <c r="X85" s="1467"/>
      <c r="Y85" s="1467"/>
      <c r="Z85" s="1467"/>
      <c r="AA85" s="2868"/>
      <c r="AB85" s="3263"/>
      <c r="AC85" s="3263"/>
      <c r="AD85" s="3544"/>
      <c r="AE85" s="3263"/>
      <c r="AF85" s="3265"/>
      <c r="AG85" s="3265"/>
      <c r="AH85" s="3263"/>
      <c r="AI85" s="3221"/>
      <c r="AJ85" s="1765"/>
    </row>
    <row r="86" spans="1:36" ht="15">
      <c r="A86" s="2538" t="s">
        <v>1049</v>
      </c>
      <c r="B86" s="1468"/>
      <c r="C86" s="1467">
        <f>+'Exhibit G State'!D62</f>
        <v>0</v>
      </c>
      <c r="D86" s="1467"/>
      <c r="E86" s="1467">
        <f>+'Exhibit G State'!F62</f>
        <v>0</v>
      </c>
      <c r="F86" s="1467"/>
      <c r="G86" s="1467">
        <f>+'Exhibit G State'!H62</f>
        <v>0</v>
      </c>
      <c r="H86" s="1467"/>
      <c r="I86" s="1467">
        <f>+'Exhibit G State'!J62</f>
        <v>0</v>
      </c>
      <c r="J86" s="1467"/>
      <c r="K86" s="1467">
        <f>+'Exhibit G State'!L62</f>
        <v>0</v>
      </c>
      <c r="L86" s="1467"/>
      <c r="M86" s="1467">
        <f>+'Exhibit G State'!N62</f>
        <v>0</v>
      </c>
      <c r="N86" s="1467"/>
      <c r="O86" s="1467">
        <f>+'Exhibit G State'!P62</f>
        <v>0</v>
      </c>
      <c r="P86" s="1467"/>
      <c r="Q86" s="1467">
        <f>+'Exhibit G State'!R62</f>
        <v>0</v>
      </c>
      <c r="R86" s="1467"/>
      <c r="S86" s="1467">
        <f>+'Exhibit G State'!T62</f>
        <v>0</v>
      </c>
      <c r="T86" s="1467"/>
      <c r="U86" s="1467">
        <f>+'Exhibit G State'!V62</f>
        <v>0</v>
      </c>
      <c r="V86" s="1467"/>
      <c r="W86" s="1467">
        <f>+'Exhibit G State'!X62</f>
        <v>0</v>
      </c>
      <c r="X86" s="1467"/>
      <c r="Y86" s="1467"/>
      <c r="Z86" s="1467"/>
      <c r="AA86" s="2868"/>
      <c r="AB86" s="3263">
        <f t="shared" ref="AB86:AB91" si="15">ROUND(SUM(C86:Y86),1)</f>
        <v>0</v>
      </c>
      <c r="AC86" s="3263"/>
      <c r="AD86" s="3544"/>
      <c r="AE86" s="3263">
        <f>+'Exhibit G State'!AG62</f>
        <v>0</v>
      </c>
      <c r="AF86" s="3265"/>
      <c r="AG86" s="3265"/>
      <c r="AH86" s="3263">
        <f t="shared" si="13"/>
        <v>0</v>
      </c>
      <c r="AI86" s="3221"/>
      <c r="AJ86" s="1765">
        <f>ROUND(IF(AE86=0,0,AH86/ABS(AE86)),3)</f>
        <v>0</v>
      </c>
    </row>
    <row r="87" spans="1:36" ht="15">
      <c r="A87" s="2538" t="s">
        <v>1050</v>
      </c>
      <c r="B87" s="1468"/>
      <c r="C87" s="1467">
        <f>+'Exhibit F'!D77+'Exhibit G State'!D63</f>
        <v>0</v>
      </c>
      <c r="D87" s="1467"/>
      <c r="E87" s="1467">
        <f>+'Exhibit F'!F77+'Exhibit G State'!F63</f>
        <v>0</v>
      </c>
      <c r="F87" s="1467"/>
      <c r="G87" s="1467">
        <f>+'Exhibit F'!H77+'Exhibit G State'!H63</f>
        <v>0</v>
      </c>
      <c r="H87" s="1467"/>
      <c r="I87" s="1467">
        <f>+'Exhibit F'!J77+'Exhibit G State'!J63</f>
        <v>0</v>
      </c>
      <c r="J87" s="1467"/>
      <c r="K87" s="1467">
        <f>+'Exhibit F'!L77+'Exhibit G State'!L63</f>
        <v>5.0999999999999996</v>
      </c>
      <c r="L87" s="1467"/>
      <c r="M87" s="1467">
        <f>+'Exhibit F'!N77+'Exhibit G State'!N63</f>
        <v>28.1</v>
      </c>
      <c r="N87" s="1467"/>
      <c r="O87" s="1467">
        <f>+'Exhibit F'!P77+'Exhibit G State'!P63</f>
        <v>13.499999999999998</v>
      </c>
      <c r="P87" s="1467"/>
      <c r="Q87" s="1467">
        <f>+'Exhibit F'!R77+'Exhibit G State'!R63</f>
        <v>0</v>
      </c>
      <c r="R87" s="1467"/>
      <c r="S87" s="1467">
        <f>+'Exhibit F'!T77+'Exhibit G State'!T63</f>
        <v>6.0000000000000036</v>
      </c>
      <c r="T87" s="1467"/>
      <c r="U87" s="1467">
        <f>+'Exhibit F'!V77+'Exhibit G State'!V63</f>
        <v>-12.200000000000003</v>
      </c>
      <c r="V87" s="1467"/>
      <c r="W87" s="1467">
        <f>+'Exhibit F'!X77+'Exhibit G State'!X63</f>
        <v>3</v>
      </c>
      <c r="X87" s="1467"/>
      <c r="Y87" s="1467"/>
      <c r="Z87" s="1467"/>
      <c r="AA87" s="2868"/>
      <c r="AB87" s="3263">
        <f t="shared" si="15"/>
        <v>43.5</v>
      </c>
      <c r="AC87" s="3263"/>
      <c r="AD87" s="3544"/>
      <c r="AE87" s="3263">
        <f>+'Exhibit F'!AF77+'Exhibit G State'!AG63</f>
        <v>40.700000000000003</v>
      </c>
      <c r="AF87" s="3265"/>
      <c r="AG87" s="3265"/>
      <c r="AH87" s="3263">
        <f t="shared" si="13"/>
        <v>2.8</v>
      </c>
      <c r="AI87" s="3221"/>
      <c r="AJ87" s="1859">
        <f>ROUND(IF(AE87=0,0,AH87/ABS(AE87)),3)</f>
        <v>6.9000000000000006E-2</v>
      </c>
    </row>
    <row r="88" spans="1:36" ht="15">
      <c r="A88" s="2538" t="s">
        <v>1051</v>
      </c>
      <c r="B88" s="1468"/>
      <c r="C88" s="1467">
        <f>+'Exhibit F'!D78+'Exhibit G State'!D64</f>
        <v>2</v>
      </c>
      <c r="D88" s="1467"/>
      <c r="E88" s="1467">
        <f>+'Exhibit F'!F78+'Exhibit G State'!F64</f>
        <v>1</v>
      </c>
      <c r="F88" s="1467"/>
      <c r="G88" s="1467">
        <f>+'Exhibit F'!H78+'Exhibit G State'!H64</f>
        <v>15.100000000000001</v>
      </c>
      <c r="H88" s="1467"/>
      <c r="I88" s="1467">
        <f>+'Exhibit F'!J78+'Exhibit G State'!J64</f>
        <v>6.9999999999999982</v>
      </c>
      <c r="J88" s="1467"/>
      <c r="K88" s="1467">
        <f>+'Exhibit F'!L78+'Exhibit G State'!L64</f>
        <v>0</v>
      </c>
      <c r="L88" s="1467"/>
      <c r="M88" s="1467">
        <f>+'Exhibit F'!N78+'Exhibit G State'!N64</f>
        <v>0.80000000000000071</v>
      </c>
      <c r="N88" s="1467"/>
      <c r="O88" s="1467">
        <f>+'Exhibit F'!P78+'Exhibit G State'!P64</f>
        <v>14.800000000000002</v>
      </c>
      <c r="P88" s="1467"/>
      <c r="Q88" s="1467">
        <f>+'Exhibit F'!R78+'Exhibit G State'!R64</f>
        <v>3.4999999999999982</v>
      </c>
      <c r="R88" s="1467"/>
      <c r="S88" s="1467">
        <f>+'Exhibit F'!T78+'Exhibit G State'!T64</f>
        <v>9.5</v>
      </c>
      <c r="T88" s="1467"/>
      <c r="U88" s="1467">
        <f>+'Exhibit F'!V78+'Exhibit G State'!V64</f>
        <v>29.79999999999999</v>
      </c>
      <c r="V88" s="1467"/>
      <c r="W88" s="1467">
        <f>+'Exhibit F'!X78+'Exhibit G State'!X64</f>
        <v>0</v>
      </c>
      <c r="X88" s="1467"/>
      <c r="Y88" s="1467"/>
      <c r="Z88" s="1467"/>
      <c r="AA88" s="2868"/>
      <c r="AB88" s="3263">
        <f t="shared" si="15"/>
        <v>83.5</v>
      </c>
      <c r="AC88" s="3263"/>
      <c r="AD88" s="3544"/>
      <c r="AE88" s="3263">
        <f>+'Exhibit F'!AF78+'Exhibit G State'!AG64</f>
        <v>91.7</v>
      </c>
      <c r="AF88" s="3265"/>
      <c r="AG88" s="3265"/>
      <c r="AH88" s="3263">
        <f t="shared" si="13"/>
        <v>-8.1999999999999993</v>
      </c>
      <c r="AI88" s="3221"/>
      <c r="AJ88" s="1870">
        <f>ROUND(SUM(AH88/ABS(AE88)),3)</f>
        <v>-8.8999999999999996E-2</v>
      </c>
    </row>
    <row r="89" spans="1:36" ht="15">
      <c r="A89" s="2538" t="s">
        <v>1052</v>
      </c>
      <c r="B89" s="1468"/>
      <c r="C89" s="1467">
        <f>+'Exhibit F'!D79+'Exhibit G State'!D65</f>
        <v>0.7</v>
      </c>
      <c r="D89" s="1467"/>
      <c r="E89" s="1467">
        <f>+'Exhibit F'!F79+'Exhibit G State'!F65</f>
        <v>4.7</v>
      </c>
      <c r="F89" s="1467"/>
      <c r="G89" s="1467">
        <f>+'Exhibit F'!H79+'Exhibit G State'!H65</f>
        <v>4.3</v>
      </c>
      <c r="H89" s="1467"/>
      <c r="I89" s="1467">
        <f>+'Exhibit F'!J79+'Exhibit G State'!J65</f>
        <v>13.5</v>
      </c>
      <c r="J89" s="1467"/>
      <c r="K89" s="1467">
        <f>+'Exhibit F'!L79+'Exhibit G State'!L65</f>
        <v>0</v>
      </c>
      <c r="L89" s="1467"/>
      <c r="M89" s="1467">
        <f>+'Exhibit F'!N79+'Exhibit G State'!N65</f>
        <v>26.699999999999996</v>
      </c>
      <c r="N89" s="1467"/>
      <c r="O89" s="1467">
        <f>+'Exhibit F'!P79+'Exhibit G State'!P65</f>
        <v>4.5</v>
      </c>
      <c r="P89" s="1467"/>
      <c r="Q89" s="1467">
        <f>+'Exhibit F'!R79+'Exhibit G State'!R65</f>
        <v>0</v>
      </c>
      <c r="R89" s="1467"/>
      <c r="S89" s="1467">
        <f>+'Exhibit F'!T79+'Exhibit G State'!T65</f>
        <v>2.6000000000000014</v>
      </c>
      <c r="T89" s="1467"/>
      <c r="U89" s="1467">
        <f>+'Exhibit F'!V79+'Exhibit G State'!V65</f>
        <v>23.099999999999998</v>
      </c>
      <c r="V89" s="1467"/>
      <c r="W89" s="1467">
        <f>+'Exhibit F'!X79+'Exhibit G State'!X65</f>
        <v>2.1999999999999993</v>
      </c>
      <c r="X89" s="1467"/>
      <c r="Y89" s="1467"/>
      <c r="Z89" s="1467"/>
      <c r="AA89" s="2868"/>
      <c r="AB89" s="3263">
        <f t="shared" si="15"/>
        <v>82.3</v>
      </c>
      <c r="AC89" s="3263"/>
      <c r="AD89" s="3544"/>
      <c r="AE89" s="3263">
        <f>+'Exhibit F'!AF79+'Exhibit G State'!AG65</f>
        <v>76.099999999999994</v>
      </c>
      <c r="AF89" s="3265"/>
      <c r="AG89" s="3265"/>
      <c r="AH89" s="3263">
        <f t="shared" si="13"/>
        <v>6.2</v>
      </c>
      <c r="AI89" s="3221"/>
      <c r="AJ89" s="1870">
        <f>ROUND(SUM(AH89/ABS(AE89)),3)</f>
        <v>8.1000000000000003E-2</v>
      </c>
    </row>
    <row r="90" spans="1:36" ht="15">
      <c r="A90" s="2538" t="s">
        <v>1053</v>
      </c>
      <c r="B90" s="1468"/>
      <c r="C90" s="1467">
        <f>+'Exhibit F'!D80+'Exhibit H'!B39+'Exhibit G State'!D66</f>
        <v>26.1</v>
      </c>
      <c r="D90" s="1467"/>
      <c r="E90" s="1467">
        <f>+'Exhibit F'!F80+'Exhibit H'!D39+'Exhibit G State'!F66</f>
        <v>3.1999999999999993</v>
      </c>
      <c r="F90" s="1467"/>
      <c r="G90" s="1467">
        <f>+'Exhibit F'!H80+'Exhibit H'!F39+'Exhibit G State'!H66</f>
        <v>6.2999999999999989</v>
      </c>
      <c r="H90" s="1467"/>
      <c r="I90" s="1467">
        <f>+'Exhibit F'!J80+'Exhibit H'!H39+'Exhibit G State'!J66</f>
        <v>4.4000000000000012</v>
      </c>
      <c r="J90" s="1467"/>
      <c r="K90" s="1467">
        <f>+'Exhibit F'!L80+'Exhibit H'!J39+'Exhibit G State'!L66</f>
        <v>2.3000000000000007</v>
      </c>
      <c r="L90" s="1467"/>
      <c r="M90" s="1467">
        <f>+'Exhibit F'!N80+'Exhibit H'!L39+'Exhibit G State'!N66</f>
        <v>5.8999999999999968</v>
      </c>
      <c r="N90" s="1467"/>
      <c r="O90" s="1467">
        <f>+'Exhibit F'!P80+'Exhibit H'!N39+'Exhibit G State'!P66</f>
        <v>4.4000000000000075</v>
      </c>
      <c r="P90" s="1467"/>
      <c r="Q90" s="1467">
        <f>+'Exhibit F'!R80+'Exhibit H'!P39+'Exhibit G State'!R66</f>
        <v>1.8999999999999955</v>
      </c>
      <c r="R90" s="1467"/>
      <c r="S90" s="1467">
        <f>+'Exhibit F'!T80+'Exhibit H'!R39+'Exhibit G State'!T66</f>
        <v>5.8999999999999986</v>
      </c>
      <c r="T90" s="1467"/>
      <c r="U90" s="1467">
        <f>+'Exhibit F'!V80+'Exhibit H'!T39+'Exhibit G State'!V66</f>
        <v>2.1000000000000014</v>
      </c>
      <c r="V90" s="1467"/>
      <c r="W90" s="1467">
        <f>+'Exhibit F'!X80+'Exhibit H'!V39+'Exhibit G State'!X66</f>
        <v>2.8000000000000025</v>
      </c>
      <c r="X90" s="1467"/>
      <c r="Y90" s="1467"/>
      <c r="Z90" s="1467"/>
      <c r="AA90" s="2868"/>
      <c r="AB90" s="3263">
        <f t="shared" si="15"/>
        <v>65.3</v>
      </c>
      <c r="AC90" s="3263"/>
      <c r="AD90" s="3544"/>
      <c r="AE90" s="3263">
        <f>+'Exhibit F'!AF80+'Exhibit H'!AD39+'Exhibit G State'!AG66</f>
        <v>284</v>
      </c>
      <c r="AF90" s="3265"/>
      <c r="AG90" s="3265"/>
      <c r="AH90" s="3263">
        <f t="shared" si="13"/>
        <v>-218.7</v>
      </c>
      <c r="AI90" s="3221"/>
      <c r="AJ90" s="1870">
        <f>ROUND(SUM(AH90/ABS(AE90)),3)</f>
        <v>-0.77</v>
      </c>
    </row>
    <row r="91" spans="1:36" ht="15">
      <c r="A91" s="2538" t="s">
        <v>1054</v>
      </c>
      <c r="B91" s="1468"/>
      <c r="C91" s="1467">
        <f>+'Exhibit F'!D81+'Exhibit H'!B40+'Exhibit G State'!D67</f>
        <v>39.299999999999997</v>
      </c>
      <c r="D91" s="1467"/>
      <c r="E91" s="1467">
        <f>+'Exhibit F'!F81+'Exhibit H'!D40+'Exhibit G State'!F67</f>
        <v>28.300000000000004</v>
      </c>
      <c r="F91" s="1467"/>
      <c r="G91" s="1467">
        <f>+'Exhibit F'!H81+'Exhibit H'!F40+'Exhibit G State'!H67</f>
        <v>8.5999999999999908</v>
      </c>
      <c r="H91" s="1467"/>
      <c r="I91" s="1467">
        <f>+'Exhibit F'!J81+'Exhibit H'!H40+'Exhibit G State'!J67</f>
        <v>29.600000000000012</v>
      </c>
      <c r="J91" s="1467"/>
      <c r="K91" s="1467">
        <f>+'Exhibit F'!L81+'Exhibit H'!J40+'Exhibit G State'!L67</f>
        <v>1.0000000000000056</v>
      </c>
      <c r="L91" s="1467"/>
      <c r="M91" s="1467">
        <f>+'Exhibit F'!N81+'Exhibit H'!L40+'Exhibit G State'!N67</f>
        <v>0.69999999999998574</v>
      </c>
      <c r="N91" s="1467"/>
      <c r="O91" s="1467">
        <f>+'Exhibit F'!P81+'Exhibit H'!N40+'Exhibit G State'!P67</f>
        <v>65.700000000000017</v>
      </c>
      <c r="P91" s="1467"/>
      <c r="Q91" s="1467">
        <f>+'Exhibit F'!R81+'Exhibit H'!P40+'Exhibit G State'!R67</f>
        <v>24.100000000000016</v>
      </c>
      <c r="R91" s="1467"/>
      <c r="S91" s="1467">
        <f>+'Exhibit F'!T81+'Exhibit H'!R40+'Exhibit G State'!T67</f>
        <v>23.099999999999991</v>
      </c>
      <c r="T91" s="1467"/>
      <c r="U91" s="1467">
        <f>+'Exhibit F'!V81+'Exhibit H'!T40+'Exhibit G State'!V67</f>
        <v>48.200000000000038</v>
      </c>
      <c r="V91" s="1467"/>
      <c r="W91" s="1467">
        <f>+'Exhibit F'!X81+'Exhibit H'!V40+'Exhibit G State'!X67</f>
        <v>87.4</v>
      </c>
      <c r="X91" s="1467"/>
      <c r="Y91" s="1467"/>
      <c r="Z91" s="1467"/>
      <c r="AA91" s="2868"/>
      <c r="AB91" s="3263">
        <f t="shared" si="15"/>
        <v>356</v>
      </c>
      <c r="AC91" s="3263"/>
      <c r="AD91" s="3544"/>
      <c r="AE91" s="3263">
        <f>+'Exhibit F'!AF81+'Exhibit H'!AD40+'Exhibit G State'!AG67</f>
        <v>382.7</v>
      </c>
      <c r="AF91" s="3265"/>
      <c r="AG91" s="3265"/>
      <c r="AH91" s="3263">
        <f t="shared" si="13"/>
        <v>-26.7</v>
      </c>
      <c r="AI91" s="3221"/>
      <c r="AJ91" s="1870">
        <f>ROUND(SUM(AH91/ABS(AE91)),3)</f>
        <v>-7.0000000000000007E-2</v>
      </c>
    </row>
    <row r="92" spans="1:36" ht="15">
      <c r="A92" s="2538" t="s">
        <v>1159</v>
      </c>
      <c r="B92" s="1468"/>
      <c r="C92" s="1467"/>
      <c r="D92" s="1467"/>
      <c r="E92" s="1467"/>
      <c r="F92" s="1467"/>
      <c r="G92" s="1467"/>
      <c r="H92" s="1467"/>
      <c r="I92" s="1467"/>
      <c r="J92" s="1467"/>
      <c r="K92" s="1467"/>
      <c r="L92" s="1467"/>
      <c r="M92" s="1467"/>
      <c r="N92" s="1467"/>
      <c r="O92" s="1467"/>
      <c r="P92" s="1467"/>
      <c r="Q92" s="1467"/>
      <c r="R92" s="1467"/>
      <c r="S92" s="1467"/>
      <c r="T92" s="1467"/>
      <c r="U92" s="1467"/>
      <c r="V92" s="1467"/>
      <c r="W92" s="1467"/>
      <c r="X92" s="1467"/>
      <c r="Y92" s="1467"/>
      <c r="Z92" s="1467"/>
      <c r="AA92" s="2868"/>
      <c r="AB92" s="3263"/>
      <c r="AC92" s="3263"/>
      <c r="AD92" s="3544"/>
      <c r="AE92" s="3263"/>
      <c r="AF92" s="3265"/>
      <c r="AG92" s="3265"/>
      <c r="AH92" s="3263"/>
      <c r="AI92" s="3221"/>
      <c r="AJ92" s="1765"/>
    </row>
    <row r="93" spans="1:36" ht="15">
      <c r="A93" s="2538" t="s">
        <v>1055</v>
      </c>
      <c r="B93" s="1468"/>
      <c r="C93" s="1467">
        <f>+'Exhibit F'!D83+'Exhibit G State'!D69</f>
        <v>1.9</v>
      </c>
      <c r="D93" s="1467"/>
      <c r="E93" s="1467">
        <f>+'Exhibit F'!F83+'Exhibit G State'!F69</f>
        <v>2.8000000000000003</v>
      </c>
      <c r="F93" s="1467"/>
      <c r="G93" s="1467">
        <f>+'Exhibit F'!H83+'Exhibit G State'!H69</f>
        <v>24.700000000000003</v>
      </c>
      <c r="H93" s="1467"/>
      <c r="I93" s="1467">
        <f>+'Exhibit F'!J83+'Exhibit G State'!J69</f>
        <v>17.7</v>
      </c>
      <c r="J93" s="1467"/>
      <c r="K93" s="1467">
        <f>+'Exhibit F'!L83+'Exhibit G State'!L69</f>
        <v>4.5999999999999979</v>
      </c>
      <c r="L93" s="1467"/>
      <c r="M93" s="1467">
        <f>+'Exhibit F'!N83+'Exhibit G State'!N69</f>
        <v>21.900000000000006</v>
      </c>
      <c r="N93" s="1467"/>
      <c r="O93" s="1467">
        <f>+'Exhibit F'!P83+'Exhibit G State'!P69</f>
        <v>26.700000000000003</v>
      </c>
      <c r="P93" s="1467"/>
      <c r="Q93" s="1467">
        <f>+'Exhibit F'!R83+'Exhibit G State'!R69</f>
        <v>27.6</v>
      </c>
      <c r="R93" s="1467"/>
      <c r="S93" s="1467">
        <f>+'Exhibit F'!T83+'Exhibit G State'!T69</f>
        <v>32.000000000000007</v>
      </c>
      <c r="T93" s="1467"/>
      <c r="U93" s="1467">
        <f>+'Exhibit F'!V83+'Exhibit G State'!V69</f>
        <v>15.899999999999977</v>
      </c>
      <c r="V93" s="1467"/>
      <c r="W93" s="1467">
        <f>+'Exhibit F'!X83+'Exhibit G State'!X69</f>
        <v>32.300000000000011</v>
      </c>
      <c r="X93" s="1467"/>
      <c r="Y93" s="1467"/>
      <c r="Z93" s="1467"/>
      <c r="AA93" s="2868"/>
      <c r="AB93" s="3263">
        <f t="shared" ref="AB93:AB104" si="16">ROUND(SUM(C93:Y93),1)</f>
        <v>208.1</v>
      </c>
      <c r="AC93" s="3263"/>
      <c r="AD93" s="3544"/>
      <c r="AE93" s="3263">
        <f>+'Exhibit F'!AF83+'Exhibit G State'!AG69</f>
        <v>172.2</v>
      </c>
      <c r="AF93" s="3265"/>
      <c r="AG93" s="3265"/>
      <c r="AH93" s="3263">
        <f t="shared" si="13"/>
        <v>35.9</v>
      </c>
      <c r="AI93" s="3221"/>
      <c r="AJ93" s="1859">
        <f>ROUND(SUM(AH93/ABS(AE93)),3)</f>
        <v>0.20799999999999999</v>
      </c>
    </row>
    <row r="94" spans="1:36" ht="15">
      <c r="A94" s="2538" t="s">
        <v>1056</v>
      </c>
      <c r="B94" s="1468"/>
      <c r="C94" s="1467">
        <f>+'Exhibit G State'!D70+'Exhibit F'!D84</f>
        <v>0.6</v>
      </c>
      <c r="D94" s="1467"/>
      <c r="E94" s="1467">
        <f>+'Exhibit G State'!F70+'Exhibit F'!F84</f>
        <v>0.6</v>
      </c>
      <c r="F94" s="1467"/>
      <c r="G94" s="1467">
        <f>+'Exhibit G State'!H70+'Exhibit F'!H84</f>
        <v>0.6</v>
      </c>
      <c r="H94" s="1467"/>
      <c r="I94" s="1467">
        <f>+'Exhibit G State'!J70+'Exhibit F'!J84</f>
        <v>0.60000000000000586</v>
      </c>
      <c r="J94" s="1467"/>
      <c r="K94" s="1467">
        <f>+'Exhibit G State'!L70+'Exhibit F'!L84</f>
        <v>0.19999999999999143</v>
      </c>
      <c r="L94" s="1467"/>
      <c r="M94" s="1467">
        <f>+'Exhibit G State'!N70+'Exhibit F'!N84</f>
        <v>0.79999999999999716</v>
      </c>
      <c r="N94" s="1467"/>
      <c r="O94" s="1467">
        <f>+'Exhibit G State'!P70+'Exhibit F'!P84</f>
        <v>0.70000000000001705</v>
      </c>
      <c r="P94" s="1467"/>
      <c r="Q94" s="1467">
        <f>+'Exhibit G State'!R70+'Exhibit F'!R84</f>
        <v>0.79999999999999405</v>
      </c>
      <c r="R94" s="1467"/>
      <c r="S94" s="1467">
        <f>+'Exhibit G State'!T70+'Exhibit F'!T84</f>
        <v>82.300000000000011</v>
      </c>
      <c r="T94" s="1467"/>
      <c r="U94" s="1467">
        <f>+'Exhibit G State'!V70+'Exhibit F'!V84</f>
        <v>-66.899999999999977</v>
      </c>
      <c r="V94" s="1467"/>
      <c r="W94" s="1467">
        <f>+'Exhibit G State'!X70+'Exhibit F'!X84</f>
        <v>7.2999999999999829</v>
      </c>
      <c r="X94" s="1467"/>
      <c r="Y94" s="1467"/>
      <c r="Z94" s="1467"/>
      <c r="AA94" s="2868"/>
      <c r="AB94" s="3263">
        <f t="shared" si="16"/>
        <v>27.6</v>
      </c>
      <c r="AC94" s="3263"/>
      <c r="AD94" s="3544"/>
      <c r="AE94" s="3263">
        <f>+'Exhibit G State'!AG70+'Exhibit F'!AF84</f>
        <v>14.8</v>
      </c>
      <c r="AF94" s="3265"/>
      <c r="AG94" s="3265"/>
      <c r="AH94" s="3263">
        <f t="shared" si="13"/>
        <v>12.8</v>
      </c>
      <c r="AI94" s="3221"/>
      <c r="AJ94" s="1770">
        <f>ROUND(IF(AE94=0,1,AH94/ABS(AE94)),3)</f>
        <v>0.86499999999999999</v>
      </c>
    </row>
    <row r="95" spans="1:36" ht="15">
      <c r="A95" s="903" t="s">
        <v>1429</v>
      </c>
      <c r="B95" s="1468"/>
      <c r="C95" s="1467">
        <v>0</v>
      </c>
      <c r="D95" s="1467"/>
      <c r="E95" s="1467">
        <v>0</v>
      </c>
      <c r="F95" s="1467"/>
      <c r="G95" s="1467">
        <v>0</v>
      </c>
      <c r="H95" s="1467"/>
      <c r="I95" s="1467">
        <v>0</v>
      </c>
      <c r="J95" s="1467"/>
      <c r="K95" s="1467">
        <v>0</v>
      </c>
      <c r="L95" s="1467"/>
      <c r="M95" s="1467">
        <v>0</v>
      </c>
      <c r="N95" s="1467"/>
      <c r="O95" s="1467">
        <v>0</v>
      </c>
      <c r="P95" s="1467"/>
      <c r="Q95" s="1467">
        <v>0</v>
      </c>
      <c r="R95" s="1467"/>
      <c r="S95" s="1467">
        <v>0</v>
      </c>
      <c r="T95" s="1467"/>
      <c r="U95" s="1467">
        <f>+'Exhibit G State'!V71</f>
        <v>468</v>
      </c>
      <c r="V95" s="1467"/>
      <c r="W95" s="1467">
        <f>+'Exhibit G State'!X71</f>
        <v>0</v>
      </c>
      <c r="X95" s="1467"/>
      <c r="Y95" s="1467"/>
      <c r="Z95" s="1467"/>
      <c r="AA95" s="2868"/>
      <c r="AB95" s="3263">
        <f t="shared" si="16"/>
        <v>468</v>
      </c>
      <c r="AC95" s="3263"/>
      <c r="AD95" s="3544"/>
      <c r="AE95" s="3263">
        <f>+'Exhibit G State'!AG71</f>
        <v>1068</v>
      </c>
      <c r="AF95" s="3265"/>
      <c r="AG95" s="3265"/>
      <c r="AH95" s="3263">
        <f t="shared" ref="AH95" si="17">ROUND(SUM(AB95-AE95),1)</f>
        <v>-600</v>
      </c>
      <c r="AI95" s="3221"/>
      <c r="AJ95" s="1765">
        <f>ROUND(IF(AE95=0,0,AH95/ABS(AE95)),3)</f>
        <v>-0.56200000000000006</v>
      </c>
    </row>
    <row r="96" spans="1:36" ht="15">
      <c r="A96" s="2538" t="s">
        <v>1057</v>
      </c>
      <c r="B96" s="1468"/>
      <c r="C96" s="1467">
        <f>+'Exhibit F'!D85+'Exhibit G State'!D72</f>
        <v>0.8</v>
      </c>
      <c r="D96" s="1467"/>
      <c r="E96" s="1467">
        <f>+'Exhibit F'!F85+'Exhibit G State'!F72</f>
        <v>1</v>
      </c>
      <c r="F96" s="1467"/>
      <c r="G96" s="1467">
        <f>+'Exhibit F'!H85+'Exhibit G State'!H72</f>
        <v>2.8</v>
      </c>
      <c r="H96" s="1467"/>
      <c r="I96" s="1467">
        <f>+'Exhibit F'!J85+'Exhibit G State'!J72</f>
        <v>0.30000000000000071</v>
      </c>
      <c r="J96" s="1467"/>
      <c r="K96" s="1467">
        <f>+'Exhibit F'!L85+'Exhibit G State'!L72</f>
        <v>0.59999999999999964</v>
      </c>
      <c r="L96" s="1467"/>
      <c r="M96" s="1467">
        <f>+'Exhibit F'!N85+'Exhibit G State'!N72</f>
        <v>0</v>
      </c>
      <c r="N96" s="1467"/>
      <c r="O96" s="1467">
        <f>+'Exhibit F'!P85+'Exhibit G State'!P72</f>
        <v>0.29999999999999982</v>
      </c>
      <c r="P96" s="1467"/>
      <c r="Q96" s="1467">
        <f>+'Exhibit F'!R85+'Exhibit G State'!R72</f>
        <v>0.29999999999999982</v>
      </c>
      <c r="R96" s="1467"/>
      <c r="S96" s="1467">
        <f>+'Exhibit F'!T85+'Exhibit G State'!T72</f>
        <v>0.30000000000000071</v>
      </c>
      <c r="T96" s="1467"/>
      <c r="U96" s="1467">
        <f>+'Exhibit F'!V85+'Exhibit G State'!V72</f>
        <v>0.5</v>
      </c>
      <c r="V96" s="1467"/>
      <c r="W96" s="1467">
        <f>+'Exhibit F'!X85+'Exhibit G State'!X72</f>
        <v>0.69999999999999929</v>
      </c>
      <c r="X96" s="1467"/>
      <c r="Y96" s="1467"/>
      <c r="Z96" s="1467"/>
      <c r="AA96" s="2868"/>
      <c r="AB96" s="3263">
        <f t="shared" si="16"/>
        <v>7.6</v>
      </c>
      <c r="AC96" s="3263"/>
      <c r="AD96" s="3544"/>
      <c r="AE96" s="3263">
        <f>+'Exhibit F'!AF85+'Exhibit G State'!AG72</f>
        <v>107.2</v>
      </c>
      <c r="AF96" s="3265"/>
      <c r="AG96" s="3265"/>
      <c r="AH96" s="3263">
        <f t="shared" si="13"/>
        <v>-99.6</v>
      </c>
      <c r="AI96" s="3221"/>
      <c r="AJ96" s="1870">
        <f t="shared" ref="AJ96:AJ103" si="18">ROUND(SUM(AH96/ABS(AE96)),3)</f>
        <v>-0.92900000000000005</v>
      </c>
    </row>
    <row r="97" spans="1:45" ht="15">
      <c r="A97" s="2538" t="s">
        <v>1058</v>
      </c>
      <c r="B97" s="1468"/>
      <c r="C97" s="1467">
        <f>+'Exhibit F'!D86+'Exhibit G State'!D73</f>
        <v>6.5</v>
      </c>
      <c r="D97" s="1467"/>
      <c r="E97" s="1467">
        <f>+'Exhibit F'!F86+'Exhibit G State'!F73</f>
        <v>5.2000000000000011</v>
      </c>
      <c r="F97" s="1467"/>
      <c r="G97" s="1467">
        <f>+'Exhibit F'!H86+'Exhibit G State'!H73</f>
        <v>8.6999999999999993</v>
      </c>
      <c r="H97" s="1467"/>
      <c r="I97" s="1467">
        <f>+'Exhibit F'!J86+'Exhibit G State'!J73</f>
        <v>8.3000000000000007</v>
      </c>
      <c r="J97" s="1467"/>
      <c r="K97" s="1467">
        <f>+'Exhibit F'!L86+'Exhibit G State'!L73</f>
        <v>7.1999999999999957</v>
      </c>
      <c r="L97" s="1467"/>
      <c r="M97" s="1467">
        <f>+'Exhibit F'!N86+'Exhibit G State'!N73</f>
        <v>5.7999999999999972</v>
      </c>
      <c r="N97" s="1467"/>
      <c r="O97" s="1467">
        <f>+'Exhibit F'!P86+'Exhibit G State'!P73</f>
        <v>7</v>
      </c>
      <c r="P97" s="1467"/>
      <c r="Q97" s="1467">
        <f>+'Exhibit F'!R86+'Exhibit G State'!R73</f>
        <v>6.2000000000000064</v>
      </c>
      <c r="R97" s="1467"/>
      <c r="S97" s="1467">
        <f>+'Exhibit F'!T86+'Exhibit G State'!T73</f>
        <v>6.5999999999999979</v>
      </c>
      <c r="T97" s="1467"/>
      <c r="U97" s="1467">
        <f>+'Exhibit F'!V86+'Exhibit G State'!V73</f>
        <v>9.9000000000000057</v>
      </c>
      <c r="V97" s="1467"/>
      <c r="W97" s="1467">
        <f>+'Exhibit F'!X86+'Exhibit G State'!X73</f>
        <v>8.4000000000000057</v>
      </c>
      <c r="X97" s="1467"/>
      <c r="Y97" s="1467"/>
      <c r="Z97" s="1467"/>
      <c r="AA97" s="2868"/>
      <c r="AB97" s="3263">
        <f t="shared" si="16"/>
        <v>79.8</v>
      </c>
      <c r="AC97" s="3263"/>
      <c r="AD97" s="3544"/>
      <c r="AE97" s="3263">
        <f>+'Exhibit F'!AF86+'Exhibit G State'!AG73</f>
        <v>87.1</v>
      </c>
      <c r="AF97" s="3265"/>
      <c r="AG97" s="3265"/>
      <c r="AH97" s="3263">
        <f t="shared" si="13"/>
        <v>-7.3</v>
      </c>
      <c r="AI97" s="3221"/>
      <c r="AJ97" s="1859">
        <f t="shared" si="18"/>
        <v>-8.4000000000000005E-2</v>
      </c>
    </row>
    <row r="98" spans="1:45" ht="15">
      <c r="A98" s="2538" t="s">
        <v>1059</v>
      </c>
      <c r="B98" s="1468"/>
      <c r="C98" s="1467">
        <f>+'Exhibit F'!D87+'Exhibit H'!B42+'Exhibit G State'!D74</f>
        <v>239.4</v>
      </c>
      <c r="D98" s="1467"/>
      <c r="E98" s="1467">
        <f>+'Exhibit F'!F87+'Exhibit H'!D42+'Exhibit G State'!F74</f>
        <v>194.9</v>
      </c>
      <c r="F98" s="1467"/>
      <c r="G98" s="1467">
        <f>+'Exhibit F'!H87+'Exhibit H'!F42+'Exhibit G State'!H74</f>
        <v>198.09999999999997</v>
      </c>
      <c r="H98" s="1467"/>
      <c r="I98" s="1467">
        <f>+'Exhibit F'!J87+'Exhibit H'!H42+'Exhibit G State'!J74</f>
        <v>240.80000000000013</v>
      </c>
      <c r="J98" s="1467"/>
      <c r="K98" s="1467">
        <f>+'Exhibit F'!L87+'Exhibit H'!J42+'Exhibit G State'!L74</f>
        <v>208.29999999999984</v>
      </c>
      <c r="L98" s="1467"/>
      <c r="M98" s="1467">
        <f>+'Exhibit F'!N87+'Exhibit H'!L42+'Exhibit G State'!N74</f>
        <v>264.5</v>
      </c>
      <c r="N98" s="1467"/>
      <c r="O98" s="1467">
        <f>+'Exhibit F'!P87+'Exhibit H'!N42+'Exhibit G State'!P74</f>
        <v>208.10000000000025</v>
      </c>
      <c r="P98" s="1467"/>
      <c r="Q98" s="1467">
        <f>+'Exhibit F'!R87+'Exhibit H'!P42+'Exhibit G State'!R74</f>
        <v>183.49999999999989</v>
      </c>
      <c r="R98" s="1467"/>
      <c r="S98" s="1467">
        <f>+'Exhibit F'!T87+'Exhibit H'!R42+'Exhibit G State'!T74</f>
        <v>247.09999999999974</v>
      </c>
      <c r="T98" s="1467"/>
      <c r="U98" s="1467">
        <f>+'Exhibit F'!V87+'Exhibit H'!T42+'Exhibit G State'!V74</f>
        <v>135.40000000000032</v>
      </c>
      <c r="V98" s="1467"/>
      <c r="W98" s="1467">
        <f>+'Exhibit F'!X87+'Exhibit H'!V42+'Exhibit G State'!X74</f>
        <v>340.5999999999998</v>
      </c>
      <c r="X98" s="1467"/>
      <c r="Y98" s="1467"/>
      <c r="Z98" s="1467"/>
      <c r="AA98" s="2868"/>
      <c r="AB98" s="3263">
        <f t="shared" si="16"/>
        <v>2460.6999999999998</v>
      </c>
      <c r="AC98" s="3263"/>
      <c r="AD98" s="3544"/>
      <c r="AE98" s="3263">
        <f>+'Exhibit F'!AF87+'Exhibit H'!AD42+'Exhibit G State'!AG74</f>
        <v>2306.1999999999998</v>
      </c>
      <c r="AF98" s="3265"/>
      <c r="AG98" s="3265"/>
      <c r="AH98" s="3263">
        <f t="shared" si="13"/>
        <v>154.5</v>
      </c>
      <c r="AI98" s="3221"/>
      <c r="AJ98" s="1859">
        <f t="shared" si="18"/>
        <v>6.7000000000000004E-2</v>
      </c>
    </row>
    <row r="99" spans="1:45" ht="15">
      <c r="A99" s="2538" t="s">
        <v>1060</v>
      </c>
      <c r="B99" s="1468"/>
      <c r="C99" s="1467">
        <f>+'Exhibit G State'!D75+'Exhibit F'!D88</f>
        <v>4.6000000000000005</v>
      </c>
      <c r="D99" s="1467"/>
      <c r="E99" s="1467">
        <f>+'Exhibit G State'!F75+'Exhibit F'!F88</f>
        <v>2.7</v>
      </c>
      <c r="F99" s="1467"/>
      <c r="G99" s="1467">
        <f>+'Exhibit G State'!H75+'Exhibit F'!H88</f>
        <v>6.1</v>
      </c>
      <c r="H99" s="1467"/>
      <c r="I99" s="1467">
        <f>+'Exhibit G State'!J75+'Exhibit F'!J88</f>
        <v>13.400000000000002</v>
      </c>
      <c r="J99" s="1467"/>
      <c r="K99" s="1467">
        <f>+'Exhibit G State'!L75+'Exhibit F'!L88</f>
        <v>3.6000000000000014</v>
      </c>
      <c r="L99" s="1467"/>
      <c r="M99" s="1467">
        <f>+'Exhibit G State'!N75+'Exhibit F'!N88</f>
        <v>3.7999999999999972</v>
      </c>
      <c r="N99" s="1467"/>
      <c r="O99" s="1467">
        <f>+'Exhibit G State'!P75+'Exhibit F'!P88</f>
        <v>9.5999999999999979</v>
      </c>
      <c r="P99" s="1467"/>
      <c r="Q99" s="1467">
        <f>+'Exhibit G State'!R75+'Exhibit F'!R88</f>
        <v>6.3999999999999977</v>
      </c>
      <c r="R99" s="1467"/>
      <c r="S99" s="1467">
        <f>+'Exhibit G State'!T75+'Exhibit F'!T88</f>
        <v>3.1999999999999966</v>
      </c>
      <c r="T99" s="1467"/>
      <c r="U99" s="1467">
        <f>+'Exhibit G State'!V75+'Exhibit F'!V88</f>
        <v>5.2999999999999989</v>
      </c>
      <c r="V99" s="1467"/>
      <c r="W99" s="1467">
        <f>+'Exhibit G State'!X75+'Exhibit F'!X88</f>
        <v>4.0000000000000009</v>
      </c>
      <c r="X99" s="1467"/>
      <c r="Y99" s="1467"/>
      <c r="Z99" s="1467"/>
      <c r="AA99" s="2868"/>
      <c r="AB99" s="3263">
        <f t="shared" si="16"/>
        <v>62.7</v>
      </c>
      <c r="AC99" s="3263"/>
      <c r="AD99" s="3544"/>
      <c r="AE99" s="3263">
        <f>+'Exhibit G State'!AG75+'Exhibit F'!AF88</f>
        <v>53.9</v>
      </c>
      <c r="AF99" s="3265"/>
      <c r="AG99" s="3265"/>
      <c r="AH99" s="3263">
        <f t="shared" si="13"/>
        <v>8.8000000000000007</v>
      </c>
      <c r="AI99" s="3221"/>
      <c r="AJ99" s="1859">
        <f t="shared" si="18"/>
        <v>0.16300000000000001</v>
      </c>
    </row>
    <row r="100" spans="1:45" ht="15">
      <c r="A100" s="2538" t="s">
        <v>1061</v>
      </c>
      <c r="B100" s="1468"/>
      <c r="C100" s="1467">
        <f>+'Exhibit F'!D89+'Exhibit G State'!D76</f>
        <v>7.6</v>
      </c>
      <c r="D100" s="1467"/>
      <c r="E100" s="1467">
        <f>+'Exhibit F'!F89+'Exhibit G State'!F76</f>
        <v>1.2000000000000011</v>
      </c>
      <c r="F100" s="1467"/>
      <c r="G100" s="1467">
        <f>+'Exhibit F'!H89+'Exhibit G State'!H76</f>
        <v>0.99999999999999889</v>
      </c>
      <c r="H100" s="1467"/>
      <c r="I100" s="1467">
        <f>+'Exhibit F'!J89+'Exhibit G State'!J76</f>
        <v>1</v>
      </c>
      <c r="J100" s="1467"/>
      <c r="K100" s="1467">
        <f>+'Exhibit F'!L89+'Exhibit G State'!L76</f>
        <v>5.9</v>
      </c>
      <c r="L100" s="1467"/>
      <c r="M100" s="1467">
        <f>+'Exhibit F'!N89+'Exhibit G State'!N76</f>
        <v>0.49999999999999856</v>
      </c>
      <c r="N100" s="1467"/>
      <c r="O100" s="1467">
        <f>+'Exhibit F'!P89+'Exhibit G State'!P76</f>
        <v>0.50000000000000222</v>
      </c>
      <c r="P100" s="1467"/>
      <c r="Q100" s="1467">
        <f>+'Exhibit F'!R89+'Exhibit G State'!R76</f>
        <v>3.6000000000000023</v>
      </c>
      <c r="R100" s="1467"/>
      <c r="S100" s="1467">
        <f>+'Exhibit F'!T89+'Exhibit G State'!T76</f>
        <v>5.6999999999999993</v>
      </c>
      <c r="T100" s="1467"/>
      <c r="U100" s="1467">
        <f>+'Exhibit F'!V89+'Exhibit G State'!V76</f>
        <v>24.4</v>
      </c>
      <c r="V100" s="1467"/>
      <c r="W100" s="1467">
        <f>+'Exhibit F'!X89+'Exhibit G State'!X76</f>
        <v>0.80000000000000426</v>
      </c>
      <c r="X100" s="1467"/>
      <c r="Y100" s="1467"/>
      <c r="Z100" s="1467"/>
      <c r="AA100" s="2868"/>
      <c r="AB100" s="3263">
        <f t="shared" si="16"/>
        <v>52.2</v>
      </c>
      <c r="AC100" s="3263"/>
      <c r="AD100" s="3544"/>
      <c r="AE100" s="3263">
        <f>+'Exhibit F'!AF89+'Exhibit G State'!AG76</f>
        <v>185.60000000000002</v>
      </c>
      <c r="AF100" s="3265"/>
      <c r="AG100" s="3265"/>
      <c r="AH100" s="3263">
        <f t="shared" si="13"/>
        <v>-133.4</v>
      </c>
      <c r="AI100" s="3221"/>
      <c r="AJ100" s="1870">
        <f t="shared" si="18"/>
        <v>-0.71899999999999997</v>
      </c>
    </row>
    <row r="101" spans="1:45" ht="15">
      <c r="A101" s="2538" t="s">
        <v>1062</v>
      </c>
      <c r="B101" s="1468"/>
      <c r="C101" s="1467">
        <f>+'Exhibit F'!D90+'Exhibit G State'!D77</f>
        <v>7.5</v>
      </c>
      <c r="D101" s="1467"/>
      <c r="E101" s="1467">
        <f>+'Exhibit F'!F90+'Exhibit G State'!F77</f>
        <v>3.0999999999999996</v>
      </c>
      <c r="F101" s="1467"/>
      <c r="G101" s="1467">
        <f>+'Exhibit F'!H90+'Exhibit G State'!H77</f>
        <v>8.5000000000000018</v>
      </c>
      <c r="H101" s="1467"/>
      <c r="I101" s="1467">
        <f>+'Exhibit F'!J90+'Exhibit G State'!J77</f>
        <v>7.4999999999999982</v>
      </c>
      <c r="J101" s="1467"/>
      <c r="K101" s="1467">
        <f>+'Exhibit F'!L90+'Exhibit G State'!L77</f>
        <v>1.7000000000000028</v>
      </c>
      <c r="L101" s="1467"/>
      <c r="M101" s="1467">
        <f>+'Exhibit F'!N90+'Exhibit G State'!N77</f>
        <v>10.9</v>
      </c>
      <c r="N101" s="1467"/>
      <c r="O101" s="1467">
        <f>+'Exhibit F'!P90+'Exhibit G State'!P77</f>
        <v>2.2999999999999972</v>
      </c>
      <c r="P101" s="1467"/>
      <c r="Q101" s="1467">
        <f>+'Exhibit F'!R90+'Exhibit G State'!R77</f>
        <v>2.2000000000000011</v>
      </c>
      <c r="R101" s="1467"/>
      <c r="S101" s="1467">
        <f>+'Exhibit F'!T90+'Exhibit G State'!T77</f>
        <v>10.799999999999997</v>
      </c>
      <c r="T101" s="1467"/>
      <c r="U101" s="1467">
        <f>+'Exhibit F'!V90+'Exhibit G State'!V77</f>
        <v>2.5000000000000018</v>
      </c>
      <c r="V101" s="1467"/>
      <c r="W101" s="1467">
        <f>+'Exhibit F'!X90+'Exhibit G State'!X77</f>
        <v>3.7999999999999954</v>
      </c>
      <c r="X101" s="1467"/>
      <c r="Y101" s="1467"/>
      <c r="Z101" s="1467"/>
      <c r="AA101" s="2868"/>
      <c r="AB101" s="3263">
        <f t="shared" si="16"/>
        <v>60.8</v>
      </c>
      <c r="AC101" s="3263"/>
      <c r="AD101" s="3544"/>
      <c r="AE101" s="3263">
        <f>+'Exhibit F'!AF90+'Exhibit G State'!AG77</f>
        <v>83.9</v>
      </c>
      <c r="AF101" s="3265"/>
      <c r="AG101" s="3265"/>
      <c r="AH101" s="3263">
        <f t="shared" si="13"/>
        <v>-23.1</v>
      </c>
      <c r="AI101" s="3221"/>
      <c r="AJ101" s="1859">
        <f t="shared" si="18"/>
        <v>-0.27500000000000002</v>
      </c>
    </row>
    <row r="102" spans="1:45" ht="15">
      <c r="A102" s="2538" t="s">
        <v>1063</v>
      </c>
      <c r="B102" s="1468"/>
      <c r="C102" s="1467">
        <f>+'Exhibit F'!D91+'Exhibit G State'!D78+'Exhibit H'!B43</f>
        <v>49</v>
      </c>
      <c r="D102" s="1467"/>
      <c r="E102" s="1467">
        <f>+'Exhibit F'!F91+'Exhibit G State'!F78+'Exhibit H'!D43</f>
        <v>55.199999999999996</v>
      </c>
      <c r="F102" s="1467"/>
      <c r="G102" s="1467">
        <f>+'Exhibit F'!H91+'Exhibit G State'!H78+'Exhibit H'!F43</f>
        <v>45.79999999999999</v>
      </c>
      <c r="H102" s="1467"/>
      <c r="I102" s="1467">
        <f>+'Exhibit F'!J91+'Exhibit G State'!J78+'Exhibit H'!H43</f>
        <v>43.300000000000011</v>
      </c>
      <c r="J102" s="1467"/>
      <c r="K102" s="1467">
        <f>+'Exhibit F'!L91+'Exhibit G State'!L78+'Exhibit H'!J43</f>
        <v>44.3</v>
      </c>
      <c r="L102" s="1467"/>
      <c r="M102" s="1467">
        <f>+'Exhibit F'!N91+'Exhibit G State'!N78+'Exhibit H'!L43</f>
        <v>77.600000000000023</v>
      </c>
      <c r="N102" s="1467"/>
      <c r="O102" s="1467">
        <f>+'Exhibit F'!P91+'Exhibit G State'!P78+'Exhibit H'!N43</f>
        <v>56.300000000000018</v>
      </c>
      <c r="P102" s="1467"/>
      <c r="Q102" s="1467">
        <f>+'Exhibit F'!R91+'Exhibit G State'!R78+'Exhibit H'!P43</f>
        <v>39.80000000000004</v>
      </c>
      <c r="R102" s="1467"/>
      <c r="S102" s="1467">
        <f>+'Exhibit F'!T91+'Exhibit G State'!T78+'Exhibit H'!R43</f>
        <v>39.999999999999957</v>
      </c>
      <c r="T102" s="1467"/>
      <c r="U102" s="1467">
        <f>+'Exhibit F'!V91+'Exhibit G State'!V78+'Exhibit H'!T43</f>
        <v>53.20000000000006</v>
      </c>
      <c r="V102" s="1467"/>
      <c r="W102" s="1467">
        <f>+'Exhibit F'!X91+'Exhibit G State'!X78+'Exhibit H'!V43</f>
        <v>64.599999999999966</v>
      </c>
      <c r="X102" s="1467"/>
      <c r="Y102" s="1467"/>
      <c r="Z102" s="1467"/>
      <c r="AA102" s="2868"/>
      <c r="AB102" s="3263">
        <f t="shared" si="16"/>
        <v>569.1</v>
      </c>
      <c r="AC102" s="3263"/>
      <c r="AD102" s="3544"/>
      <c r="AE102" s="3263">
        <f>+'Exhibit F'!AF91+'Exhibit G State'!AG78+'Exhibit H'!AD43</f>
        <v>492</v>
      </c>
      <c r="AF102" s="3265"/>
      <c r="AG102" s="3265"/>
      <c r="AH102" s="3263">
        <f t="shared" si="13"/>
        <v>77.099999999999994</v>
      </c>
      <c r="AI102" s="3221"/>
      <c r="AJ102" s="1859">
        <f t="shared" si="18"/>
        <v>0.157</v>
      </c>
    </row>
    <row r="103" spans="1:45" ht="15">
      <c r="A103" s="2538" t="s">
        <v>1064</v>
      </c>
      <c r="B103" s="1468"/>
      <c r="C103" s="1467">
        <f>+'Exhibit F'!D92+'Exhibit G State'!D79+'Exhibit H'!B44</f>
        <v>1</v>
      </c>
      <c r="D103" s="1467"/>
      <c r="E103" s="1467">
        <f>+'Exhibit F'!F92+'Exhibit G State'!F79+'Exhibit H'!D44</f>
        <v>0.79999999999999993</v>
      </c>
      <c r="F103" s="1467"/>
      <c r="G103" s="1467">
        <f>+'Exhibit F'!H92+'Exhibit G State'!H79+'Exhibit H'!F44</f>
        <v>1.2000000000000004</v>
      </c>
      <c r="H103" s="1467"/>
      <c r="I103" s="1467">
        <f>+'Exhibit F'!J92+'Exhibit G State'!J79+'Exhibit H'!H44</f>
        <v>2.6999999999999997</v>
      </c>
      <c r="J103" s="1467"/>
      <c r="K103" s="1467">
        <f>+'Exhibit F'!L92+'Exhibit G State'!L79+'Exhibit H'!J44</f>
        <v>1.6999999999999997</v>
      </c>
      <c r="L103" s="1467"/>
      <c r="M103" s="1467">
        <f>+'Exhibit F'!N92+'Exhibit G State'!N79+'Exhibit H'!L44</f>
        <v>2.4999999999999996</v>
      </c>
      <c r="N103" s="1467"/>
      <c r="O103" s="1467">
        <f>+'Exhibit F'!P92+'Exhibit G State'!P79+'Exhibit H'!N44</f>
        <v>0.79999999999999893</v>
      </c>
      <c r="P103" s="1467"/>
      <c r="Q103" s="1467">
        <f>+'Exhibit F'!R92+'Exhibit G State'!R79+'Exhibit H'!P44</f>
        <v>1.5000000000000004</v>
      </c>
      <c r="R103" s="1467"/>
      <c r="S103" s="1467">
        <f>+'Exhibit F'!T92+'Exhibit G State'!T79+'Exhibit H'!R44</f>
        <v>1.3000000000000007</v>
      </c>
      <c r="T103" s="1467"/>
      <c r="U103" s="1467">
        <f>+'Exhibit F'!V92+'Exhibit G State'!V79+'Exhibit H'!T44</f>
        <v>1.4</v>
      </c>
      <c r="V103" s="1467"/>
      <c r="W103" s="1467">
        <f>+'Exhibit F'!X92+'Exhibit G State'!X79+'Exhibit H'!V44</f>
        <v>1.2999999999999989</v>
      </c>
      <c r="X103" s="1467"/>
      <c r="Y103" s="1467"/>
      <c r="Z103" s="1467"/>
      <c r="AA103" s="2868"/>
      <c r="AB103" s="3263">
        <f t="shared" si="16"/>
        <v>16.2</v>
      </c>
      <c r="AC103" s="3263"/>
      <c r="AD103" s="3544"/>
      <c r="AE103" s="3263">
        <f>+'Exhibit F'!AF92+'Exhibit G State'!AG79+'Exhibit H'!AD44</f>
        <v>22.4</v>
      </c>
      <c r="AF103" s="3265"/>
      <c r="AG103" s="3265"/>
      <c r="AH103" s="3263">
        <f t="shared" si="13"/>
        <v>-6.2</v>
      </c>
      <c r="AI103" s="3221"/>
      <c r="AJ103" s="1859">
        <f t="shared" si="18"/>
        <v>-0.27700000000000002</v>
      </c>
    </row>
    <row r="104" spans="1:45" ht="15">
      <c r="A104" s="2538" t="s">
        <v>1065</v>
      </c>
      <c r="B104" s="1468"/>
      <c r="C104" s="1467">
        <f>+'Exhibit G State'!D80</f>
        <v>52</v>
      </c>
      <c r="D104" s="1467"/>
      <c r="E104" s="1467">
        <f>+'Exhibit G State'!F80</f>
        <v>48.099999999999994</v>
      </c>
      <c r="F104" s="1467"/>
      <c r="G104" s="1467">
        <f>+'Exhibit G State'!H80</f>
        <v>34.900000000000006</v>
      </c>
      <c r="H104" s="1467"/>
      <c r="I104" s="1467">
        <f>+'Exhibit G State'!J80</f>
        <v>45</v>
      </c>
      <c r="J104" s="1467"/>
      <c r="K104" s="1467">
        <f>+'Exhibit G State'!L80</f>
        <v>240</v>
      </c>
      <c r="L104" s="1467"/>
      <c r="M104" s="1467">
        <f>+'Exhibit G State'!N80</f>
        <v>309.89999999999998</v>
      </c>
      <c r="N104" s="1467"/>
      <c r="O104" s="1467">
        <f>+'Exhibit G State'!P80</f>
        <v>137.5</v>
      </c>
      <c r="P104" s="1467"/>
      <c r="Q104" s="1467">
        <f>+'Exhibit G State'!R80</f>
        <v>37.5</v>
      </c>
      <c r="R104" s="1467"/>
      <c r="S104" s="1467">
        <f>+'Exhibit G State'!T80</f>
        <v>14.100000000000023</v>
      </c>
      <c r="T104" s="1467"/>
      <c r="U104" s="1467">
        <f>+'Exhibit G State'!V80</f>
        <v>261.79999999999995</v>
      </c>
      <c r="V104" s="1467"/>
      <c r="W104" s="1467">
        <f>+'Exhibit G State'!X80</f>
        <v>352.60000000000014</v>
      </c>
      <c r="X104" s="1467"/>
      <c r="Y104" s="1467"/>
      <c r="Z104" s="1467"/>
      <c r="AA104" s="2868"/>
      <c r="AB104" s="3263">
        <f t="shared" si="16"/>
        <v>1533.4</v>
      </c>
      <c r="AC104" s="3263"/>
      <c r="AD104" s="3544"/>
      <c r="AE104" s="3263">
        <f>+'Exhibit G State'!AG80</f>
        <v>1691.8</v>
      </c>
      <c r="AF104" s="3265"/>
      <c r="AG104" s="3265"/>
      <c r="AH104" s="3263">
        <f t="shared" si="13"/>
        <v>-158.4</v>
      </c>
      <c r="AI104" s="3221"/>
      <c r="AJ104" s="1859">
        <f>ROUND(SUM(AH104/ABS(AE104)),3)</f>
        <v>-9.4E-2</v>
      </c>
    </row>
    <row r="105" spans="1:45" ht="15.75">
      <c r="A105" s="2525" t="s">
        <v>1099</v>
      </c>
      <c r="B105" s="2480"/>
      <c r="C105" s="2087">
        <f>ROUND(SUM(C64:C104),1)</f>
        <v>2340.8000000000002</v>
      </c>
      <c r="D105" s="2542"/>
      <c r="E105" s="2087">
        <f>ROUND(SUM(E64:E104),1)</f>
        <v>1727</v>
      </c>
      <c r="F105" s="2542"/>
      <c r="G105" s="2087">
        <f>ROUND(SUM(G64:G104),1)</f>
        <v>1706.2</v>
      </c>
      <c r="H105" s="1489"/>
      <c r="I105" s="2087">
        <f>ROUND(SUM(I64:I104),1)</f>
        <v>1709.4</v>
      </c>
      <c r="J105" s="1489"/>
      <c r="K105" s="2087">
        <f>ROUND(SUM(K64:K104),1)</f>
        <v>1632.2</v>
      </c>
      <c r="L105" s="1489"/>
      <c r="M105" s="2087">
        <f>ROUND(SUM(M64:M104),1)</f>
        <v>2168.8000000000002</v>
      </c>
      <c r="N105" s="1489"/>
      <c r="O105" s="2087">
        <f>ROUND(SUM(O64:O104),1)</f>
        <v>1878.8</v>
      </c>
      <c r="P105" s="1489"/>
      <c r="Q105" s="2087">
        <f>ROUND(SUM(Q64:Q104),1)</f>
        <v>1589.4</v>
      </c>
      <c r="R105" s="1489"/>
      <c r="S105" s="2087">
        <f>ROUND(SUM(S64:S104),1)</f>
        <v>1727.6</v>
      </c>
      <c r="T105" s="1489"/>
      <c r="U105" s="2087">
        <f>ROUND(SUM(U64:U104),1)</f>
        <v>2313.6</v>
      </c>
      <c r="V105" s="1489"/>
      <c r="W105" s="2087">
        <f>ROUND(SUM(W64:W104),1)</f>
        <v>2081.6999999999998</v>
      </c>
      <c r="X105" s="2055"/>
      <c r="Y105" s="2087">
        <f>ROUND(SUM(Y64:Y104),1)</f>
        <v>0</v>
      </c>
      <c r="Z105" s="2055"/>
      <c r="AA105" s="2090"/>
      <c r="AB105" s="1488">
        <f>ROUND(SUM(AB64:AB104),1)</f>
        <v>20875.5</v>
      </c>
      <c r="AC105" s="2095"/>
      <c r="AD105" s="2609"/>
      <c r="AE105" s="1488">
        <f>ROUND(SUM(AE64:AE104),1)</f>
        <v>21593.599999999999</v>
      </c>
      <c r="AF105" s="1490"/>
      <c r="AG105" s="3508"/>
      <c r="AH105" s="1488">
        <f>ROUND(SUM(AH64:AH104),1)</f>
        <v>-718.1</v>
      </c>
      <c r="AI105" s="1490"/>
      <c r="AJ105" s="1861">
        <f>ROUND(SUM(+AH105/ABS(AE105)),3)</f>
        <v>-3.3000000000000002E-2</v>
      </c>
    </row>
    <row r="106" spans="1:45" ht="15">
      <c r="A106" s="1468"/>
      <c r="B106" s="1468"/>
      <c r="C106" s="1467"/>
      <c r="D106" s="1467"/>
      <c r="E106" s="1467"/>
      <c r="F106" s="1467"/>
      <c r="G106" s="1467"/>
      <c r="H106" s="1467"/>
      <c r="I106" s="1467"/>
      <c r="J106" s="1467"/>
      <c r="K106" s="1467"/>
      <c r="L106" s="1467"/>
      <c r="M106" s="1467"/>
      <c r="N106" s="1467"/>
      <c r="O106" s="1467"/>
      <c r="P106" s="1467"/>
      <c r="Q106" s="1467"/>
      <c r="R106" s="1467"/>
      <c r="S106" s="1467"/>
      <c r="T106" s="1467"/>
      <c r="U106" s="1467"/>
      <c r="V106" s="1467"/>
      <c r="W106" s="1467"/>
      <c r="X106" s="1467"/>
      <c r="Y106" s="1467"/>
      <c r="Z106" s="1467"/>
      <c r="AA106" s="2867"/>
      <c r="AB106" s="3263"/>
      <c r="AC106" s="3265"/>
      <c r="AD106" s="3546"/>
      <c r="AE106" s="3263"/>
      <c r="AF106" s="3265"/>
      <c r="AG106" s="3265"/>
      <c r="AH106" s="3263"/>
      <c r="AI106" s="3221"/>
      <c r="AJ106" s="1859"/>
    </row>
    <row r="107" spans="1:45" ht="15">
      <c r="A107" s="1468" t="s">
        <v>21</v>
      </c>
      <c r="B107" s="1468"/>
      <c r="C107" s="2869">
        <f>+'Exhibit F'!D95+'Exhibit G State'!D83+'Exhibit H'!B47</f>
        <v>0</v>
      </c>
      <c r="D107" s="1467"/>
      <c r="E107" s="2869">
        <f>+'Exhibit F'!F95+'Exhibit G State'!F83+'Exhibit H'!D47</f>
        <v>0</v>
      </c>
      <c r="F107" s="1467"/>
      <c r="G107" s="2869">
        <f>+'Exhibit F'!H95+'Exhibit G State'!H83+'Exhibit H'!F47</f>
        <v>-0.9</v>
      </c>
      <c r="H107" s="1467"/>
      <c r="I107" s="2869">
        <f>+'Exhibit F'!J95+'Exhibit G State'!J83+'Exhibit H'!H47</f>
        <v>1.7000000000000002</v>
      </c>
      <c r="J107" s="1467"/>
      <c r="K107" s="2869">
        <f>+'Exhibit F'!L95+'Exhibit G State'!L83+'Exhibit H'!J47</f>
        <v>53.599999999999994</v>
      </c>
      <c r="L107" s="1467"/>
      <c r="M107" s="2869">
        <f>+'Exhibit F'!N95+'Exhibit G State'!N83+'Exhibit H'!L47</f>
        <v>0.30000000000000138</v>
      </c>
      <c r="N107" s="1467"/>
      <c r="O107" s="2869">
        <f>+'Exhibit F'!P95+'Exhibit G State'!P83+'Exhibit H'!N47</f>
        <v>0.10000000000000006</v>
      </c>
      <c r="P107" s="1467"/>
      <c r="Q107" s="2869">
        <f>+'Exhibit F'!R95+'Exhibit G State'!R83+'Exhibit H'!P47</f>
        <v>0.19999999999999785</v>
      </c>
      <c r="R107" s="1467"/>
      <c r="S107" s="2869">
        <f>+'Exhibit F'!T95+'Exhibit G State'!T83+'Exhibit H'!R47</f>
        <v>0</v>
      </c>
      <c r="T107" s="1467"/>
      <c r="U107" s="2869">
        <f>+'Exhibit F'!V95+'Exhibit G State'!V83+'Exhibit H'!T47</f>
        <v>-25.299999999999994</v>
      </c>
      <c r="V107" s="1467"/>
      <c r="W107" s="2869">
        <f>+'Exhibit F'!X95+'Exhibit G State'!X83+'Exhibit H'!V47</f>
        <v>35.590000000000003</v>
      </c>
      <c r="X107" s="1467"/>
      <c r="Y107" s="2869"/>
      <c r="Z107" s="1467"/>
      <c r="AA107" s="2868"/>
      <c r="AB107" s="3266">
        <f>ROUND(SUM(C107:Y107),1)</f>
        <v>65.3</v>
      </c>
      <c r="AC107" s="3263"/>
      <c r="AD107" s="3544"/>
      <c r="AE107" s="3266">
        <f>'Exhibit F'!AF95+'Exhibit G State'!AG83+'Exhibit H'!AD47</f>
        <v>72.399999999999991</v>
      </c>
      <c r="AF107" s="3265"/>
      <c r="AG107" s="3265"/>
      <c r="AH107" s="3266">
        <f>ROUND(SUM(AB107-AE107),1)</f>
        <v>-7.1</v>
      </c>
      <c r="AI107" s="3221"/>
      <c r="AJ107" s="3509">
        <f>ROUND(IF(AE107=0,1,AH107/ABS(AE107)),3)</f>
        <v>-9.8000000000000004E-2</v>
      </c>
    </row>
    <row r="108" spans="1:45" ht="15">
      <c r="A108" s="1468"/>
      <c r="B108" s="1468"/>
      <c r="C108" s="1467"/>
      <c r="D108" s="1467"/>
      <c r="E108" s="1467"/>
      <c r="F108" s="1467"/>
      <c r="G108" s="1467"/>
      <c r="H108" s="1467"/>
      <c r="I108" s="1467"/>
      <c r="J108" s="1467"/>
      <c r="K108" s="1467"/>
      <c r="L108" s="1467"/>
      <c r="M108" s="1467"/>
      <c r="N108" s="1467"/>
      <c r="O108" s="1467"/>
      <c r="P108" s="1467"/>
      <c r="Q108" s="1467"/>
      <c r="R108" s="1467"/>
      <c r="S108" s="1467"/>
      <c r="T108" s="1467"/>
      <c r="U108" s="1467"/>
      <c r="V108" s="1467"/>
      <c r="W108" s="1467"/>
      <c r="X108" s="1467"/>
      <c r="Y108" s="1467"/>
      <c r="Z108" s="1467"/>
      <c r="AA108" s="2868"/>
      <c r="AB108" s="3263"/>
      <c r="AC108" s="3263"/>
      <c r="AD108" s="3544"/>
      <c r="AE108" s="3263"/>
      <c r="AF108" s="3265"/>
      <c r="AG108" s="3265"/>
      <c r="AH108" s="3263"/>
      <c r="AI108" s="3221"/>
      <c r="AJ108" s="3510"/>
    </row>
    <row r="109" spans="1:45" ht="15.75">
      <c r="A109" s="2479" t="s">
        <v>151</v>
      </c>
      <c r="B109" s="2067"/>
      <c r="C109" s="2065">
        <f>ROUND(SUM(C107+C105+C60),1)</f>
        <v>13788.5</v>
      </c>
      <c r="D109" s="1489"/>
      <c r="E109" s="2065">
        <f>ROUND(SUM(E107+E105+E60),1)</f>
        <v>5511.1</v>
      </c>
      <c r="F109" s="1489"/>
      <c r="G109" s="2065">
        <f>ROUND(SUM(G107+G105+G60),1)</f>
        <v>10211.700000000001</v>
      </c>
      <c r="H109" s="1489"/>
      <c r="I109" s="2065">
        <f>ROUND(SUM(I107+I105+I60),1)</f>
        <v>6912.4</v>
      </c>
      <c r="J109" s="1489"/>
      <c r="K109" s="2065">
        <f>ROUND(SUM(K107+K105+K60),1)</f>
        <v>6126.7</v>
      </c>
      <c r="L109" s="1489"/>
      <c r="M109" s="2065">
        <f>ROUND(SUM(M107+M105+M60),1)</f>
        <v>10456.700000000001</v>
      </c>
      <c r="N109" s="1489"/>
      <c r="O109" s="2065">
        <f>ROUND(SUM(O107+O105+O60),1)</f>
        <v>6204</v>
      </c>
      <c r="P109" s="1489"/>
      <c r="Q109" s="2065">
        <f>ROUND(SUM(Q107+Q105+Q60),1)</f>
        <v>5736.7</v>
      </c>
      <c r="R109" s="1489"/>
      <c r="S109" s="2065">
        <f>ROUND(SUM(S107+S105+S60),1)</f>
        <v>9611.7000000000007</v>
      </c>
      <c r="T109" s="1489"/>
      <c r="U109" s="2065">
        <f>ROUND(SUM(U107+U105+U60),1)</f>
        <v>13062.7</v>
      </c>
      <c r="V109" s="1489"/>
      <c r="W109" s="2065">
        <f>ROUND(SUM(W107+W105+W60),1)</f>
        <v>7201.1</v>
      </c>
      <c r="X109" s="2055"/>
      <c r="Y109" s="2065">
        <f>ROUND(SUM(Y107+Y105+Y60),1)</f>
        <v>0</v>
      </c>
      <c r="Z109" s="2870"/>
      <c r="AA109" s="2488"/>
      <c r="AB109" s="1597">
        <f>ROUND(SUM(AB107+AB105+AB60),1)</f>
        <v>94823.3</v>
      </c>
      <c r="AC109" s="2095"/>
      <c r="AD109" s="2609"/>
      <c r="AE109" s="1597">
        <f>ROUND(SUM(AE107+AE105+AE60),1)</f>
        <v>88678.7</v>
      </c>
      <c r="AF109" s="1490"/>
      <c r="AG109" s="3508"/>
      <c r="AH109" s="1597">
        <f>ROUND(SUM(AH107+AH105+AH60),1)</f>
        <v>6144.6</v>
      </c>
      <c r="AI109" s="1490"/>
      <c r="AJ109" s="3507">
        <f>ROUND(SUM(+AH109/ABS(AE109)),3)</f>
        <v>6.9000000000000006E-2</v>
      </c>
      <c r="AK109" s="2862"/>
      <c r="AL109" s="2862"/>
      <c r="AM109" s="2862"/>
      <c r="AN109" s="2862"/>
      <c r="AO109" s="2862"/>
      <c r="AP109" s="2862"/>
      <c r="AQ109" s="2862"/>
      <c r="AR109" s="2862"/>
      <c r="AS109" s="2862"/>
    </row>
    <row r="110" spans="1:45" ht="15.75">
      <c r="A110" s="2055"/>
      <c r="B110" s="1468"/>
      <c r="C110" s="2871"/>
      <c r="D110" s="1467"/>
      <c r="E110" s="2871"/>
      <c r="F110" s="1467"/>
      <c r="G110" s="2871"/>
      <c r="H110" s="1467"/>
      <c r="I110" s="2871"/>
      <c r="J110" s="1467"/>
      <c r="K110" s="2871"/>
      <c r="L110" s="1467"/>
      <c r="M110" s="2871"/>
      <c r="N110" s="1467"/>
      <c r="O110" s="2871"/>
      <c r="P110" s="1467"/>
      <c r="Q110" s="2871"/>
      <c r="R110" s="1467"/>
      <c r="S110" s="2871"/>
      <c r="T110" s="1467"/>
      <c r="U110" s="2871"/>
      <c r="V110" s="1467"/>
      <c r="W110" s="2871"/>
      <c r="X110" s="1467"/>
      <c r="Y110" s="2871"/>
      <c r="Z110" s="1467"/>
      <c r="AA110" s="2868"/>
      <c r="AB110" s="2615"/>
      <c r="AC110" s="3263"/>
      <c r="AD110" s="3544"/>
      <c r="AE110" s="2615"/>
      <c r="AF110" s="3265"/>
      <c r="AG110" s="3265"/>
      <c r="AH110" s="2045"/>
      <c r="AI110" s="3221"/>
      <c r="AJ110" s="3505"/>
    </row>
    <row r="111" spans="1:45" ht="15.75">
      <c r="A111" s="2055" t="s">
        <v>23</v>
      </c>
      <c r="B111" s="1468"/>
      <c r="C111" s="2866"/>
      <c r="D111" s="1467"/>
      <c r="E111" s="2866"/>
      <c r="F111" s="1467"/>
      <c r="G111" s="2866"/>
      <c r="H111" s="1467"/>
      <c r="I111" s="2866"/>
      <c r="J111" s="1467"/>
      <c r="K111" s="2866"/>
      <c r="L111" s="1467"/>
      <c r="M111" s="2866"/>
      <c r="N111" s="1467"/>
      <c r="O111" s="2866"/>
      <c r="P111" s="1467"/>
      <c r="Q111" s="2866"/>
      <c r="R111" s="1467"/>
      <c r="S111" s="2866"/>
      <c r="T111" s="1467"/>
      <c r="U111" s="2866"/>
      <c r="V111" s="1467"/>
      <c r="W111" s="2866"/>
      <c r="X111" s="1467"/>
      <c r="Y111" s="2866"/>
      <c r="Z111" s="1467"/>
      <c r="AA111" s="2868"/>
      <c r="AB111" s="3265"/>
      <c r="AC111" s="3263"/>
      <c r="AD111" s="3544"/>
      <c r="AE111" s="3265"/>
      <c r="AF111" s="3265"/>
      <c r="AG111" s="3265"/>
      <c r="AH111" s="2045"/>
      <c r="AI111" s="3221"/>
      <c r="AJ111" s="3505"/>
    </row>
    <row r="112" spans="1:45" ht="15">
      <c r="A112" s="1468" t="s">
        <v>138</v>
      </c>
      <c r="B112" s="1468"/>
      <c r="C112" s="1467"/>
      <c r="D112" s="146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2868"/>
      <c r="AB112" s="3263"/>
      <c r="AC112" s="3263"/>
      <c r="AD112" s="3544"/>
      <c r="AE112" s="2045"/>
      <c r="AF112" s="3265"/>
      <c r="AG112" s="3265"/>
      <c r="AH112" s="3263"/>
      <c r="AI112" s="3221"/>
      <c r="AJ112" s="1859"/>
    </row>
    <row r="113" spans="1:38" ht="15">
      <c r="A113" s="2872" t="s">
        <v>25</v>
      </c>
      <c r="B113" s="1468"/>
      <c r="C113" s="1467">
        <f>+'Exhibit F'!D101+'Exhibit G State'!D89</f>
        <v>917.2</v>
      </c>
      <c r="D113" s="1467"/>
      <c r="E113" s="1467">
        <f>+'Exhibit F'!F101+'Exhibit G State'!F89</f>
        <v>3980.2</v>
      </c>
      <c r="F113" s="1467"/>
      <c r="G113" s="1467">
        <f>+'Exhibit F'!H101+'Exhibit G State'!H89</f>
        <v>2539.1000000000004</v>
      </c>
      <c r="H113" s="1467"/>
      <c r="I113" s="1467">
        <f>+'Exhibit F'!J101+'Exhibit G State'!J89</f>
        <v>1611.5999999999997</v>
      </c>
      <c r="J113" s="1467"/>
      <c r="K113" s="1467">
        <f>+'Exhibit F'!L101+'Exhibit G State'!L89</f>
        <v>680.80000000000109</v>
      </c>
      <c r="L113" s="1467"/>
      <c r="M113" s="1467">
        <f>+'Exhibit F'!N101+'Exhibit G State'!N89</f>
        <v>4854.2999999999993</v>
      </c>
      <c r="N113" s="1467"/>
      <c r="O113" s="1467">
        <f>+'Exhibit F'!P101+'Exhibit G State'!P89</f>
        <v>1230.1999999999994</v>
      </c>
      <c r="P113" s="1467"/>
      <c r="Q113" s="1467">
        <f>+'Exhibit F'!R101+'Exhibit G State'!R89</f>
        <v>1890.7999999999988</v>
      </c>
      <c r="R113" s="1467"/>
      <c r="S113" s="1467">
        <f>+'Exhibit F'!T101+'Exhibit G State'!T89</f>
        <v>2433.9000000000028</v>
      </c>
      <c r="T113" s="1467"/>
      <c r="U113" s="1467">
        <f>+'Exhibit F'!V101+'Exhibit G State'!V89</f>
        <v>3045.7999999999965</v>
      </c>
      <c r="V113" s="1467"/>
      <c r="W113" s="1467">
        <f>+'Exhibit F'!X101+'Exhibit G State'!X89</f>
        <v>983.80000000000109</v>
      </c>
      <c r="X113" s="1467"/>
      <c r="Y113" s="1467"/>
      <c r="Z113" s="1467"/>
      <c r="AA113" s="2868"/>
      <c r="AB113" s="2045">
        <f>ROUND(SUM(C113:Y113),1)</f>
        <v>24167.7</v>
      </c>
      <c r="AC113" s="3263"/>
      <c r="AD113" s="3544"/>
      <c r="AE113" s="2045">
        <f>+'Exhibit F'!AF101+'Exhibit G State'!AG89</f>
        <v>23736.699999999997</v>
      </c>
      <c r="AF113" s="3265"/>
      <c r="AG113" s="3265"/>
      <c r="AH113" s="3263">
        <f>ROUND(SUM(AB113-AE113),1)</f>
        <v>431</v>
      </c>
      <c r="AI113" s="3221"/>
      <c r="AJ113" s="1859">
        <f>ROUND(SUM(AH113/ABS(AE113)),3)</f>
        <v>1.7999999999999999E-2</v>
      </c>
    </row>
    <row r="114" spans="1:38" ht="15">
      <c r="A114" s="2872" t="s">
        <v>26</v>
      </c>
      <c r="B114" s="1468"/>
      <c r="C114" s="1467">
        <f>+'Exhibit F'!D102+'Exhibit G State'!D90</f>
        <v>0.2</v>
      </c>
      <c r="D114" s="1467"/>
      <c r="E114" s="1467">
        <f>+'Exhibit F'!F102+'Exhibit G State'!F90</f>
        <v>0.1</v>
      </c>
      <c r="F114" s="1467"/>
      <c r="G114" s="1467">
        <f>+'Exhibit F'!H102+'Exhibit G State'!H90</f>
        <v>0.6</v>
      </c>
      <c r="H114" s="1467"/>
      <c r="I114" s="1467">
        <f>+'Exhibit F'!J102+'Exhibit G State'!J90</f>
        <v>-9.9999999999999978E-2</v>
      </c>
      <c r="J114" s="1467"/>
      <c r="K114" s="1467">
        <f>+'Exhibit F'!L102+'Exhibit G State'!L90</f>
        <v>0.30000000000000004</v>
      </c>
      <c r="L114" s="1467"/>
      <c r="M114" s="1467">
        <f>+'Exhibit F'!N102+'Exhibit G State'!N90</f>
        <v>0.99999999999999989</v>
      </c>
      <c r="N114" s="1467"/>
      <c r="O114" s="1467">
        <f>+'Exhibit F'!P102+'Exhibit G State'!P90</f>
        <v>0.69999999999999973</v>
      </c>
      <c r="P114" s="1467"/>
      <c r="Q114" s="1467">
        <f>+'Exhibit F'!R102+'Exhibit G State'!R90</f>
        <v>0.30000000000000004</v>
      </c>
      <c r="R114" s="1467"/>
      <c r="S114" s="1467">
        <f>+'Exhibit F'!T102+'Exhibit G State'!T90</f>
        <v>0.69999999999999962</v>
      </c>
      <c r="T114" s="1467"/>
      <c r="U114" s="1467">
        <f>+'Exhibit F'!V102+'Exhibit G State'!V90</f>
        <v>0.70000000000000007</v>
      </c>
      <c r="V114" s="1467"/>
      <c r="W114" s="1467">
        <f>+'Exhibit F'!X102+'Exhibit G State'!X90</f>
        <v>2.2999999999999998</v>
      </c>
      <c r="X114" s="1467"/>
      <c r="Y114" s="1467"/>
      <c r="Z114" s="1467"/>
      <c r="AA114" s="2868"/>
      <c r="AB114" s="2045">
        <f t="shared" ref="AB114:AB121" si="19">ROUND(SUM(C114:Y114),1)</f>
        <v>6.8</v>
      </c>
      <c r="AC114" s="3263"/>
      <c r="AD114" s="3544"/>
      <c r="AE114" s="2045">
        <f>+'Exhibit F'!AF102+'Exhibit G State'!AG90</f>
        <v>7</v>
      </c>
      <c r="AF114" s="3265"/>
      <c r="AG114" s="3265"/>
      <c r="AH114" s="3263">
        <f t="shared" ref="AH114:AH121" si="20">ROUND(SUM(AB114-AE114),1)</f>
        <v>-0.2</v>
      </c>
      <c r="AI114" s="3221"/>
      <c r="AJ114" s="1859">
        <f>ROUND(IF(AE114=0,1,AH114/ABS(AE114)),3)</f>
        <v>-2.9000000000000001E-2</v>
      </c>
    </row>
    <row r="115" spans="1:38" ht="15">
      <c r="A115" s="2872" t="s">
        <v>27</v>
      </c>
      <c r="B115" s="1468"/>
      <c r="C115" s="1467">
        <f>+'Exhibit F'!D103+'Exhibit G State'!D91</f>
        <v>27.099999999999998</v>
      </c>
      <c r="D115" s="1467"/>
      <c r="E115" s="1467">
        <f>+'Exhibit F'!F103+'Exhibit G State'!F91</f>
        <v>34.400000000000006</v>
      </c>
      <c r="F115" s="1467"/>
      <c r="G115" s="1467">
        <f>+'Exhibit F'!H103+'Exhibit G State'!H91</f>
        <v>576.69999999999982</v>
      </c>
      <c r="H115" s="1467"/>
      <c r="I115" s="1467">
        <f>+'Exhibit F'!J103+'Exhibit G State'!J91</f>
        <v>22.400000000000041</v>
      </c>
      <c r="J115" s="1467"/>
      <c r="K115" s="1467">
        <f>+'Exhibit F'!L103+'Exhibit G State'!L91</f>
        <v>58</v>
      </c>
      <c r="L115" s="1467"/>
      <c r="M115" s="1467">
        <f>+'Exhibit F'!N103+'Exhibit G State'!N91</f>
        <v>71.19999999999996</v>
      </c>
      <c r="N115" s="1467"/>
      <c r="O115" s="1467">
        <f>+'Exhibit F'!P103+'Exhibit G State'!P91</f>
        <v>33.200000000000017</v>
      </c>
      <c r="P115" s="1467"/>
      <c r="Q115" s="1467">
        <f>+'Exhibit F'!R103+'Exhibit G State'!R91</f>
        <v>51.1</v>
      </c>
      <c r="R115" s="1467"/>
      <c r="S115" s="1467">
        <f>+'Exhibit F'!T103+'Exhibit G State'!T91</f>
        <v>232.40000000000006</v>
      </c>
      <c r="T115" s="1467"/>
      <c r="U115" s="1467">
        <f>+'Exhibit F'!V103+'Exhibit G State'!V91</f>
        <v>30.799999999999947</v>
      </c>
      <c r="V115" s="1467"/>
      <c r="W115" s="1467">
        <f>+'Exhibit F'!X103+'Exhibit G State'!X91</f>
        <v>53.199999999999996</v>
      </c>
      <c r="X115" s="1467"/>
      <c r="Y115" s="1467"/>
      <c r="Z115" s="1467"/>
      <c r="AA115" s="2868"/>
      <c r="AB115" s="2045">
        <f t="shared" si="19"/>
        <v>1190.5</v>
      </c>
      <c r="AC115" s="3263"/>
      <c r="AD115" s="3544"/>
      <c r="AE115" s="2045">
        <f>+'Exhibit F'!AF103+'Exhibit G State'!AG91</f>
        <v>1075.3</v>
      </c>
      <c r="AF115" s="3265"/>
      <c r="AG115" s="3265"/>
      <c r="AH115" s="3263">
        <f t="shared" si="20"/>
        <v>115.2</v>
      </c>
      <c r="AI115" s="3221"/>
      <c r="AJ115" s="1859">
        <f>ROUND(SUM(AH115/ABS(AE115)),3)</f>
        <v>0.107</v>
      </c>
    </row>
    <row r="116" spans="1:38" ht="15">
      <c r="A116" s="2872" t="s">
        <v>28</v>
      </c>
      <c r="B116" s="1468"/>
      <c r="C116" s="1467"/>
      <c r="D116" s="1467"/>
      <c r="E116" s="1467"/>
      <c r="F116" s="1467"/>
      <c r="G116" s="1467"/>
      <c r="H116" s="1467"/>
      <c r="I116" s="1467"/>
      <c r="J116" s="1467"/>
      <c r="K116" s="1467"/>
      <c r="L116" s="1467"/>
      <c r="M116" s="1467"/>
      <c r="N116" s="1467"/>
      <c r="O116" s="1467"/>
      <c r="P116" s="1467"/>
      <c r="Q116" s="1467"/>
      <c r="R116" s="1467"/>
      <c r="S116" s="1467"/>
      <c r="T116" s="1467"/>
      <c r="U116" s="1467"/>
      <c r="V116" s="1467"/>
      <c r="W116" s="1467"/>
      <c r="X116" s="1467"/>
      <c r="Y116" s="1467"/>
      <c r="Z116" s="1467"/>
      <c r="AA116" s="2868"/>
      <c r="AB116" s="2045"/>
      <c r="AC116" s="3263"/>
      <c r="AD116" s="3544"/>
      <c r="AE116" s="2685"/>
      <c r="AF116" s="3265"/>
      <c r="AG116" s="3265"/>
      <c r="AH116" s="3263" t="s">
        <v>15</v>
      </c>
      <c r="AI116" s="3221"/>
      <c r="AJ116" s="1859"/>
    </row>
    <row r="117" spans="1:38" ht="15">
      <c r="A117" s="2873" t="s">
        <v>29</v>
      </c>
      <c r="B117" s="1468"/>
      <c r="C117" s="1467">
        <f>+'Exhibit F'!D105+'Exhibit G State'!D93</f>
        <v>3295.5</v>
      </c>
      <c r="D117" s="1467"/>
      <c r="E117" s="1467">
        <f>+'Exhibit F'!F105+'Exhibit G State'!F93</f>
        <v>2470.5</v>
      </c>
      <c r="F117" s="1467"/>
      <c r="G117" s="1467">
        <f>+'Exhibit F'!H105+'Exhibit G State'!H93</f>
        <v>1759.2000000000003</v>
      </c>
      <c r="H117" s="1467"/>
      <c r="I117" s="1467">
        <f>+'Exhibit F'!J105+'Exhibit G State'!J93</f>
        <v>1903.0000000000005</v>
      </c>
      <c r="J117" s="1467"/>
      <c r="K117" s="1467">
        <f>+'Exhibit F'!L105+'Exhibit G State'!L93</f>
        <v>1759.4999999999991</v>
      </c>
      <c r="L117" s="1467"/>
      <c r="M117" s="1467">
        <f>+'Exhibit F'!N105+'Exhibit G State'!N93</f>
        <v>1915.7999999999988</v>
      </c>
      <c r="N117" s="1467"/>
      <c r="O117" s="1467">
        <f>+'Exhibit F'!P105+'Exhibit G State'!P93</f>
        <v>2120.2000000000003</v>
      </c>
      <c r="P117" s="1467"/>
      <c r="Q117" s="1467">
        <f>+'Exhibit F'!R105+'Exhibit G State'!R93</f>
        <v>2341.5</v>
      </c>
      <c r="R117" s="1467"/>
      <c r="S117" s="1467">
        <f>+'Exhibit F'!T105+'Exhibit G State'!T93</f>
        <v>1734.4</v>
      </c>
      <c r="T117" s="1467"/>
      <c r="U117" s="1467">
        <f>+'Exhibit F'!V105+'Exhibit G State'!V93</f>
        <v>2245.7000000000003</v>
      </c>
      <c r="V117" s="1467"/>
      <c r="W117" s="1467">
        <f>+'Exhibit F'!X105+'Exhibit G State'!X93</f>
        <v>1686.7000000000007</v>
      </c>
      <c r="X117" s="1467"/>
      <c r="Y117" s="1467"/>
      <c r="Z117" s="1467"/>
      <c r="AA117" s="2868"/>
      <c r="AB117" s="2045">
        <f t="shared" si="19"/>
        <v>23232</v>
      </c>
      <c r="AC117" s="3263"/>
      <c r="AD117" s="3544"/>
      <c r="AE117" s="2045">
        <f>+'Exhibit F'!AF105+'Exhibit G State'!AG93</f>
        <v>20976.799999999999</v>
      </c>
      <c r="AF117" s="3265"/>
      <c r="AG117" s="3265"/>
      <c r="AH117" s="3263">
        <f t="shared" si="20"/>
        <v>2255.1999999999998</v>
      </c>
      <c r="AI117" s="3221"/>
      <c r="AJ117" s="1859">
        <f t="shared" ref="AJ117:AJ123" si="21">ROUND(SUM(AH117/ABS(AE117)),3)</f>
        <v>0.108</v>
      </c>
      <c r="AK117" s="2874"/>
    </row>
    <row r="118" spans="1:38" ht="15">
      <c r="A118" s="2872" t="s">
        <v>30</v>
      </c>
      <c r="B118" s="1468"/>
      <c r="C118" s="1467">
        <f>+'Exhibit F'!D106+'Exhibit G State'!D94</f>
        <v>210.3</v>
      </c>
      <c r="D118" s="1467"/>
      <c r="E118" s="1467">
        <f>+'Exhibit F'!F106+'Exhibit G State'!F94</f>
        <v>152.99999999999997</v>
      </c>
      <c r="F118" s="1467"/>
      <c r="G118" s="1467">
        <f>+'Exhibit F'!H106+'Exhibit G State'!H94</f>
        <v>440.70000000000005</v>
      </c>
      <c r="H118" s="1467"/>
      <c r="I118" s="1467">
        <f>+'Exhibit F'!J106+'Exhibit G State'!J94</f>
        <v>261.20000000000016</v>
      </c>
      <c r="J118" s="1467"/>
      <c r="K118" s="1467">
        <f>+'Exhibit F'!L106+'Exhibit G State'!L94</f>
        <v>276.89999999999986</v>
      </c>
      <c r="L118" s="1467"/>
      <c r="M118" s="1467">
        <f>+'Exhibit F'!N106+'Exhibit G State'!N94</f>
        <v>267.19999999999993</v>
      </c>
      <c r="N118" s="1467"/>
      <c r="O118" s="1467">
        <f>+'Exhibit F'!P106+'Exhibit G State'!P94</f>
        <v>277.20000000000016</v>
      </c>
      <c r="P118" s="1467"/>
      <c r="Q118" s="1467">
        <f>+'Exhibit F'!R106+'Exhibit G State'!R94</f>
        <v>143.0999999999998</v>
      </c>
      <c r="R118" s="1467"/>
      <c r="S118" s="1467">
        <f>+'Exhibit F'!T106+'Exhibit G State'!T94</f>
        <v>382.89999999999975</v>
      </c>
      <c r="T118" s="1467"/>
      <c r="U118" s="1467">
        <f>+'Exhibit F'!V106+'Exhibit G State'!V94</f>
        <v>223.60000000000025</v>
      </c>
      <c r="V118" s="1467"/>
      <c r="W118" s="1467">
        <f>+'Exhibit F'!X106+'Exhibit G State'!X94</f>
        <v>161.99999999999989</v>
      </c>
      <c r="X118" s="1467"/>
      <c r="Y118" s="1467"/>
      <c r="Z118" s="1467"/>
      <c r="AA118" s="2868"/>
      <c r="AB118" s="2045">
        <f t="shared" si="19"/>
        <v>2798.1</v>
      </c>
      <c r="AC118" s="3547"/>
      <c r="AD118" s="3263"/>
      <c r="AE118" s="2045">
        <f>+'Exhibit F'!AF106+'Exhibit G State'!AG94</f>
        <v>2955</v>
      </c>
      <c r="AF118" s="3265"/>
      <c r="AG118" s="3265"/>
      <c r="AH118" s="3263">
        <f t="shared" si="20"/>
        <v>-156.9</v>
      </c>
      <c r="AI118" s="3221"/>
      <c r="AJ118" s="1859">
        <f t="shared" si="21"/>
        <v>-5.2999999999999999E-2</v>
      </c>
    </row>
    <row r="119" spans="1:38" ht="15">
      <c r="A119" s="2872" t="s">
        <v>31</v>
      </c>
      <c r="B119" s="1468"/>
      <c r="C119" s="1467">
        <f>+'Exhibit F'!D107+'Exhibit G State'!D95</f>
        <v>30.700000000000003</v>
      </c>
      <c r="D119" s="1467"/>
      <c r="E119" s="1467">
        <f>+'Exhibit F'!F107+'Exhibit G State'!F95</f>
        <v>27.799999999999997</v>
      </c>
      <c r="F119" s="1467"/>
      <c r="G119" s="1467">
        <f>+'Exhibit F'!H107+'Exhibit G State'!H95</f>
        <v>28.6</v>
      </c>
      <c r="H119" s="1467"/>
      <c r="I119" s="1467">
        <f>+'Exhibit F'!J107+'Exhibit G State'!J95</f>
        <v>28</v>
      </c>
      <c r="J119" s="1467"/>
      <c r="K119" s="1467">
        <f>+'Exhibit F'!L107+'Exhibit G State'!L95</f>
        <v>33.000000000000007</v>
      </c>
      <c r="L119" s="1467"/>
      <c r="M119" s="1467">
        <f>+'Exhibit F'!N107+'Exhibit G State'!N95</f>
        <v>41.79999999999999</v>
      </c>
      <c r="N119" s="1467"/>
      <c r="O119" s="1467">
        <f>+'Exhibit F'!P107+'Exhibit G State'!P95</f>
        <v>28.500000000000007</v>
      </c>
      <c r="P119" s="1467"/>
      <c r="Q119" s="1467">
        <f>+'Exhibit F'!R107+'Exhibit G State'!R95</f>
        <v>22.499999999999979</v>
      </c>
      <c r="R119" s="1467"/>
      <c r="S119" s="1467">
        <f>+'Exhibit F'!T107+'Exhibit G State'!T95</f>
        <v>34.200000000000017</v>
      </c>
      <c r="T119" s="1467"/>
      <c r="U119" s="1467">
        <f>+'Exhibit F'!V107+'Exhibit G State'!V95</f>
        <v>-19.800000000000018</v>
      </c>
      <c r="V119" s="1467"/>
      <c r="W119" s="1467">
        <f>+'Exhibit F'!X107+'Exhibit G State'!X95</f>
        <v>66.80000000000004</v>
      </c>
      <c r="X119" s="1467"/>
      <c r="Y119" s="1467"/>
      <c r="Z119" s="1467"/>
      <c r="AA119" s="2868"/>
      <c r="AB119" s="2045">
        <f t="shared" si="19"/>
        <v>322.10000000000002</v>
      </c>
      <c r="AC119" s="3548"/>
      <c r="AD119" s="3544"/>
      <c r="AE119" s="2045">
        <f>+'Exhibit F'!AF107+'Exhibit G State'!AG95</f>
        <v>313</v>
      </c>
      <c r="AF119" s="3265"/>
      <c r="AG119" s="3265"/>
      <c r="AH119" s="3263">
        <f t="shared" si="20"/>
        <v>9.1</v>
      </c>
      <c r="AI119" s="3221"/>
      <c r="AJ119" s="1859">
        <f t="shared" si="21"/>
        <v>2.9000000000000001E-2</v>
      </c>
    </row>
    <row r="120" spans="1:38" ht="15">
      <c r="A120" s="2872" t="s">
        <v>32</v>
      </c>
      <c r="B120" s="1468"/>
      <c r="C120" s="1467">
        <f>+'Exhibit F'!D108+'Exhibit G State'!D96</f>
        <v>88.700000000000017</v>
      </c>
      <c r="D120" s="1467"/>
      <c r="E120" s="1467">
        <f>+'Exhibit F'!F108+'Exhibit G State'!F96</f>
        <v>85.699999999999974</v>
      </c>
      <c r="F120" s="1467"/>
      <c r="G120" s="1467">
        <f>+'Exhibit F'!H108+'Exhibit G State'!H96</f>
        <v>181</v>
      </c>
      <c r="H120" s="1467"/>
      <c r="I120" s="1467">
        <f>+'Exhibit F'!J108+'Exhibit G State'!J96</f>
        <v>128.90000000000003</v>
      </c>
      <c r="J120" s="1467"/>
      <c r="K120" s="1467">
        <f>+'Exhibit F'!L108+'Exhibit G State'!L96</f>
        <v>180.6999999999999</v>
      </c>
      <c r="L120" s="1467"/>
      <c r="M120" s="1467">
        <f>+'Exhibit F'!N108+'Exhibit G State'!N96</f>
        <v>170.00000000000006</v>
      </c>
      <c r="N120" s="1467"/>
      <c r="O120" s="1467">
        <f>+'Exhibit F'!P108+'Exhibit G State'!P96</f>
        <v>424.80000000000007</v>
      </c>
      <c r="P120" s="1467"/>
      <c r="Q120" s="1467">
        <f>+'Exhibit F'!R108+'Exhibit G State'!R96</f>
        <v>460.89999999999981</v>
      </c>
      <c r="R120" s="1467"/>
      <c r="S120" s="1467">
        <f>+'Exhibit F'!T108+'Exhibit G State'!T96</f>
        <v>119.1999999999999</v>
      </c>
      <c r="T120" s="1467"/>
      <c r="U120" s="1467">
        <f>+'Exhibit F'!V108+'Exhibit G State'!V96</f>
        <v>171.1</v>
      </c>
      <c r="V120" s="1467"/>
      <c r="W120" s="1467">
        <f>+'Exhibit F'!X108+'Exhibit G State'!X96</f>
        <v>197.39999999999972</v>
      </c>
      <c r="X120" s="1467"/>
      <c r="Y120" s="1467"/>
      <c r="Z120" s="1467"/>
      <c r="AA120" s="2868"/>
      <c r="AB120" s="2045">
        <f t="shared" si="19"/>
        <v>2208.4</v>
      </c>
      <c r="AC120" s="3548"/>
      <c r="AD120" s="3544"/>
      <c r="AE120" s="2045">
        <f>+'Exhibit F'!AF108+'Exhibit G State'!AG96</f>
        <v>2085.8000000000002</v>
      </c>
      <c r="AF120" s="3265"/>
      <c r="AG120" s="3265"/>
      <c r="AH120" s="3263">
        <f t="shared" si="20"/>
        <v>122.6</v>
      </c>
      <c r="AI120" s="3221"/>
      <c r="AJ120" s="1859">
        <f t="shared" si="21"/>
        <v>5.8999999999999997E-2</v>
      </c>
    </row>
    <row r="121" spans="1:38" ht="15">
      <c r="A121" s="2872" t="s">
        <v>33</v>
      </c>
      <c r="B121" s="1468"/>
      <c r="C121" s="1467">
        <f>+'Exhibit F'!D109+'Exhibit G State'!D97</f>
        <v>7.1</v>
      </c>
      <c r="D121" s="1467"/>
      <c r="E121" s="1467">
        <f>+'Exhibit F'!F109+'Exhibit G State'!F97</f>
        <v>14.399999999999999</v>
      </c>
      <c r="F121" s="1467"/>
      <c r="G121" s="1467">
        <f>+'Exhibit F'!H109+'Exhibit G State'!H97</f>
        <v>7</v>
      </c>
      <c r="H121" s="1467"/>
      <c r="I121" s="1467">
        <f>+'Exhibit F'!J109+'Exhibit G State'!J97</f>
        <v>27.8</v>
      </c>
      <c r="J121" s="1467"/>
      <c r="K121" s="1467">
        <f>+'Exhibit F'!L109+'Exhibit G State'!L97</f>
        <v>24.499999999999993</v>
      </c>
      <c r="L121" s="1467"/>
      <c r="M121" s="1467">
        <f>+'Exhibit F'!N109+'Exhibit G State'!N97</f>
        <v>11.699999999999996</v>
      </c>
      <c r="N121" s="1467"/>
      <c r="O121" s="1467">
        <f>+'Exhibit F'!P109+'Exhibit G State'!P97</f>
        <v>22.400000000000006</v>
      </c>
      <c r="P121" s="1467"/>
      <c r="Q121" s="1467">
        <f>+'Exhibit F'!R109+'Exhibit G State'!R97</f>
        <v>20.999999999999996</v>
      </c>
      <c r="R121" s="1467"/>
      <c r="S121" s="1467">
        <f>+'Exhibit F'!T109+'Exhibit G State'!T97</f>
        <v>19.000000000000014</v>
      </c>
      <c r="T121" s="1467"/>
      <c r="U121" s="1467">
        <f>+'Exhibit F'!V109+'Exhibit G State'!V97</f>
        <v>4.6999999999999886</v>
      </c>
      <c r="V121" s="1467"/>
      <c r="W121" s="1467">
        <f>+'Exhibit F'!X109+'Exhibit G State'!X97</f>
        <v>30.600000000000012</v>
      </c>
      <c r="X121" s="1467"/>
      <c r="Y121" s="1467"/>
      <c r="Z121" s="1467"/>
      <c r="AA121" s="2868"/>
      <c r="AB121" s="2045">
        <f t="shared" si="19"/>
        <v>190.2</v>
      </c>
      <c r="AC121" s="3548"/>
      <c r="AD121" s="3544"/>
      <c r="AE121" s="2045">
        <f>+'Exhibit F'!AF109+'Exhibit G State'!AG97</f>
        <v>197.5</v>
      </c>
      <c r="AF121" s="3265"/>
      <c r="AG121" s="3265"/>
      <c r="AH121" s="3263">
        <f t="shared" si="20"/>
        <v>-7.3</v>
      </c>
      <c r="AI121" s="3221"/>
      <c r="AJ121" s="1859">
        <f t="shared" si="21"/>
        <v>-3.6999999999999998E-2</v>
      </c>
    </row>
    <row r="122" spans="1:38" ht="15">
      <c r="A122" s="2872" t="s">
        <v>34</v>
      </c>
      <c r="B122" s="1468"/>
      <c r="C122" s="1467">
        <f>+'Exhibit F'!D110+'Exhibit G State'!D98</f>
        <v>68.3</v>
      </c>
      <c r="D122" s="1467"/>
      <c r="E122" s="1467">
        <f>+'Exhibit F'!F110+'Exhibit G State'!F98</f>
        <v>426.59999999999997</v>
      </c>
      <c r="F122" s="1467"/>
      <c r="G122" s="1467">
        <f>+'Exhibit F'!H110+'Exhibit G State'!H98</f>
        <v>279.40000000000003</v>
      </c>
      <c r="H122" s="1467"/>
      <c r="I122" s="1467">
        <f>+'Exhibit F'!J110+'Exhibit G State'!J98</f>
        <v>274.30000000000007</v>
      </c>
      <c r="J122" s="1467"/>
      <c r="K122" s="1467">
        <f>+'Exhibit F'!L110+'Exhibit G State'!L98</f>
        <v>388.40000000000003</v>
      </c>
      <c r="L122" s="1467"/>
      <c r="M122" s="1467">
        <f>+'Exhibit F'!N110+'Exhibit G State'!N98</f>
        <v>327.09999999999974</v>
      </c>
      <c r="N122" s="1467"/>
      <c r="O122" s="1467">
        <f>+'Exhibit F'!P110+'Exhibit G State'!P98</f>
        <v>279.80000000000024</v>
      </c>
      <c r="P122" s="1467"/>
      <c r="Q122" s="1467">
        <f>+'Exhibit F'!R110+'Exhibit G State'!R98</f>
        <v>498.89999999999941</v>
      </c>
      <c r="R122" s="1467"/>
      <c r="S122" s="1467">
        <f>+'Exhibit F'!T110+'Exhibit G State'!T98</f>
        <v>739.50000000000011</v>
      </c>
      <c r="T122" s="1467"/>
      <c r="U122" s="1467">
        <f>+'Exhibit F'!V110+'Exhibit G State'!V98</f>
        <v>62.500000000000455</v>
      </c>
      <c r="V122" s="1467"/>
      <c r="W122" s="1467">
        <f>+'Exhibit F'!X110+'Exhibit G State'!X98</f>
        <v>102.5</v>
      </c>
      <c r="X122" s="1467"/>
      <c r="Y122" s="1467"/>
      <c r="Z122" s="1467"/>
      <c r="AA122" s="2868"/>
      <c r="AB122" s="3263">
        <f>ROUND(SUM(C122:Y122),1)</f>
        <v>3447.3</v>
      </c>
      <c r="AC122" s="3548"/>
      <c r="AD122" s="3544"/>
      <c r="AE122" s="2045">
        <f>+'Exhibit F'!AF110+'Exhibit G State'!AG98</f>
        <v>3766.6</v>
      </c>
      <c r="AF122" s="3265"/>
      <c r="AG122" s="3265"/>
      <c r="AH122" s="3263">
        <f>ROUND(SUM(AB122-AE122),1)</f>
        <v>-319.3</v>
      </c>
      <c r="AI122" s="3221"/>
      <c r="AJ122" s="1476">
        <f t="shared" si="21"/>
        <v>-8.5000000000000006E-2</v>
      </c>
    </row>
    <row r="123" spans="1:38" ht="15.75">
      <c r="A123" s="1468" t="s">
        <v>35</v>
      </c>
      <c r="B123" s="1468"/>
      <c r="C123" s="2875">
        <f>ROUND(SUM(C113:C122),1)</f>
        <v>4645.1000000000004</v>
      </c>
      <c r="D123" s="2876"/>
      <c r="E123" s="2875">
        <f>ROUND(SUM(E113:E122),1)</f>
        <v>7192.7</v>
      </c>
      <c r="F123" s="2876"/>
      <c r="G123" s="2875">
        <f>ROUND(SUM(G113:G122),1)</f>
        <v>5812.3</v>
      </c>
      <c r="H123" s="2876"/>
      <c r="I123" s="2875">
        <f>ROUND(SUM(I113:I122),1)</f>
        <v>4257.1000000000004</v>
      </c>
      <c r="J123" s="2876"/>
      <c r="K123" s="2875">
        <f>ROUND(SUM(K113:K122),1)</f>
        <v>3402.1</v>
      </c>
      <c r="L123" s="2876"/>
      <c r="M123" s="2875">
        <f>ROUND(SUM(M113:M122),1)</f>
        <v>7660.1</v>
      </c>
      <c r="N123" s="2876"/>
      <c r="O123" s="2875">
        <f>ROUND(SUM(O113:O122),1)</f>
        <v>4417</v>
      </c>
      <c r="P123" s="2876"/>
      <c r="Q123" s="2875">
        <f>ROUND(SUM(Q113:Q122),1)</f>
        <v>5430.1</v>
      </c>
      <c r="R123" s="2876"/>
      <c r="S123" s="2875">
        <f>ROUND(SUM(S113:S122),1)</f>
        <v>5696.2</v>
      </c>
      <c r="T123" s="2876"/>
      <c r="U123" s="2875">
        <f>ROUND(SUM(U113:U122),1)</f>
        <v>5765.1</v>
      </c>
      <c r="V123" s="2876"/>
      <c r="W123" s="2875">
        <f>ROUND(SUM(W113:W122),1)</f>
        <v>3285.3</v>
      </c>
      <c r="X123" s="2876"/>
      <c r="Y123" s="2875">
        <f>ROUND(SUM(Y113:Y122),1)</f>
        <v>0</v>
      </c>
      <c r="Z123" s="2876"/>
      <c r="AA123" s="2877"/>
      <c r="AB123" s="3549">
        <f>ROUND(SUM(AB113:AB122),1)</f>
        <v>57563.1</v>
      </c>
      <c r="AC123" s="3550"/>
      <c r="AD123" s="3551"/>
      <c r="AE123" s="1488">
        <f>ROUND(SUM(AE113:AE122),1)</f>
        <v>55113.7</v>
      </c>
      <c r="AF123" s="3264"/>
      <c r="AG123" s="3264"/>
      <c r="AH123" s="1488">
        <f>ROUND(SUM(AH113:AH122),1)</f>
        <v>2449.4</v>
      </c>
      <c r="AI123" s="3205"/>
      <c r="AJ123" s="2604">
        <f t="shared" si="21"/>
        <v>4.3999999999999997E-2</v>
      </c>
      <c r="AK123" s="2862"/>
      <c r="AL123" s="2862"/>
    </row>
    <row r="124" spans="1:38" ht="15">
      <c r="A124" s="1468" t="s">
        <v>36</v>
      </c>
      <c r="B124" s="1468"/>
      <c r="C124" s="2866"/>
      <c r="D124" s="1467"/>
      <c r="E124" s="2866"/>
      <c r="F124" s="1467"/>
      <c r="G124" s="2866"/>
      <c r="H124" s="1467"/>
      <c r="I124" s="2866"/>
      <c r="J124" s="1467"/>
      <c r="K124" s="2866"/>
      <c r="L124" s="1467"/>
      <c r="M124" s="2866"/>
      <c r="N124" s="1467"/>
      <c r="O124" s="2866"/>
      <c r="P124" s="1467"/>
      <c r="Q124" s="2866"/>
      <c r="R124" s="1467"/>
      <c r="S124" s="2866"/>
      <c r="T124" s="1467"/>
      <c r="U124" s="2866"/>
      <c r="V124" s="1467"/>
      <c r="W124" s="2866"/>
      <c r="X124" s="1467"/>
      <c r="Y124" s="2866"/>
      <c r="Z124" s="1467"/>
      <c r="AA124" s="2868"/>
      <c r="AB124" s="3265"/>
      <c r="AC124" s="3263"/>
      <c r="AD124" s="3544"/>
      <c r="AE124" s="2086"/>
      <c r="AF124" s="3265"/>
      <c r="AG124" s="3265"/>
      <c r="AH124" s="2045"/>
      <c r="AI124" s="3221"/>
      <c r="AJ124" s="3505"/>
    </row>
    <row r="125" spans="1:38" ht="15">
      <c r="A125" s="1468" t="s">
        <v>139</v>
      </c>
      <c r="B125" s="1468"/>
      <c r="C125" s="1467">
        <f>+'Exhibit F'!D113+'Exhibit G State'!D101</f>
        <v>1090.5</v>
      </c>
      <c r="D125" s="1467"/>
      <c r="E125" s="1467">
        <f>+'Exhibit F'!F113+'Exhibit G State'!F101</f>
        <v>1651.8</v>
      </c>
      <c r="F125" s="1467"/>
      <c r="G125" s="1467">
        <f>+'Exhibit F'!H113+'Exhibit G State'!H101</f>
        <v>1072.5999999999999</v>
      </c>
      <c r="H125" s="1467"/>
      <c r="I125" s="1467">
        <f>+'Exhibit F'!J113+'Exhibit G State'!J101</f>
        <v>1146.7000000000005</v>
      </c>
      <c r="J125" s="1467"/>
      <c r="K125" s="1467">
        <f>+'Exhibit F'!L113+'Exhibit G State'!L101</f>
        <v>1205.5999999999995</v>
      </c>
      <c r="L125" s="1467"/>
      <c r="M125" s="1467">
        <f>+'Exhibit F'!N113+'Exhibit G State'!N101</f>
        <v>1064.2000000000005</v>
      </c>
      <c r="N125" s="1467"/>
      <c r="O125" s="1467">
        <f>+'Exhibit F'!P113+'Exhibit G State'!P101</f>
        <v>1364.3999999999999</v>
      </c>
      <c r="P125" s="1467"/>
      <c r="Q125" s="1467">
        <f>+'Exhibit F'!R113+'Exhibit G State'!R101</f>
        <v>1083.0999999999992</v>
      </c>
      <c r="R125" s="1467"/>
      <c r="S125" s="1467">
        <f>+'Exhibit F'!T113+'Exhibit G State'!T101</f>
        <v>1092.2000000000007</v>
      </c>
      <c r="T125" s="1467"/>
      <c r="U125" s="1467">
        <f>+'Exhibit F'!V113+'Exhibit G State'!V101</f>
        <v>1193.1000000000008</v>
      </c>
      <c r="V125" s="1467"/>
      <c r="W125" s="1467">
        <f>+'Exhibit F'!X113+'Exhibit G State'!X101</f>
        <v>1068.4999999999995</v>
      </c>
      <c r="X125" s="1467"/>
      <c r="Y125" s="1467"/>
      <c r="Z125" s="1467"/>
      <c r="AA125" s="2868"/>
      <c r="AB125" s="3263">
        <f>ROUND(SUM(C125:Y125),1)</f>
        <v>13032.7</v>
      </c>
      <c r="AC125" s="3263"/>
      <c r="AD125" s="3544"/>
      <c r="AE125" s="2045">
        <f>+'Exhibit F'!AF113+'Exhibit G State'!AG101</f>
        <v>12645.9</v>
      </c>
      <c r="AF125" s="3265"/>
      <c r="AG125" s="3265"/>
      <c r="AH125" s="3263">
        <f>ROUND(SUM(AB125-AE125),1)</f>
        <v>386.8</v>
      </c>
      <c r="AI125" s="3221"/>
      <c r="AJ125" s="1859">
        <f>ROUND(SUM(AH125/ABS(AE125)),3)</f>
        <v>3.1E-2</v>
      </c>
    </row>
    <row r="126" spans="1:38" ht="15">
      <c r="A126" s="1468" t="s">
        <v>140</v>
      </c>
      <c r="B126" s="1468"/>
      <c r="C126" s="1467">
        <f>+'Exhibit F'!D114+'Exhibit G State'!D102+'Exhibit H'!B53</f>
        <v>404</v>
      </c>
      <c r="D126" s="1467"/>
      <c r="E126" s="1467">
        <f>+'Exhibit F'!F114+'Exhibit G State'!F102+'Exhibit H'!D53</f>
        <v>500</v>
      </c>
      <c r="F126" s="1467"/>
      <c r="G126" s="1467">
        <f>+'Exhibit F'!H114+'Exhibit G State'!H102+'Exhibit H'!F53</f>
        <v>419.5</v>
      </c>
      <c r="H126" s="1467"/>
      <c r="I126" s="1467">
        <f>+'Exhibit F'!J114+'Exhibit G State'!J102+'Exhibit H'!H53</f>
        <v>437.90000000000015</v>
      </c>
      <c r="J126" s="1467"/>
      <c r="K126" s="1467">
        <f>+'Exhibit F'!L114+'Exhibit G State'!L102+'Exhibit H'!J53</f>
        <v>472.69999999999982</v>
      </c>
      <c r="L126" s="1467"/>
      <c r="M126" s="1467">
        <f>+'Exhibit F'!N114+'Exhibit G State'!N102+'Exhibit H'!L53</f>
        <v>406.6</v>
      </c>
      <c r="N126" s="1467"/>
      <c r="O126" s="1467">
        <f>+'Exhibit F'!P114+'Exhibit G State'!P102+'Exhibit H'!N53</f>
        <v>514.30000000000007</v>
      </c>
      <c r="P126" s="1467"/>
      <c r="Q126" s="1467">
        <f>+'Exhibit F'!R114+'Exhibit G State'!R102+'Exhibit H'!P53</f>
        <v>431.59999999999985</v>
      </c>
      <c r="R126" s="1467"/>
      <c r="S126" s="1467">
        <f>+'Exhibit F'!T114+'Exhibit G State'!T102+'Exhibit H'!R53</f>
        <v>399.2</v>
      </c>
      <c r="T126" s="1467"/>
      <c r="U126" s="1467">
        <f>+'Exhibit F'!V114+'Exhibit G State'!V102+'Exhibit H'!T53</f>
        <v>540.39999999999964</v>
      </c>
      <c r="V126" s="1467"/>
      <c r="W126" s="1467">
        <f>+'Exhibit F'!X114+'Exhibit G State'!X102+'Exhibit H'!V53</f>
        <v>504.90000000000026</v>
      </c>
      <c r="X126" s="1467"/>
      <c r="Y126" s="1467"/>
      <c r="Z126" s="1467"/>
      <c r="AA126" s="2868"/>
      <c r="AB126" s="3263">
        <f>ROUND(SUM(C126:Y126),1)</f>
        <v>5031.1000000000004</v>
      </c>
      <c r="AC126" s="3263"/>
      <c r="AD126" s="3544"/>
      <c r="AE126" s="2045">
        <f>+'Exhibit F'!AF114+'Exhibit G State'!AG102+'Exhibit H'!AD53</f>
        <v>4914.2</v>
      </c>
      <c r="AF126" s="3265"/>
      <c r="AG126" s="3265"/>
      <c r="AH126" s="3263">
        <f>ROUND(SUM(AB126-AE126),1)</f>
        <v>116.9</v>
      </c>
      <c r="AI126" s="3221"/>
      <c r="AJ126" s="1859">
        <f>ROUND(SUM(AH126/ABS(AE126)),3)</f>
        <v>2.4E-2</v>
      </c>
    </row>
    <row r="127" spans="1:38" ht="15">
      <c r="A127" s="1468" t="s">
        <v>39</v>
      </c>
      <c r="B127" s="1468"/>
      <c r="C127" s="1467">
        <f>+'Exhibit F'!D115+'Exhibit G State'!D103</f>
        <v>792.2</v>
      </c>
      <c r="D127" s="1467"/>
      <c r="E127" s="1467">
        <f>+'Exhibit F'!F115+'Exhibit G State'!F103</f>
        <v>2436.5</v>
      </c>
      <c r="F127" s="1467"/>
      <c r="G127" s="1467">
        <f>+'Exhibit F'!H115+'Exhibit G State'!H103</f>
        <v>420.59999999999968</v>
      </c>
      <c r="H127" s="1467"/>
      <c r="I127" s="1467">
        <f>+'Exhibit F'!J115+'Exhibit G State'!J103</f>
        <v>463.4000000000002</v>
      </c>
      <c r="J127" s="1467"/>
      <c r="K127" s="1467">
        <f>+'Exhibit F'!L115+'Exhibit G State'!L103</f>
        <v>518.50000000000034</v>
      </c>
      <c r="L127" s="1467"/>
      <c r="M127" s="1467">
        <f>+'Exhibit F'!N115+'Exhibit G State'!N103</f>
        <v>548.20000000000005</v>
      </c>
      <c r="N127" s="1467"/>
      <c r="O127" s="1467">
        <f>+'Exhibit F'!P115+'Exhibit G State'!P103</f>
        <v>639.89999999999964</v>
      </c>
      <c r="P127" s="1467"/>
      <c r="Q127" s="1467">
        <f>+'Exhibit F'!R115+'Exhibit G State'!R103</f>
        <v>539.50000000000011</v>
      </c>
      <c r="R127" s="1467"/>
      <c r="S127" s="1467">
        <f>+'Exhibit F'!T115+'Exhibit G State'!T103</f>
        <v>513.79999999999984</v>
      </c>
      <c r="T127" s="1467"/>
      <c r="U127" s="1467">
        <f>+'Exhibit F'!V115+'Exhibit G State'!V103</f>
        <v>529.80000000000041</v>
      </c>
      <c r="V127" s="1467"/>
      <c r="W127" s="1467">
        <f>+'Exhibit F'!X115+'Exhibit G State'!X103</f>
        <v>479.5</v>
      </c>
      <c r="X127" s="1467"/>
      <c r="Y127" s="1467"/>
      <c r="Z127" s="1467"/>
      <c r="AA127" s="2868"/>
      <c r="AB127" s="3263">
        <f>ROUND(SUM(C127:Y127),1)</f>
        <v>7881.9</v>
      </c>
      <c r="AC127" s="3263"/>
      <c r="AD127" s="3544"/>
      <c r="AE127" s="2045">
        <f>+'Exhibit F'!AF115+'Exhibit G State'!AG103</f>
        <v>7678.9</v>
      </c>
      <c r="AF127" s="3265"/>
      <c r="AG127" s="3265"/>
      <c r="AH127" s="3263">
        <f>ROUND(SUM(AB127-AE127),1)</f>
        <v>203</v>
      </c>
      <c r="AI127" s="3221"/>
      <c r="AJ127" s="1859">
        <f>ROUND(SUM(AH127/ABS(AE127)),3)</f>
        <v>2.5999999999999999E-2</v>
      </c>
    </row>
    <row r="128" spans="1:38" ht="15">
      <c r="A128" s="1468" t="s">
        <v>40</v>
      </c>
      <c r="B128" s="1468"/>
      <c r="C128" s="2866"/>
      <c r="D128" s="1467"/>
      <c r="E128" s="2866"/>
      <c r="F128" s="1467"/>
      <c r="G128" s="2866"/>
      <c r="H128" s="1467"/>
      <c r="I128" s="2866"/>
      <c r="J128" s="1467"/>
      <c r="K128" s="2866"/>
      <c r="L128" s="1467"/>
      <c r="M128" s="2866"/>
      <c r="N128" s="1467"/>
      <c r="O128" s="2866"/>
      <c r="P128" s="1467"/>
      <c r="Q128" s="2866"/>
      <c r="R128" s="1467"/>
      <c r="S128" s="2866"/>
      <c r="T128" s="1467"/>
      <c r="U128" s="2866"/>
      <c r="V128" s="1467"/>
      <c r="W128" s="2866"/>
      <c r="X128" s="1467"/>
      <c r="Y128" s="2866"/>
      <c r="Z128" s="1467"/>
      <c r="AA128" s="2868"/>
      <c r="AB128" s="3263"/>
      <c r="AC128" s="3263"/>
      <c r="AD128" s="3544"/>
      <c r="AE128" s="3265"/>
      <c r="AF128" s="3265"/>
      <c r="AG128" s="3265"/>
      <c r="AH128" s="3263"/>
      <c r="AI128" s="3221"/>
      <c r="AJ128" s="1859"/>
    </row>
    <row r="129" spans="1:59" ht="15">
      <c r="A129" s="1468" t="s">
        <v>41</v>
      </c>
      <c r="B129" s="1468"/>
      <c r="C129" s="1467">
        <f>+'Exhibit H'!B55</f>
        <v>72.400000000000006</v>
      </c>
      <c r="D129" s="1467"/>
      <c r="E129" s="1467">
        <f>+'Exhibit H'!D55</f>
        <v>121.1</v>
      </c>
      <c r="F129" s="1467"/>
      <c r="G129" s="1467">
        <f>+'Exhibit H'!F55</f>
        <v>230.29999999999998</v>
      </c>
      <c r="H129" s="1467"/>
      <c r="I129" s="1467">
        <f>+'Exhibit H'!H55</f>
        <v>45.099999999999994</v>
      </c>
      <c r="J129" s="1467"/>
      <c r="K129" s="1467">
        <f>+'Exhibit H'!J55</f>
        <v>74.5</v>
      </c>
      <c r="L129" s="1467"/>
      <c r="M129" s="1467">
        <f>+'Exhibit H'!L55</f>
        <v>433.20000000000005</v>
      </c>
      <c r="N129" s="1467"/>
      <c r="O129" s="1467">
        <f>+'Exhibit H'!N55</f>
        <v>48.499999999999886</v>
      </c>
      <c r="P129" s="1467"/>
      <c r="Q129" s="1467">
        <f>+'Exhibit H'!P55</f>
        <v>74.899999999999977</v>
      </c>
      <c r="R129" s="1467"/>
      <c r="S129" s="1467">
        <f>+'Exhibit H'!R55</f>
        <v>412.20000000000027</v>
      </c>
      <c r="T129" s="1467"/>
      <c r="U129" s="1467">
        <f>+'Exhibit H'!T55</f>
        <v>44.599999999999909</v>
      </c>
      <c r="V129" s="1467"/>
      <c r="W129" s="1467">
        <f>+'Exhibit H'!V55</f>
        <v>719.89999999999964</v>
      </c>
      <c r="X129" s="1467"/>
      <c r="Y129" s="1467"/>
      <c r="Z129" s="1467"/>
      <c r="AA129" s="2868"/>
      <c r="AB129" s="3263">
        <f>ROUND(SUM(C129:Y129),1)</f>
        <v>2276.6999999999998</v>
      </c>
      <c r="AC129" s="3263"/>
      <c r="AD129" s="3544"/>
      <c r="AE129" s="2086">
        <f>+'Exhibit H'!AD55</f>
        <v>2498</v>
      </c>
      <c r="AF129" s="3265"/>
      <c r="AG129" s="3265"/>
      <c r="AH129" s="3263">
        <f>ROUND(SUM(AB129-AE129),1)</f>
        <v>-221.3</v>
      </c>
      <c r="AI129" s="3221"/>
      <c r="AJ129" s="1859">
        <f>ROUND(SUM(AH129/ABS(AE129)),3)</f>
        <v>-8.8999999999999996E-2</v>
      </c>
    </row>
    <row r="130" spans="1:59" ht="15">
      <c r="A130" s="1468" t="s">
        <v>141</v>
      </c>
      <c r="B130" s="1468"/>
      <c r="C130" s="1467">
        <f>'Exhibit G State'!D104</f>
        <v>0</v>
      </c>
      <c r="D130" s="1467"/>
      <c r="E130" s="1467">
        <f>'Exhibit G State'!F104</f>
        <v>0</v>
      </c>
      <c r="F130" s="1467"/>
      <c r="G130" s="1467">
        <f>'Exhibit G State'!H104</f>
        <v>0.1</v>
      </c>
      <c r="H130" s="1467"/>
      <c r="I130" s="1467">
        <f>'Exhibit G State'!J104</f>
        <v>0</v>
      </c>
      <c r="J130" s="1467"/>
      <c r="K130" s="1467">
        <f>'Exhibit G State'!L104</f>
        <v>-0.1</v>
      </c>
      <c r="L130" s="1467"/>
      <c r="M130" s="1467">
        <f>'Exhibit G State'!N104</f>
        <v>0</v>
      </c>
      <c r="N130" s="1467"/>
      <c r="O130" s="1467">
        <f>'Exhibit G State'!P104</f>
        <v>0</v>
      </c>
      <c r="P130" s="1467"/>
      <c r="Q130" s="1467">
        <f>'Exhibit G State'!R104</f>
        <v>0</v>
      </c>
      <c r="R130" s="1467"/>
      <c r="S130" s="1467">
        <f>'Exhibit G State'!T104</f>
        <v>0</v>
      </c>
      <c r="T130" s="1467"/>
      <c r="U130" s="1467">
        <f>'Exhibit G State'!V104</f>
        <v>0</v>
      </c>
      <c r="V130" s="1467"/>
      <c r="W130" s="1467">
        <f>'Exhibit G State'!X104</f>
        <v>0</v>
      </c>
      <c r="X130" s="1467"/>
      <c r="Y130" s="1467"/>
      <c r="Z130" s="1467"/>
      <c r="AA130" s="2867"/>
      <c r="AB130" s="3263">
        <f>ROUND(SUM(C130:Y130),1)</f>
        <v>0</v>
      </c>
      <c r="AC130" s="3263"/>
      <c r="AD130" s="3544"/>
      <c r="AE130" s="2086">
        <f>+'Exhibit H'!AD56</f>
        <v>0</v>
      </c>
      <c r="AF130" s="3265"/>
      <c r="AG130" s="3265"/>
      <c r="AH130" s="3263">
        <f>ROUND(SUM(AB130-AE130),1)</f>
        <v>0</v>
      </c>
      <c r="AI130" s="3221"/>
      <c r="AJ130" s="1765">
        <f>ROUND(IF(AE130=0,0,AH130/ABS(AE130)),3)</f>
        <v>0</v>
      </c>
    </row>
    <row r="131" spans="1:59" ht="16.5" customHeight="1">
      <c r="A131" s="1468"/>
      <c r="B131" s="1468"/>
      <c r="C131" s="3691"/>
      <c r="D131" s="1467"/>
      <c r="E131" s="3691"/>
      <c r="F131" s="1467"/>
      <c r="G131" s="3691"/>
      <c r="H131" s="1467"/>
      <c r="I131" s="3691"/>
      <c r="J131" s="1467"/>
      <c r="K131" s="3691"/>
      <c r="L131" s="1467"/>
      <c r="M131" s="3691"/>
      <c r="N131" s="1467"/>
      <c r="O131" s="3691"/>
      <c r="P131" s="1467"/>
      <c r="Q131" s="3691"/>
      <c r="R131" s="1467"/>
      <c r="S131" s="3691"/>
      <c r="T131" s="1467"/>
      <c r="U131" s="3691"/>
      <c r="V131" s="1467"/>
      <c r="W131" s="3691"/>
      <c r="X131" s="1467"/>
      <c r="Y131" s="3691"/>
      <c r="Z131" s="1467"/>
      <c r="AA131" s="2868"/>
      <c r="AB131" s="3692"/>
      <c r="AC131" s="3263"/>
      <c r="AD131" s="3544"/>
      <c r="AE131" s="3692"/>
      <c r="AF131" s="3265"/>
      <c r="AG131" s="3265"/>
      <c r="AH131" s="3692"/>
      <c r="AI131" s="3221"/>
      <c r="AJ131" s="3693"/>
    </row>
    <row r="132" spans="1:59" ht="16.5" customHeight="1">
      <c r="A132" s="2055" t="s">
        <v>58</v>
      </c>
      <c r="B132" s="1468"/>
      <c r="C132" s="2878">
        <f>ROUND(SUM(C123:C130),1)</f>
        <v>7004.2</v>
      </c>
      <c r="D132" s="2876"/>
      <c r="E132" s="2878">
        <f>ROUND(SUM(E123:E130),1)</f>
        <v>11902.1</v>
      </c>
      <c r="F132" s="2876"/>
      <c r="G132" s="2878">
        <f>ROUND(SUM(G123:G130),1)</f>
        <v>7955.4</v>
      </c>
      <c r="H132" s="2876"/>
      <c r="I132" s="2878">
        <f>ROUND(SUM(I123:I130),1)</f>
        <v>6350.2</v>
      </c>
      <c r="J132" s="2876"/>
      <c r="K132" s="2878">
        <f>ROUND(SUM(K123:K130),1)</f>
        <v>5673.3</v>
      </c>
      <c r="L132" s="2876"/>
      <c r="M132" s="2878">
        <f>ROUND(SUM(M123:M130),1)</f>
        <v>10112.299999999999</v>
      </c>
      <c r="N132" s="2876"/>
      <c r="O132" s="2878">
        <f>ROUND(SUM(O123:O130),1)</f>
        <v>6984.1</v>
      </c>
      <c r="P132" s="2876"/>
      <c r="Q132" s="2878">
        <f>ROUND(SUM(Q123:Q130),1)</f>
        <v>7559.2</v>
      </c>
      <c r="R132" s="2876"/>
      <c r="S132" s="2878">
        <f>ROUND(SUM(S123:S130),1)</f>
        <v>8113.6</v>
      </c>
      <c r="T132" s="2876"/>
      <c r="U132" s="2878">
        <f>ROUND(SUM(U123:U130),1)</f>
        <v>8073</v>
      </c>
      <c r="V132" s="2876"/>
      <c r="W132" s="2878">
        <f>ROUND(SUM(W123:W130),1)</f>
        <v>6058.1</v>
      </c>
      <c r="X132" s="2876"/>
      <c r="Y132" s="2878">
        <f>ROUND(SUM(Y123:Y130),1)</f>
        <v>0</v>
      </c>
      <c r="Z132" s="2876"/>
      <c r="AA132" s="2877"/>
      <c r="AB132" s="3267">
        <f>ROUND(SUM(AB123:AB130),1)</f>
        <v>85785.5</v>
      </c>
      <c r="AC132" s="3552"/>
      <c r="AD132" s="3551"/>
      <c r="AE132" s="1597">
        <f>ROUND(SUM(AE123:AE131),1)</f>
        <v>82850.7</v>
      </c>
      <c r="AF132" s="3264"/>
      <c r="AG132" s="3264"/>
      <c r="AH132" s="1597">
        <f>ROUND(SUM(AH123:AH131),1)</f>
        <v>2934.8</v>
      </c>
      <c r="AI132" s="3205"/>
      <c r="AJ132" s="2628">
        <f>ROUND(SUM(AH132/ABS(AE132)),3)</f>
        <v>3.5000000000000003E-2</v>
      </c>
      <c r="AK132" s="2862"/>
      <c r="AL132" s="2862"/>
      <c r="AM132" s="2862"/>
      <c r="AN132" s="2862"/>
      <c r="AO132" s="2862"/>
      <c r="AP132" s="2862"/>
      <c r="AQ132" s="2862"/>
      <c r="AR132" s="2862"/>
    </row>
    <row r="133" spans="1:59" ht="16.5" customHeight="1">
      <c r="A133" s="2055"/>
      <c r="B133" s="1468"/>
      <c r="C133" s="1467"/>
      <c r="D133" s="1467"/>
      <c r="E133" s="1467"/>
      <c r="F133" s="1467"/>
      <c r="G133" s="1467"/>
      <c r="H133" s="1467"/>
      <c r="I133" s="1467"/>
      <c r="J133" s="1467"/>
      <c r="K133" s="1467"/>
      <c r="L133" s="1467"/>
      <c r="M133" s="1467"/>
      <c r="N133" s="1467"/>
      <c r="O133" s="1467"/>
      <c r="P133" s="1467"/>
      <c r="Q133" s="1467"/>
      <c r="R133" s="1467"/>
      <c r="S133" s="1467"/>
      <c r="T133" s="1467"/>
      <c r="U133" s="1467"/>
      <c r="V133" s="1467"/>
      <c r="W133" s="1467"/>
      <c r="X133" s="1467"/>
      <c r="Y133" s="1467"/>
      <c r="Z133" s="1467"/>
      <c r="AA133" s="2868"/>
      <c r="AB133" s="3263"/>
      <c r="AC133" s="3263"/>
      <c r="AD133" s="3544"/>
      <c r="AE133" s="3263"/>
      <c r="AF133" s="3265"/>
      <c r="AG133" s="3265"/>
      <c r="AH133" s="2045"/>
      <c r="AI133" s="3221"/>
      <c r="AJ133" s="3505"/>
    </row>
    <row r="134" spans="1:59" ht="16.5" customHeight="1">
      <c r="A134" s="2055" t="s">
        <v>44</v>
      </c>
      <c r="B134" s="1468"/>
      <c r="C134" s="1467"/>
      <c r="D134" s="1467"/>
      <c r="E134" s="1467"/>
      <c r="F134" s="1467"/>
      <c r="G134" s="1467"/>
      <c r="H134" s="1467"/>
      <c r="I134" s="1467"/>
      <c r="J134" s="1467"/>
      <c r="K134" s="1467"/>
      <c r="L134" s="1467"/>
      <c r="M134" s="1467"/>
      <c r="N134" s="1467"/>
      <c r="O134" s="1467"/>
      <c r="P134" s="1467"/>
      <c r="Q134" s="1467"/>
      <c r="R134" s="1467"/>
      <c r="S134" s="1467"/>
      <c r="T134" s="1467"/>
      <c r="U134" s="1467"/>
      <c r="V134" s="1467"/>
      <c r="W134" s="1467"/>
      <c r="X134" s="1467"/>
      <c r="Y134" s="1467"/>
      <c r="Z134" s="1467"/>
      <c r="AA134" s="2868"/>
      <c r="AB134" s="3263"/>
      <c r="AC134" s="3263"/>
      <c r="AD134" s="3544"/>
      <c r="AE134" s="3263"/>
      <c r="AF134" s="3265"/>
      <c r="AG134" s="3265"/>
      <c r="AH134" s="2045"/>
      <c r="AI134" s="3221"/>
      <c r="AJ134" s="3505"/>
    </row>
    <row r="135" spans="1:59" ht="16.5" customHeight="1">
      <c r="A135" s="2055" t="s">
        <v>45</v>
      </c>
      <c r="B135" s="1468"/>
      <c r="C135" s="2878">
        <f>ROUND(SUM(C109-C132),1)</f>
        <v>6784.3</v>
      </c>
      <c r="D135" s="2876"/>
      <c r="E135" s="2878">
        <f>ROUND(SUM(E109-E132),1)</f>
        <v>-6391</v>
      </c>
      <c r="F135" s="2876"/>
      <c r="G135" s="2878">
        <f>ROUND(SUM(G109-G132),1)</f>
        <v>2256.3000000000002</v>
      </c>
      <c r="H135" s="2876"/>
      <c r="I135" s="2878">
        <f>ROUND(SUM(I109-I132),1)</f>
        <v>562.20000000000005</v>
      </c>
      <c r="J135" s="2876"/>
      <c r="K135" s="2878">
        <f>ROUND(SUM(K109-K132),1)</f>
        <v>453.4</v>
      </c>
      <c r="L135" s="2876"/>
      <c r="M135" s="2878">
        <f>ROUND(SUM(M109-M132),1)</f>
        <v>344.4</v>
      </c>
      <c r="N135" s="2876"/>
      <c r="O135" s="2878">
        <f>ROUND(SUM(O109-O132),1)</f>
        <v>-780.1</v>
      </c>
      <c r="P135" s="2876"/>
      <c r="Q135" s="2878">
        <f>ROUND(SUM(Q109-Q132),1)</f>
        <v>-1822.5</v>
      </c>
      <c r="R135" s="2876"/>
      <c r="S135" s="2878">
        <f>ROUND(SUM(S109-S132),1)</f>
        <v>1498.1</v>
      </c>
      <c r="T135" s="2876"/>
      <c r="U135" s="2878">
        <f>ROUND(SUM(U109-U132),1)</f>
        <v>4989.7</v>
      </c>
      <c r="V135" s="2876"/>
      <c r="W135" s="2878">
        <f>ROUND(SUM(W109-W132),1)</f>
        <v>1143</v>
      </c>
      <c r="X135" s="2876"/>
      <c r="Y135" s="2878">
        <f>ROUND(SUM(Y109-Y132),1)</f>
        <v>0</v>
      </c>
      <c r="Z135" s="2876"/>
      <c r="AA135" s="2877"/>
      <c r="AB135" s="3267">
        <f>ROUND(SUM(AB109-AB132),1)</f>
        <v>9037.7999999999993</v>
      </c>
      <c r="AC135" s="3552"/>
      <c r="AD135" s="3551"/>
      <c r="AE135" s="3267">
        <f>ROUND(SUM(AE109-AE132),1)</f>
        <v>5828</v>
      </c>
      <c r="AF135" s="3264"/>
      <c r="AG135" s="3264"/>
      <c r="AH135" s="3511">
        <f>ROUND(SUM(AB135-AE135),1)</f>
        <v>3209.8</v>
      </c>
      <c r="AI135" s="3205"/>
      <c r="AJ135" s="2233">
        <f>ROUND(SUM(AH135/ABS(AE135)),3)</f>
        <v>0.55100000000000005</v>
      </c>
      <c r="AK135" s="2862"/>
      <c r="AL135" s="2862"/>
    </row>
    <row r="136" spans="1:59" ht="16.5" customHeight="1">
      <c r="A136" s="1885"/>
      <c r="B136" s="1468"/>
      <c r="C136" s="2871"/>
      <c r="D136" s="1467"/>
      <c r="E136" s="2871"/>
      <c r="F136" s="1467"/>
      <c r="G136" s="2871"/>
      <c r="H136" s="1467"/>
      <c r="I136" s="2871"/>
      <c r="J136" s="1467"/>
      <c r="K136" s="2871"/>
      <c r="L136" s="1467"/>
      <c r="M136" s="2871"/>
      <c r="N136" s="1467"/>
      <c r="O136" s="2871"/>
      <c r="P136" s="1467"/>
      <c r="Q136" s="2871"/>
      <c r="R136" s="1467"/>
      <c r="S136" s="2871"/>
      <c r="T136" s="1467"/>
      <c r="U136" s="2871"/>
      <c r="V136" s="1467"/>
      <c r="W136" s="2871"/>
      <c r="X136" s="1467"/>
      <c r="Y136" s="2871"/>
      <c r="Z136" s="2879"/>
      <c r="AA136" s="2868"/>
      <c r="AB136" s="2615"/>
      <c r="AC136" s="3263"/>
      <c r="AD136" s="3544"/>
      <c r="AE136" s="2615"/>
      <c r="AF136" s="3265"/>
      <c r="AG136" s="3265"/>
      <c r="AH136" s="2045"/>
      <c r="AI136" s="3221"/>
      <c r="AJ136" s="3505"/>
    </row>
    <row r="137" spans="1:59" ht="16.5" customHeight="1">
      <c r="A137" s="2055" t="s">
        <v>46</v>
      </c>
      <c r="B137" s="1468"/>
      <c r="C137" s="2866"/>
      <c r="D137" s="1467"/>
      <c r="E137" s="2866"/>
      <c r="F137" s="2880"/>
      <c r="G137" s="2866"/>
      <c r="H137" s="2880"/>
      <c r="I137" s="2881"/>
      <c r="J137" s="2880"/>
      <c r="K137" s="2881"/>
      <c r="L137" s="2880"/>
      <c r="M137" s="2881"/>
      <c r="N137" s="2880"/>
      <c r="O137" s="2881"/>
      <c r="P137" s="2880"/>
      <c r="Q137" s="2881"/>
      <c r="R137" s="2880"/>
      <c r="S137" s="2881"/>
      <c r="T137" s="2880"/>
      <c r="U137" s="2881"/>
      <c r="V137" s="1467"/>
      <c r="W137" s="2881"/>
      <c r="X137" s="1467"/>
      <c r="Y137" s="2881"/>
      <c r="Z137" s="2882"/>
      <c r="AA137" s="2868"/>
      <c r="AB137" s="3265"/>
      <c r="AC137" s="3553"/>
      <c r="AD137" s="3263"/>
      <c r="AE137" s="3265"/>
      <c r="AF137" s="3265"/>
      <c r="AG137" s="3265"/>
      <c r="AH137" s="2045"/>
      <c r="AI137" s="3221"/>
      <c r="AJ137" s="3505"/>
    </row>
    <row r="138" spans="1:59" ht="16.5" customHeight="1">
      <c r="A138" s="1468" t="s">
        <v>1195</v>
      </c>
      <c r="B138" s="1468"/>
      <c r="C138" s="2883">
        <f>+'Exhibit F'!D124+'Exhibit F'!D125+'Exhibit F'!D126+'Exhibit F'!D127+'Exhibit G State'!D112+'Exhibit H'!B64</f>
        <v>5706.6000000000013</v>
      </c>
      <c r="D138" s="1467"/>
      <c r="E138" s="2883">
        <f>+'Exhibit F'!F124+'Exhibit F'!F125+'Exhibit F'!F126+'Exhibit F'!F127+'Exhibit G State'!F112+'Exhibit H'!D64</f>
        <v>2416.9999999999995</v>
      </c>
      <c r="F138" s="1467"/>
      <c r="G138" s="2883">
        <f>+'Exhibit F'!H124+'Exhibit F'!H125+'Exhibit F'!H126+'Exhibit F'!H127+'Exhibit G State'!H112+'Exhibit H'!F64</f>
        <v>4298.6000000000004</v>
      </c>
      <c r="H138" s="1467"/>
      <c r="I138" s="2883">
        <f>+'Exhibit F'!J124+'Exhibit F'!J125+'Exhibit F'!J126+'Exhibit F'!J127+'Exhibit G State'!J112+'Exhibit H'!H64</f>
        <v>3019.8000000000011</v>
      </c>
      <c r="J138" s="1467"/>
      <c r="K138" s="2883">
        <f>+'Exhibit F'!L124+'Exhibit F'!L125+'Exhibit F'!L126+'Exhibit F'!L127+'Exhibit G State'!L112+'Exhibit H'!J64</f>
        <v>2505.2999999999997</v>
      </c>
      <c r="L138" s="1467"/>
      <c r="M138" s="2883">
        <f>+'Exhibit F'!N124+'Exhibit F'!N125+'Exhibit F'!N126+'Exhibit F'!N127+'Exhibit G State'!N112+'Exhibit H'!L64</f>
        <v>4021.0999999999972</v>
      </c>
      <c r="N138" s="1467"/>
      <c r="O138" s="2883">
        <f>+'Exhibit F'!P124+'Exhibit F'!P125+'Exhibit F'!P126+'Exhibit F'!P127+'Exhibit G State'!P112+'Exhibit H'!N64</f>
        <v>2373.2000000000016</v>
      </c>
      <c r="P138" s="1467"/>
      <c r="Q138" s="2883">
        <f>+'Exhibit F'!R124+'Exhibit F'!R125+'Exhibit F'!R126+'Exhibit F'!R127+'Exhibit G State'!R112+'Exhibit H'!P64</f>
        <v>1883.800000000002</v>
      </c>
      <c r="R138" s="1467"/>
      <c r="S138" s="2883">
        <f>+'Exhibit F'!T124+'Exhibit F'!T125+'Exhibit F'!T126+'Exhibit F'!T127+'Exhibit G State'!T112+'Exhibit H'!R64</f>
        <v>3514.3999999999969</v>
      </c>
      <c r="T138" s="1467"/>
      <c r="U138" s="2883">
        <f>+'Exhibit F'!V124+'Exhibit F'!V125+'Exhibit F'!V126+'Exhibit F'!V127+'Exhibit G State'!V112+'Exhibit H'!T64</f>
        <v>4658.8000000000011</v>
      </c>
      <c r="V138" s="1467"/>
      <c r="W138" s="2883">
        <f>+'Exhibit F'!X124+'Exhibit F'!X125+'Exhibit F'!X126+'Exhibit F'!X127+'Exhibit G State'!X112+'Exhibit H'!V64</f>
        <v>1984.2000000000019</v>
      </c>
      <c r="X138" s="1467"/>
      <c r="Y138" s="2883"/>
      <c r="Z138" s="1467"/>
      <c r="AA138" s="2868"/>
      <c r="AB138" s="3263">
        <f>ROUND(SUM(C138:Y138),1)</f>
        <v>36382.800000000003</v>
      </c>
      <c r="AC138" s="3263"/>
      <c r="AD138" s="3546"/>
      <c r="AE138" s="3263">
        <f>'Exhibit F'!AF124+'Exhibit F'!AF125+'Exhibit F'!AF126+'Exhibit F'!AF127+'Exhibit G State'!AG112+'Exhibit H'!AD64</f>
        <v>31675.100000000002</v>
      </c>
      <c r="AF138" s="3265"/>
      <c r="AG138" s="3265"/>
      <c r="AH138" s="3263">
        <f>ROUND(SUM(AB138-AE138),1)</f>
        <v>4707.7</v>
      </c>
      <c r="AI138" s="3221"/>
      <c r="AJ138" s="1859">
        <f>ROUND(SUM(AH138/ABS(AE138)),3)</f>
        <v>0.14899999999999999</v>
      </c>
    </row>
    <row r="139" spans="1:59" ht="16.5" customHeight="1">
      <c r="A139" s="1468" t="s">
        <v>1196</v>
      </c>
      <c r="C139" s="2884">
        <f>+'Exhibit F'!D128+'Exhibit F'!D129+'Exhibit F'!D130+'Exhibit F'!D131+'Exhibit G State'!D113+'Exhibit H'!B65</f>
        <v>-6134</v>
      </c>
      <c r="D139" s="2597"/>
      <c r="E139" s="2884">
        <f>+'Exhibit F'!F128+'Exhibit F'!F129+'Exhibit F'!F130+'Exhibit F'!F131+'Exhibit G State'!F113+'Exhibit H'!D65</f>
        <v>-2500.7000000000003</v>
      </c>
      <c r="F139" s="2597"/>
      <c r="G139" s="2884">
        <f>+'Exhibit F'!H128+'Exhibit F'!H129+'Exhibit F'!H130+'Exhibit F'!H131+'Exhibit G State'!H113+'Exhibit H'!F65</f>
        <v>-4748.7</v>
      </c>
      <c r="H139" s="2597"/>
      <c r="I139" s="2884">
        <f>+'Exhibit F'!J128+'Exhibit F'!J129+'Exhibit F'!J130+'Exhibit F'!J131+'Exhibit G State'!J113+'Exhibit H'!H65</f>
        <v>-3125.5999999999995</v>
      </c>
      <c r="J139" s="2597"/>
      <c r="K139" s="2884">
        <f>+'Exhibit F'!L128+'Exhibit F'!L129+'Exhibit F'!L130+'Exhibit F'!L131+'Exhibit G State'!L113+'Exhibit H'!J65</f>
        <v>-2729.3999999999992</v>
      </c>
      <c r="L139" s="2597"/>
      <c r="M139" s="2884">
        <f>+'Exhibit F'!N128+'Exhibit F'!N129+'Exhibit F'!N130+'Exhibit F'!N131+'Exhibit G State'!N113+'Exhibit H'!L65</f>
        <v>-4467.3000000000011</v>
      </c>
      <c r="N139" s="2597"/>
      <c r="O139" s="2884">
        <f>+'Exhibit F'!P128+'Exhibit F'!P129+'Exhibit F'!P130+'Exhibit F'!P131+'Exhibit G State'!P113+'Exhibit H'!N65</f>
        <v>-1456.6000000000017</v>
      </c>
      <c r="P139" s="2597"/>
      <c r="Q139" s="2884">
        <f>+'Exhibit F'!R128+'Exhibit F'!R129+'Exhibit F'!R130+'Exhibit F'!R131+'Exhibit G State'!R113+'Exhibit H'!P65</f>
        <v>-2236.3999999999987</v>
      </c>
      <c r="R139" s="2597"/>
      <c r="S139" s="2884">
        <f>+'Exhibit F'!T128+'Exhibit F'!T129+'Exhibit F'!T130+'Exhibit F'!T131+'Exhibit G State'!T113+'Exhibit H'!R65</f>
        <v>-3584.300000000002</v>
      </c>
      <c r="T139" s="2597"/>
      <c r="U139" s="2884">
        <f>+'Exhibit F'!V128+'Exhibit F'!V129+'Exhibit F'!V130+'Exhibit F'!V131+'Exhibit G State'!V113+'Exhibit H'!T65</f>
        <v>-4662.6000000000004</v>
      </c>
      <c r="V139" s="2597"/>
      <c r="W139" s="2884">
        <f>+'Exhibit F'!X128+'Exhibit F'!X129+'Exhibit F'!X130+'Exhibit F'!X131+'Exhibit G State'!X113+'Exhibit H'!V65</f>
        <v>-2125.1000000000022</v>
      </c>
      <c r="X139" s="2597"/>
      <c r="Y139" s="2884"/>
      <c r="Z139" s="2597"/>
      <c r="AA139" s="2885"/>
      <c r="AB139" s="3266">
        <f>ROUND(SUM(C139:Y139),1)</f>
        <v>-37770.699999999997</v>
      </c>
      <c r="AC139" s="2605"/>
      <c r="AD139" s="3554"/>
      <c r="AE139" s="3266">
        <f>'Exhibit F'!AF128+'Exhibit F'!AF129+'Exhibit F'!AF130+'Exhibit F'!AF131+'Exhibit G State'!AG113+'Exhibit H'!AD65</f>
        <v>-31609.4</v>
      </c>
      <c r="AF139" s="2615"/>
      <c r="AG139" s="2615"/>
      <c r="AH139" s="3266">
        <f>ROUND(SUM(-AB139+AE139),1)</f>
        <v>6161.3</v>
      </c>
      <c r="AI139" s="3505"/>
      <c r="AJ139" s="3512">
        <f>ROUND(SUM(AH139/ABS(AE139)),3)</f>
        <v>0.19500000000000001</v>
      </c>
    </row>
    <row r="140" spans="1:59" ht="16.5" customHeight="1">
      <c r="A140" s="1468"/>
      <c r="C140" s="2866"/>
      <c r="D140" s="2597"/>
      <c r="E140" s="2866"/>
      <c r="F140" s="2597"/>
      <c r="G140" s="2866"/>
      <c r="H140" s="2597"/>
      <c r="I140" s="2866"/>
      <c r="J140" s="2597"/>
      <c r="K140" s="2866"/>
      <c r="L140" s="2597"/>
      <c r="M140" s="2866"/>
      <c r="N140" s="2597"/>
      <c r="O140" s="2866"/>
      <c r="P140" s="2597"/>
      <c r="Q140" s="2866"/>
      <c r="R140" s="2597"/>
      <c r="S140" s="2866"/>
      <c r="T140" s="2597"/>
      <c r="U140" s="2866"/>
      <c r="V140" s="2597"/>
      <c r="W140" s="2866"/>
      <c r="X140" s="2597"/>
      <c r="Y140" s="2866"/>
      <c r="Z140" s="2597"/>
      <c r="AA140" s="2885"/>
      <c r="AB140" s="3265"/>
      <c r="AC140" s="2605"/>
      <c r="AD140" s="3554"/>
      <c r="AE140" s="3265"/>
      <c r="AF140" s="2615"/>
      <c r="AG140" s="2615"/>
      <c r="AH140" s="3265"/>
      <c r="AI140" s="3505"/>
      <c r="AJ140" s="1476"/>
    </row>
    <row r="141" spans="1:59" ht="16.5" customHeight="1">
      <c r="A141" s="2055" t="s">
        <v>50</v>
      </c>
      <c r="C141" s="2878">
        <f>ROUND(SUM(C138:C139),1)</f>
        <v>-427.4</v>
      </c>
      <c r="D141" s="2886"/>
      <c r="E141" s="2878">
        <f>ROUND(SUM(E138:E139),1)</f>
        <v>-83.7</v>
      </c>
      <c r="F141" s="2886"/>
      <c r="G141" s="2878">
        <f>ROUND(SUM(G138:G139),1)</f>
        <v>-450.1</v>
      </c>
      <c r="H141" s="2886"/>
      <c r="I141" s="2878">
        <f>ROUND(SUM(I138:I139),1)</f>
        <v>-105.8</v>
      </c>
      <c r="J141" s="2886"/>
      <c r="K141" s="2878">
        <f>ROUND(SUM(K138:K139),1)</f>
        <v>-224.1</v>
      </c>
      <c r="L141" s="2886"/>
      <c r="M141" s="2878">
        <f>ROUND(SUM(M138:M139),1)</f>
        <v>-446.2</v>
      </c>
      <c r="N141" s="2886"/>
      <c r="O141" s="2878">
        <f>ROUND(SUM(O138:O139),1)</f>
        <v>916.6</v>
      </c>
      <c r="P141" s="2886"/>
      <c r="Q141" s="2878">
        <f>ROUND(SUM(Q138:Q139),1)</f>
        <v>-352.6</v>
      </c>
      <c r="R141" s="2886"/>
      <c r="S141" s="2878">
        <f>ROUND(SUM(S138:S139),1)</f>
        <v>-69.900000000000006</v>
      </c>
      <c r="T141" s="2886"/>
      <c r="U141" s="2878">
        <f>ROUND(SUM(U138:U139),1)</f>
        <v>-3.8</v>
      </c>
      <c r="V141" s="2886"/>
      <c r="W141" s="2878">
        <f>ROUND(SUM(W138:W139),1)</f>
        <v>-140.9</v>
      </c>
      <c r="X141" s="2886"/>
      <c r="Y141" s="2878">
        <f>ROUND(SUM(Y138:Y139),1)</f>
        <v>0</v>
      </c>
      <c r="Z141" s="2886"/>
      <c r="AA141" s="2887"/>
      <c r="AB141" s="3267">
        <f>ROUND(SUM(AB138:AB139),1)</f>
        <v>-1387.9</v>
      </c>
      <c r="AC141" s="2610"/>
      <c r="AD141" s="3555"/>
      <c r="AE141" s="3267">
        <f>ROUND(SUM(AE138:AE139),1)</f>
        <v>65.7</v>
      </c>
      <c r="AF141" s="3513"/>
      <c r="AG141" s="2615"/>
      <c r="AH141" s="3267">
        <f>ROUND(SUM(AH138-AH139),1)</f>
        <v>-1453.6</v>
      </c>
      <c r="AI141" s="2222"/>
      <c r="AJ141" s="2233">
        <f>-ROUND(SUM(-AH141/ABS(AE141)),3)</f>
        <v>-22.125</v>
      </c>
      <c r="AK141" s="2862"/>
      <c r="AL141" s="2862"/>
    </row>
    <row r="142" spans="1:59" ht="16.5" customHeight="1">
      <c r="A142" s="1885"/>
      <c r="C142" s="2597"/>
      <c r="D142" s="2597"/>
      <c r="E142" s="2597"/>
      <c r="F142" s="2597"/>
      <c r="G142" s="2597"/>
      <c r="H142" s="2597"/>
      <c r="I142" s="2597"/>
      <c r="J142" s="2597"/>
      <c r="K142" s="2597"/>
      <c r="L142" s="2597"/>
      <c r="M142" s="2597"/>
      <c r="N142" s="2597"/>
      <c r="O142" s="2597"/>
      <c r="P142" s="2597"/>
      <c r="Q142" s="2597"/>
      <c r="R142" s="2597"/>
      <c r="S142" s="2597"/>
      <c r="T142" s="2597"/>
      <c r="U142" s="2597"/>
      <c r="V142" s="2597"/>
      <c r="W142" s="2597"/>
      <c r="X142" s="2597"/>
      <c r="Y142" s="2597"/>
      <c r="Z142" s="2597"/>
      <c r="AA142" s="2885"/>
      <c r="AB142" s="2605"/>
      <c r="AC142" s="2605"/>
      <c r="AD142" s="3554"/>
      <c r="AE142" s="2605"/>
      <c r="AF142" s="2615"/>
      <c r="AG142" s="3514"/>
      <c r="AH142" s="2045"/>
      <c r="AI142" s="3505"/>
      <c r="AJ142" s="3505"/>
    </row>
    <row r="143" spans="1:59" ht="16.5" customHeight="1">
      <c r="A143" s="2222" t="s">
        <v>44</v>
      </c>
      <c r="C143" s="2866"/>
      <c r="D143" s="2597"/>
      <c r="E143" s="2866"/>
      <c r="F143" s="2597"/>
      <c r="G143" s="2866"/>
      <c r="H143" s="2597"/>
      <c r="I143" s="2866"/>
      <c r="J143" s="2597"/>
      <c r="K143" s="2866"/>
      <c r="L143" s="2597"/>
      <c r="M143" s="2866"/>
      <c r="N143" s="2597"/>
      <c r="O143" s="2866"/>
      <c r="P143" s="2597"/>
      <c r="Q143" s="2866"/>
      <c r="R143" s="2597"/>
      <c r="S143" s="2866"/>
      <c r="T143" s="2597"/>
      <c r="U143" s="2866"/>
      <c r="V143" s="2597"/>
      <c r="W143" s="2866"/>
      <c r="X143" s="2597"/>
      <c r="Y143" s="2866"/>
      <c r="Z143" s="2597"/>
      <c r="AA143" s="2885"/>
      <c r="AB143" s="3265"/>
      <c r="AC143" s="2605"/>
      <c r="AD143" s="3554"/>
      <c r="AE143" s="3265"/>
      <c r="AF143" s="2615"/>
      <c r="AG143" s="3515"/>
      <c r="AH143" s="2045"/>
      <c r="AI143" s="3505"/>
      <c r="AJ143" s="3505"/>
    </row>
    <row r="144" spans="1:59" ht="16.5" customHeight="1">
      <c r="A144" s="2222" t="s">
        <v>51</v>
      </c>
      <c r="C144" s="2876"/>
      <c r="D144" s="2886"/>
      <c r="E144" s="2876"/>
      <c r="F144" s="2886"/>
      <c r="G144" s="2876"/>
      <c r="H144" s="2886"/>
      <c r="I144" s="2876"/>
      <c r="J144" s="2886"/>
      <c r="K144" s="2876"/>
      <c r="L144" s="2886"/>
      <c r="M144" s="2876"/>
      <c r="N144" s="2886"/>
      <c r="O144" s="2876"/>
      <c r="P144" s="2886"/>
      <c r="Q144" s="2876"/>
      <c r="R144" s="2886"/>
      <c r="S144" s="2876"/>
      <c r="T144" s="2886"/>
      <c r="U144" s="2876"/>
      <c r="V144" s="2886"/>
      <c r="W144" s="2876"/>
      <c r="X144" s="2886"/>
      <c r="Y144" s="2876"/>
      <c r="Z144" s="2886"/>
      <c r="AA144" s="2887"/>
      <c r="AB144" s="3552"/>
      <c r="AC144" s="2610"/>
      <c r="AD144" s="3555"/>
      <c r="AE144" s="3552"/>
      <c r="AF144" s="2615"/>
      <c r="AG144" s="3514"/>
      <c r="AH144" s="2095"/>
      <c r="AI144" s="2222"/>
      <c r="AJ144" s="2222"/>
      <c r="AK144" s="2862"/>
      <c r="AL144" s="2862"/>
      <c r="AM144" s="2862"/>
      <c r="AN144" s="2862"/>
      <c r="AO144" s="2862"/>
      <c r="AP144" s="2862"/>
      <c r="AQ144" s="2862"/>
      <c r="AR144" s="2862"/>
      <c r="AS144" s="2862"/>
      <c r="AT144" s="2862"/>
      <c r="AU144" s="2862"/>
      <c r="AV144" s="2862"/>
      <c r="AW144" s="2862"/>
      <c r="AX144" s="2862"/>
      <c r="AY144" s="2862"/>
      <c r="AZ144" s="2862"/>
      <c r="BA144" s="2862"/>
      <c r="BB144" s="2862"/>
      <c r="BC144" s="2862"/>
      <c r="BD144" s="2862"/>
      <c r="BE144" s="2862"/>
      <c r="BF144" s="2862"/>
      <c r="BG144" s="2862"/>
    </row>
    <row r="145" spans="1:59" ht="16.5" customHeight="1">
      <c r="A145" s="2222" t="s">
        <v>52</v>
      </c>
      <c r="C145" s="2888">
        <f>ROUND(SUM(C135+C141),1)</f>
        <v>6356.9</v>
      </c>
      <c r="D145" s="2886"/>
      <c r="E145" s="2888">
        <f>ROUND(SUM(E135+E141),1)</f>
        <v>-6474.7</v>
      </c>
      <c r="F145" s="2886"/>
      <c r="G145" s="2888">
        <f>ROUND(SUM(G135+G141),1)</f>
        <v>1806.2</v>
      </c>
      <c r="H145" s="2886"/>
      <c r="I145" s="2888">
        <f>ROUND(SUM(I135+I141),1)</f>
        <v>456.4</v>
      </c>
      <c r="J145" s="2886"/>
      <c r="K145" s="2888">
        <f>ROUND(SUM(K135+K141),1)</f>
        <v>229.3</v>
      </c>
      <c r="L145" s="2886"/>
      <c r="M145" s="2888">
        <f>ROUND(SUM(M135+M141),1)</f>
        <v>-101.8</v>
      </c>
      <c r="N145" s="2886"/>
      <c r="O145" s="2888">
        <f>ROUND(SUM(O135+O141),1)</f>
        <v>136.5</v>
      </c>
      <c r="P145" s="2886"/>
      <c r="Q145" s="2888">
        <f>ROUND(SUM(Q135+Q141),1)</f>
        <v>-2175.1</v>
      </c>
      <c r="R145" s="2886"/>
      <c r="S145" s="2888">
        <f>ROUND(SUM(S135+S141),1)</f>
        <v>1428.2</v>
      </c>
      <c r="T145" s="2886"/>
      <c r="U145" s="2888">
        <f>ROUND(SUM(U135+U141),1)</f>
        <v>4985.8999999999996</v>
      </c>
      <c r="V145" s="2886"/>
      <c r="W145" s="2888">
        <f>ROUND(SUM(W135+W141),1)</f>
        <v>1002.1</v>
      </c>
      <c r="X145" s="2886"/>
      <c r="Y145" s="2888">
        <f>ROUND(SUM(Y135+Y141),1)</f>
        <v>0</v>
      </c>
      <c r="Z145" s="2886"/>
      <c r="AA145" s="2887"/>
      <c r="AB145" s="3556">
        <f>ROUND(SUM(AB135+AB141),1)</f>
        <v>7649.9</v>
      </c>
      <c r="AC145" s="2610"/>
      <c r="AD145" s="3555"/>
      <c r="AE145" s="3556">
        <f>ROUND(SUM(AE135+AE141),1)</f>
        <v>5893.7</v>
      </c>
      <c r="AF145" s="2615"/>
      <c r="AG145" s="3516"/>
      <c r="AH145" s="3511">
        <f>ROUND(SUM(AB145-AE145),1)</f>
        <v>1756.2</v>
      </c>
      <c r="AI145" s="2222"/>
      <c r="AJ145" s="2233">
        <f>ROUND(SUM(AH145/ABS(AE145)),3)</f>
        <v>0.29799999999999999</v>
      </c>
      <c r="AK145" s="2862"/>
      <c r="AL145" s="2862"/>
      <c r="AM145" s="2862"/>
      <c r="AN145" s="2862"/>
      <c r="AO145" s="2862"/>
      <c r="AP145" s="2862"/>
      <c r="AQ145" s="2862"/>
      <c r="AR145" s="2862"/>
      <c r="AS145" s="2862"/>
      <c r="AT145" s="2862"/>
      <c r="AU145" s="2862"/>
      <c r="AV145" s="2862"/>
      <c r="AW145" s="2862"/>
      <c r="AX145" s="2862"/>
      <c r="AY145" s="2862"/>
      <c r="AZ145" s="2862"/>
      <c r="BA145" s="2862"/>
      <c r="BB145" s="2862"/>
      <c r="BC145" s="2862"/>
      <c r="BD145" s="2862"/>
      <c r="BE145" s="2862"/>
      <c r="BF145" s="2862"/>
      <c r="BG145" s="2862"/>
    </row>
    <row r="146" spans="1:59" ht="15.75">
      <c r="A146" s="2055"/>
      <c r="C146" s="2856"/>
      <c r="E146" s="2856"/>
      <c r="G146" s="2856"/>
      <c r="I146" s="2856"/>
      <c r="K146" s="2856"/>
      <c r="M146" s="2856"/>
      <c r="O146" s="2856"/>
      <c r="Q146" s="2856"/>
      <c r="S146" s="2856"/>
      <c r="U146" s="2856"/>
      <c r="W146" s="2856"/>
      <c r="Y146" s="2856"/>
      <c r="AA146" s="2890"/>
      <c r="AB146" s="3541"/>
      <c r="AD146" s="3557"/>
      <c r="AE146" s="3574"/>
      <c r="AF146" s="2615"/>
      <c r="AG146" s="3516"/>
      <c r="AH146" s="3505"/>
      <c r="AI146" s="3505"/>
      <c r="AJ146" s="3505"/>
    </row>
    <row r="147" spans="1:59" thickBot="1">
      <c r="A147" s="2891" t="s">
        <v>142</v>
      </c>
      <c r="C147" s="2892">
        <f>ROUND(SUM(C16+C145),1)</f>
        <v>18718.2</v>
      </c>
      <c r="D147" s="2893"/>
      <c r="E147" s="2892">
        <f>ROUND(SUM(E16+E145),1)</f>
        <v>12243.5</v>
      </c>
      <c r="F147" s="2893"/>
      <c r="G147" s="2892">
        <f>ROUND(SUM(G16+G145),1)</f>
        <v>14049.7</v>
      </c>
      <c r="H147" s="2893"/>
      <c r="I147" s="2892">
        <f>ROUND(SUM(I16+I145),1)</f>
        <v>14506.1</v>
      </c>
      <c r="J147" s="2894"/>
      <c r="K147" s="2892">
        <f>ROUND(SUM(K16+K145),1)</f>
        <v>14735.4</v>
      </c>
      <c r="L147" s="2894"/>
      <c r="M147" s="2892">
        <f>ROUND(SUM(M16+M145),1)</f>
        <v>14633.6</v>
      </c>
      <c r="N147" s="2894"/>
      <c r="O147" s="2892">
        <f>ROUND(SUM(O16+O145),1)</f>
        <v>14770.1</v>
      </c>
      <c r="P147" s="2894"/>
      <c r="Q147" s="2892">
        <f>ROUND(SUM(Q16+Q145),1)</f>
        <v>12595</v>
      </c>
      <c r="R147" s="2894"/>
      <c r="S147" s="2892">
        <f>ROUND(SUM(S16+S145),1)</f>
        <v>14023.2</v>
      </c>
      <c r="T147" s="2894"/>
      <c r="U147" s="2892">
        <f>ROUND(SUM(U16+U145),1)</f>
        <v>19009.099999999999</v>
      </c>
      <c r="V147" s="2894"/>
      <c r="W147" s="2892">
        <f>ROUND(SUM(W16+W145),1)</f>
        <v>20011.2</v>
      </c>
      <c r="X147" s="2894"/>
      <c r="Y147" s="2892">
        <f>ROUND(SUM(Y16+Y145),1)</f>
        <v>0</v>
      </c>
      <c r="Z147" s="2893"/>
      <c r="AA147" s="2889"/>
      <c r="AB147" s="3268">
        <f>ROUND(SUM(AB16+AB145),1)</f>
        <v>20011.2</v>
      </c>
      <c r="AC147" s="3558"/>
      <c r="AD147" s="3516"/>
      <c r="AE147" s="3268">
        <f>ROUND(SUM(AE16+AE145),1)</f>
        <v>19500.3</v>
      </c>
      <c r="AF147" s="2615"/>
      <c r="AG147" s="3516"/>
      <c r="AH147" s="3268">
        <f>ROUND(SUM(AB147-AE147),1)</f>
        <v>510.9</v>
      </c>
      <c r="AI147" s="2222"/>
      <c r="AJ147" s="3517">
        <f>ROUND(SUM(AH147/ABS(AE147)),3)</f>
        <v>2.5999999999999999E-2</v>
      </c>
      <c r="AK147" s="2862"/>
    </row>
    <row r="148" spans="1:59" thickTop="1">
      <c r="A148" s="2895"/>
      <c r="C148" s="2874"/>
      <c r="AH148" s="3505"/>
      <c r="AI148" s="3505"/>
      <c r="AJ148" s="3505"/>
    </row>
    <row r="149" spans="1:59" ht="15">
      <c r="A149" s="2308" t="s">
        <v>1183</v>
      </c>
      <c r="AH149" s="3505"/>
      <c r="AI149" s="3505"/>
      <c r="AJ149" s="3505"/>
    </row>
    <row r="150" spans="1:59" ht="15">
      <c r="A150" s="2308" t="s">
        <v>1144</v>
      </c>
      <c r="AH150" s="3505"/>
      <c r="AI150" s="3505"/>
      <c r="AJ150" s="3505"/>
    </row>
    <row r="151" spans="1:59" ht="15">
      <c r="A151" s="2896" t="s">
        <v>1217</v>
      </c>
      <c r="AH151" s="3505"/>
      <c r="AI151" s="3505"/>
      <c r="AJ151" s="3505"/>
    </row>
    <row r="152" spans="1:59" ht="16.5" customHeight="1">
      <c r="AH152" s="3505"/>
      <c r="AI152" s="3505"/>
      <c r="AJ152" s="3505"/>
    </row>
    <row r="153" spans="1:59" ht="16.5" customHeight="1">
      <c r="AH153" s="3505"/>
      <c r="AI153" s="3505"/>
      <c r="AJ153" s="3505"/>
    </row>
    <row r="154" spans="1:59" ht="16.5" customHeight="1">
      <c r="AH154" s="3505"/>
      <c r="AI154" s="3505"/>
      <c r="AJ154" s="3505"/>
    </row>
    <row r="155" spans="1:59" ht="16.5" customHeight="1">
      <c r="AH155" s="3505"/>
      <c r="AI155" s="3505"/>
      <c r="AJ155" s="3505"/>
    </row>
    <row r="156" spans="1:59" ht="16.5" customHeight="1">
      <c r="AH156" s="3505"/>
      <c r="AI156" s="3505"/>
      <c r="AJ156" s="3505"/>
    </row>
    <row r="157" spans="1:59" ht="16.5" customHeight="1">
      <c r="AH157" s="3505"/>
      <c r="AI157" s="3505"/>
      <c r="AJ157" s="3505"/>
    </row>
    <row r="158" spans="1:59" ht="16.5" customHeight="1">
      <c r="AH158" s="3505"/>
      <c r="AI158" s="3505"/>
      <c r="AJ158" s="3505"/>
    </row>
    <row r="159" spans="1:59" ht="16.5" customHeight="1">
      <c r="AH159" s="3505"/>
      <c r="AI159" s="3505"/>
      <c r="AJ159" s="3505"/>
    </row>
    <row r="160" spans="1:59" ht="16.5" customHeight="1">
      <c r="AH160" s="3505"/>
      <c r="AI160" s="3505"/>
      <c r="AJ160" s="3505"/>
    </row>
    <row r="161" spans="34:36" ht="16.5" customHeight="1">
      <c r="AH161" s="3505"/>
      <c r="AI161" s="3505"/>
      <c r="AJ161" s="3505"/>
    </row>
    <row r="162" spans="34:36" ht="16.5" customHeight="1">
      <c r="AH162" s="3505"/>
      <c r="AI162" s="3505"/>
      <c r="AJ162" s="3505"/>
    </row>
    <row r="163" spans="34:36" ht="16.5" customHeight="1">
      <c r="AH163" s="3505"/>
      <c r="AI163" s="3505"/>
      <c r="AJ163" s="3505"/>
    </row>
    <row r="164" spans="34:36" ht="16.5" customHeight="1">
      <c r="AH164" s="3505"/>
      <c r="AI164" s="3505"/>
      <c r="AJ164" s="3505"/>
    </row>
    <row r="165" spans="34:36" ht="16.5" customHeight="1">
      <c r="AH165" s="3505"/>
      <c r="AI165" s="3505"/>
      <c r="AJ165" s="3505"/>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5" max="35" man="1"/>
  </rowBreaks>
  <ignoredErrors>
    <ignoredError sqref="AJ27:AJ34" unlockedFormula="1"/>
    <ignoredError sqref="AH24 AH35:AI35 AJ55 AJ35 AJ38:AJ39 AJ94 AH95 AB26" formula="1"/>
    <ignoredError sqref="AJ85 AJ75:AJ77 AJ72 AJ69 AJ71 AJ74 AJ114 AJ36:AJ37"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4"/>
  <sheetViews>
    <sheetView showGridLines="0" zoomScale="80" zoomScaleNormal="85" workbookViewId="0"/>
  </sheetViews>
  <sheetFormatPr defaultColWidth="8.88671875" defaultRowHeight="12.75"/>
  <cols>
    <col min="1" max="1" width="2.5546875" style="2469" customWidth="1"/>
    <col min="2" max="2" width="48.5546875" style="2469" customWidth="1"/>
    <col min="3" max="3" width="1.109375" style="2469" customWidth="1"/>
    <col min="4" max="4" width="12.44140625" style="2469" bestFit="1" customWidth="1"/>
    <col min="5" max="5" width="1.88671875" style="2469" customWidth="1"/>
    <col min="6" max="6" width="12" style="2469" customWidth="1"/>
    <col min="7" max="7" width="1.88671875" style="2469" customWidth="1"/>
    <col min="8" max="8" width="12.109375" style="2469" customWidth="1"/>
    <col min="9" max="9" width="1.88671875" style="2469" customWidth="1"/>
    <col min="10" max="10" width="13.88671875" style="2470" customWidth="1"/>
    <col min="11" max="11" width="1.88671875" style="2469" customWidth="1"/>
    <col min="12" max="12" width="12.109375" style="2469" bestFit="1" customWidth="1"/>
    <col min="13" max="13" width="1.88671875" style="2469" customWidth="1"/>
    <col min="14" max="14" width="13.88671875" style="2469" customWidth="1"/>
    <col min="15" max="15" width="1.88671875" style="2469" customWidth="1"/>
    <col min="16" max="16" width="12.109375" style="2471" customWidth="1"/>
    <col min="17" max="17" width="1.88671875" style="2469" customWidth="1"/>
    <col min="18" max="18" width="12.109375" style="2469" customWidth="1"/>
    <col min="19" max="19" width="1.88671875" style="2469" customWidth="1"/>
    <col min="20" max="20" width="11.88671875" style="2469" customWidth="1"/>
    <col min="21" max="21" width="1.88671875" style="2469" customWidth="1"/>
    <col min="22" max="22" width="12.109375" style="2469" customWidth="1"/>
    <col min="23" max="23" width="1.88671875" style="2469" customWidth="1"/>
    <col min="24" max="24" width="12.88671875" style="2469" customWidth="1"/>
    <col min="25" max="25" width="1.88671875" style="2469" customWidth="1"/>
    <col min="26" max="26" width="10.88671875" style="2469" customWidth="1"/>
    <col min="27" max="27" width="1.5546875" style="2469" customWidth="1"/>
    <col min="28" max="28" width="1.88671875" style="2469" customWidth="1"/>
    <col min="29" max="29" width="12.109375" style="2471" bestFit="1" customWidth="1"/>
    <col min="30" max="30" width="1.44140625" style="2471" customWidth="1"/>
    <col min="31" max="31" width="1.109375" style="2471" customWidth="1"/>
    <col min="32" max="32" width="12.109375" style="2471" bestFit="1" customWidth="1"/>
    <col min="33" max="33" width="1" style="2469" customWidth="1"/>
    <col min="34" max="34" width="1.109375" style="2469" customWidth="1"/>
    <col min="35" max="35" width="13.109375" style="2469" bestFit="1" customWidth="1"/>
    <col min="36" max="36" width="1" style="2472" customWidth="1"/>
    <col min="37" max="37" width="13.88671875" style="2473" bestFit="1" customWidth="1"/>
    <col min="38" max="38" width="10.109375" style="2469" customWidth="1"/>
    <col min="39" max="16384" width="8.88671875" style="2469"/>
  </cols>
  <sheetData>
    <row r="1" spans="1:37" ht="15">
      <c r="B1" s="2285" t="s">
        <v>979</v>
      </c>
    </row>
    <row r="2" spans="1:37">
      <c r="A2" s="2474"/>
      <c r="B2" s="2070"/>
      <c r="C2" s="2070"/>
      <c r="D2" s="2070"/>
      <c r="E2" s="2070"/>
      <c r="F2" s="2070"/>
      <c r="G2" s="2070"/>
      <c r="H2" s="2070"/>
      <c r="I2" s="2070"/>
      <c r="J2" s="2475"/>
      <c r="K2" s="2070"/>
      <c r="L2" s="2070"/>
      <c r="M2" s="2070"/>
      <c r="N2" s="2070"/>
      <c r="O2" s="2070"/>
      <c r="P2" s="2242"/>
      <c r="Q2" s="2070"/>
      <c r="R2" s="2070"/>
      <c r="S2" s="2070"/>
      <c r="T2" s="2070"/>
      <c r="U2" s="2070"/>
      <c r="V2" s="2070"/>
      <c r="W2" s="2070"/>
      <c r="X2" s="2070"/>
      <c r="Y2" s="2070"/>
      <c r="Z2" s="2070"/>
      <c r="AA2" s="2070"/>
      <c r="AB2" s="2070"/>
      <c r="AC2" s="2242"/>
      <c r="AD2" s="2242"/>
      <c r="AE2" s="2242"/>
      <c r="AF2" s="2242"/>
      <c r="AG2" s="2070"/>
      <c r="AH2" s="2476"/>
    </row>
    <row r="3" spans="1:37" ht="18">
      <c r="A3" s="2474"/>
      <c r="B3" s="2477" t="s">
        <v>0</v>
      </c>
      <c r="C3" s="2070"/>
      <c r="D3" s="2070"/>
      <c r="E3" s="2070"/>
      <c r="F3" s="2478"/>
      <c r="G3" s="2070"/>
      <c r="H3" s="2070"/>
      <c r="I3" s="2070"/>
      <c r="J3" s="2475"/>
      <c r="K3" s="2070"/>
      <c r="L3" s="2070"/>
      <c r="M3" s="2479"/>
      <c r="N3" s="2480"/>
      <c r="O3" s="2070"/>
      <c r="P3" s="2242"/>
      <c r="Q3" s="2070"/>
      <c r="R3" s="2070"/>
      <c r="S3" s="2070"/>
      <c r="T3" s="2070"/>
      <c r="U3" s="2070"/>
      <c r="V3" s="2070"/>
      <c r="W3" s="2070"/>
      <c r="X3" s="2070"/>
      <c r="Y3" s="2070"/>
      <c r="Z3" s="2070"/>
      <c r="AA3" s="2070"/>
      <c r="AB3" s="2070"/>
      <c r="AC3" s="2242"/>
      <c r="AD3" s="2242"/>
      <c r="AE3" s="2242"/>
      <c r="AF3" s="2242"/>
      <c r="AG3" s="2070"/>
      <c r="AH3" s="2476"/>
      <c r="AK3" s="2481" t="s">
        <v>148</v>
      </c>
    </row>
    <row r="4" spans="1:37" ht="18">
      <c r="A4" s="2474"/>
      <c r="B4" s="2482" t="s">
        <v>147</v>
      </c>
      <c r="C4" s="2070"/>
      <c r="D4" s="2070"/>
      <c r="E4" s="2070"/>
      <c r="F4" s="2478"/>
      <c r="G4" s="2070"/>
      <c r="H4" s="2070" t="s">
        <v>15</v>
      </c>
      <c r="I4" s="2070"/>
      <c r="J4" s="2475"/>
      <c r="K4" s="2070"/>
      <c r="L4" s="2070"/>
      <c r="M4" s="2479"/>
      <c r="N4" s="2480"/>
      <c r="O4" s="2070"/>
      <c r="P4" s="2242"/>
      <c r="Q4" s="2070"/>
      <c r="R4" s="2070"/>
      <c r="S4" s="2070"/>
      <c r="T4" s="2070"/>
      <c r="U4" s="2070"/>
      <c r="V4" s="2070"/>
      <c r="W4" s="2070"/>
      <c r="X4" s="2070"/>
      <c r="Y4" s="2070"/>
      <c r="Z4" s="2070"/>
      <c r="AA4" s="2070"/>
      <c r="AB4" s="2070"/>
      <c r="AC4" s="3269"/>
      <c r="AD4" s="3269"/>
      <c r="AE4" s="3269"/>
      <c r="AF4" s="3641"/>
      <c r="AG4" s="2483"/>
      <c r="AH4" s="2476"/>
    </row>
    <row r="5" spans="1:37" ht="18">
      <c r="A5" s="2474"/>
      <c r="B5" s="2482" t="s">
        <v>149</v>
      </c>
      <c r="C5" s="2070"/>
      <c r="D5" s="2070"/>
      <c r="E5" s="2070"/>
      <c r="F5" s="2478"/>
      <c r="G5" s="2070"/>
      <c r="H5" s="2070"/>
      <c r="I5" s="2070"/>
      <c r="J5" s="2475"/>
      <c r="K5" s="2070"/>
      <c r="L5" s="2070"/>
      <c r="M5" s="2479"/>
      <c r="N5" s="2480"/>
      <c r="O5" s="2070"/>
      <c r="P5" s="2242"/>
      <c r="Q5" s="2070"/>
      <c r="R5" s="2070"/>
      <c r="S5" s="2070"/>
      <c r="T5" s="2070"/>
      <c r="U5" s="2070"/>
      <c r="V5" s="2070"/>
      <c r="W5" s="2070"/>
      <c r="X5" s="2070"/>
      <c r="Y5" s="2070"/>
      <c r="Z5" s="2070"/>
      <c r="AA5" s="2070"/>
      <c r="AB5" s="2070"/>
      <c r="AD5" s="3270"/>
      <c r="AE5" s="3270"/>
      <c r="AH5" s="2476"/>
    </row>
    <row r="6" spans="1:37" ht="18" customHeight="1">
      <c r="A6" s="2474"/>
      <c r="B6" s="2484" t="str">
        <f>'Cashflow Governmental'!A6</f>
        <v xml:space="preserve">FISCAL YEAR 2019-2020   </v>
      </c>
      <c r="C6" s="2070"/>
      <c r="D6" s="2070"/>
      <c r="E6" s="2070"/>
      <c r="F6" s="2478"/>
      <c r="G6" s="2070"/>
      <c r="H6" s="2070"/>
      <c r="I6" s="2070"/>
      <c r="J6" s="2475"/>
      <c r="K6" s="2070"/>
      <c r="L6" s="2070"/>
      <c r="M6" s="2479"/>
      <c r="N6" s="2480"/>
      <c r="O6" s="2070"/>
      <c r="P6" s="2242"/>
      <c r="Q6" s="2070"/>
      <c r="R6" s="2070"/>
      <c r="S6" s="2070"/>
      <c r="T6" s="2070"/>
      <c r="U6" s="2070"/>
      <c r="V6" s="2070"/>
      <c r="W6" s="2070"/>
      <c r="X6" s="2070"/>
      <c r="Y6" s="2070"/>
      <c r="Z6" s="2070"/>
      <c r="AA6" s="2070"/>
      <c r="AB6" s="2070"/>
      <c r="AC6" s="2242"/>
      <c r="AD6" s="2242"/>
      <c r="AE6" s="2242"/>
      <c r="AF6" s="2242"/>
      <c r="AG6" s="2070"/>
      <c r="AH6" s="2476"/>
    </row>
    <row r="7" spans="1:37" ht="15" customHeight="1">
      <c r="A7" s="2474"/>
      <c r="B7" s="2482" t="s">
        <v>1416</v>
      </c>
      <c r="C7" s="2070"/>
      <c r="D7" s="2070"/>
      <c r="E7" s="2070"/>
      <c r="F7" s="2478"/>
      <c r="G7" s="2070"/>
      <c r="H7" s="2070"/>
      <c r="I7" s="2070"/>
      <c r="J7" s="2475"/>
      <c r="K7" s="2070"/>
      <c r="L7" s="2480"/>
      <c r="M7" s="2479"/>
      <c r="N7" s="2070"/>
      <c r="O7" s="2070"/>
      <c r="P7" s="3204"/>
      <c r="Q7" s="2070"/>
      <c r="R7" s="2070"/>
      <c r="S7" s="2070"/>
      <c r="T7" s="2070"/>
      <c r="U7" s="2070"/>
      <c r="V7" s="2070"/>
      <c r="W7" s="2070"/>
      <c r="X7" s="2070"/>
      <c r="Y7" s="2070"/>
      <c r="Z7" s="2070"/>
      <c r="AA7" s="2070"/>
      <c r="AB7" s="2070"/>
      <c r="AC7" s="2242"/>
      <c r="AD7" s="2242"/>
      <c r="AE7" s="2242"/>
      <c r="AF7" s="2242"/>
      <c r="AG7" s="2070"/>
      <c r="AH7" s="2476"/>
    </row>
    <row r="8" spans="1:37" ht="15.75">
      <c r="A8" s="2474"/>
      <c r="B8" s="2070"/>
      <c r="C8" s="2070"/>
      <c r="D8" s="2070"/>
      <c r="E8" s="2070"/>
      <c r="F8" s="2478"/>
      <c r="G8" s="2070"/>
      <c r="H8" s="2070"/>
      <c r="I8" s="2070"/>
      <c r="J8" s="2475"/>
      <c r="K8" s="2070"/>
      <c r="L8" s="2070"/>
      <c r="M8" s="2070"/>
      <c r="N8" s="2070"/>
      <c r="O8" s="2070"/>
      <c r="P8" s="2242"/>
      <c r="Q8" s="2070"/>
      <c r="R8" s="2070"/>
      <c r="S8" s="2070"/>
      <c r="T8" s="2070"/>
      <c r="U8" s="2070"/>
      <c r="V8" s="2070"/>
      <c r="W8" s="2070"/>
      <c r="X8" s="2070"/>
      <c r="Y8" s="2070"/>
      <c r="Z8" s="2070"/>
      <c r="AA8" s="2070"/>
      <c r="AB8" s="3928" t="str">
        <f>+'Cashflow Governmental'!AB12:AJ12</f>
        <v>11 Months Ended February 29</v>
      </c>
      <c r="AC8" s="3928"/>
      <c r="AD8" s="3928"/>
      <c r="AE8" s="3928"/>
      <c r="AF8" s="3928"/>
      <c r="AG8" s="3928"/>
      <c r="AH8" s="3928"/>
      <c r="AI8" s="3928"/>
      <c r="AJ8" s="3928"/>
      <c r="AK8" s="3928"/>
    </row>
    <row r="9" spans="1:37" ht="15" customHeight="1">
      <c r="A9" s="2474"/>
      <c r="B9" s="2067"/>
      <c r="C9" s="2067"/>
      <c r="D9" s="2485" t="str">
        <f>'Cashflow Governmental'!C13</f>
        <v>2019</v>
      </c>
      <c r="E9" s="2486"/>
      <c r="F9" s="2486"/>
      <c r="G9" s="2486"/>
      <c r="H9" s="2486"/>
      <c r="I9" s="2486"/>
      <c r="J9" s="2486"/>
      <c r="K9" s="2486"/>
      <c r="L9" s="2486"/>
      <c r="M9" s="2486"/>
      <c r="N9" s="2486"/>
      <c r="O9" s="2486"/>
      <c r="P9" s="3205"/>
      <c r="Q9" s="2486"/>
      <c r="R9" s="2486"/>
      <c r="S9" s="2486"/>
      <c r="T9" s="2486"/>
      <c r="U9" s="2486"/>
      <c r="V9" s="2485" t="str">
        <f>'Cashflow Governmental'!U13</f>
        <v>2020</v>
      </c>
      <c r="W9" s="2486"/>
      <c r="X9" s="2486"/>
      <c r="Y9" s="2486"/>
      <c r="Z9" s="2486"/>
      <c r="AA9" s="2480"/>
      <c r="AB9" s="2479"/>
      <c r="AC9" s="2489"/>
      <c r="AD9" s="1894"/>
      <c r="AE9" s="1894"/>
      <c r="AF9" s="2489"/>
      <c r="AG9" s="2487"/>
      <c r="AH9" s="2490"/>
      <c r="AI9" s="2491" t="s">
        <v>8</v>
      </c>
      <c r="AJ9" s="2487"/>
      <c r="AK9" s="2492" t="s">
        <v>9</v>
      </c>
    </row>
    <row r="10" spans="1:37" ht="15" customHeight="1">
      <c r="A10" s="2474"/>
      <c r="B10" s="2067"/>
      <c r="C10" s="2067"/>
      <c r="D10" s="2493" t="s">
        <v>125</v>
      </c>
      <c r="E10" s="2479"/>
      <c r="F10" s="2494" t="s">
        <v>126</v>
      </c>
      <c r="G10" s="2479"/>
      <c r="H10" s="2494" t="s">
        <v>127</v>
      </c>
      <c r="I10" s="2479"/>
      <c r="J10" s="2495" t="s">
        <v>128</v>
      </c>
      <c r="K10" s="2479"/>
      <c r="L10" s="2496" t="s">
        <v>129</v>
      </c>
      <c r="M10" s="2479"/>
      <c r="N10" s="2496" t="s">
        <v>144</v>
      </c>
      <c r="O10" s="2479"/>
      <c r="P10" s="2654" t="s">
        <v>145</v>
      </c>
      <c r="Q10" s="2479"/>
      <c r="R10" s="2496" t="s">
        <v>132</v>
      </c>
      <c r="S10" s="2479"/>
      <c r="T10" s="2496" t="s">
        <v>133</v>
      </c>
      <c r="U10" s="2479"/>
      <c r="V10" s="2496" t="s">
        <v>134</v>
      </c>
      <c r="W10" s="2479"/>
      <c r="X10" s="2496" t="s">
        <v>135</v>
      </c>
      <c r="Y10" s="2479"/>
      <c r="Z10" s="2496" t="s">
        <v>186</v>
      </c>
      <c r="AA10" s="2492"/>
      <c r="AB10" s="2479"/>
      <c r="AC10" s="3271">
        <f>'Cashflow Governmental'!AB14</f>
        <v>2020</v>
      </c>
      <c r="AD10" s="2608" t="s">
        <v>15</v>
      </c>
      <c r="AE10" s="2608"/>
      <c r="AF10" s="3271">
        <f>'Cashflow Governmental'!AE14</f>
        <v>2019</v>
      </c>
      <c r="AG10" s="2497"/>
      <c r="AH10" s="2490"/>
      <c r="AI10" s="2498" t="s">
        <v>12</v>
      </c>
      <c r="AJ10" s="2480"/>
      <c r="AK10" s="2499" t="s">
        <v>13</v>
      </c>
    </row>
    <row r="11" spans="1:37" ht="5.25" customHeight="1">
      <c r="A11" s="2474"/>
      <c r="B11" s="2067"/>
      <c r="C11" s="2067"/>
      <c r="D11" s="2500" t="s">
        <v>15</v>
      </c>
      <c r="E11" s="2067"/>
      <c r="F11" s="2501"/>
      <c r="G11" s="2067"/>
      <c r="H11" s="2500"/>
      <c r="I11" s="2067"/>
      <c r="J11" s="2096"/>
      <c r="K11" s="2067"/>
      <c r="L11" s="2500"/>
      <c r="M11" s="2067"/>
      <c r="N11" s="2500"/>
      <c r="O11" s="2067"/>
      <c r="P11" s="3174"/>
      <c r="Q11" s="2067"/>
      <c r="R11" s="2500"/>
      <c r="S11" s="2067"/>
      <c r="T11" s="2500"/>
      <c r="U11" s="2067"/>
      <c r="V11" s="2500"/>
      <c r="W11" s="2067"/>
      <c r="X11" s="2500"/>
      <c r="Y11" s="2067"/>
      <c r="Z11" s="2500"/>
      <c r="AA11" s="2066"/>
      <c r="AB11" s="2067"/>
      <c r="AC11" s="2234"/>
      <c r="AD11" s="2235"/>
      <c r="AE11" s="2235"/>
      <c r="AF11" s="2234"/>
      <c r="AG11" s="2066"/>
      <c r="AH11" s="2502"/>
    </row>
    <row r="12" spans="1:37" ht="15" customHeight="1">
      <c r="A12" s="2503"/>
      <c r="B12" s="2504" t="s">
        <v>137</v>
      </c>
      <c r="C12" s="2089"/>
      <c r="D12" s="2505">
        <v>7205.7</v>
      </c>
      <c r="E12" s="2506"/>
      <c r="F12" s="2507">
        <f>D140</f>
        <v>11968.7</v>
      </c>
      <c r="G12" s="2506"/>
      <c r="H12" s="2507">
        <f>F140</f>
        <v>5221.6000000000004</v>
      </c>
      <c r="I12" s="2506"/>
      <c r="J12" s="2507">
        <f>H140</f>
        <v>6593</v>
      </c>
      <c r="K12" s="2506"/>
      <c r="L12" s="2507">
        <f>J140</f>
        <v>6614.3</v>
      </c>
      <c r="M12" s="2506"/>
      <c r="N12" s="2507">
        <f>L140</f>
        <v>6886.4</v>
      </c>
      <c r="O12" s="2506"/>
      <c r="P12" s="2074">
        <f>N140</f>
        <v>9049.7999999999993</v>
      </c>
      <c r="Q12" s="2506"/>
      <c r="R12" s="2074">
        <f>P140</f>
        <v>8815.2000000000007</v>
      </c>
      <c r="S12" s="2506"/>
      <c r="T12" s="2507">
        <f>R140</f>
        <v>6571.4</v>
      </c>
      <c r="U12" s="2506"/>
      <c r="V12" s="2507">
        <f>T140</f>
        <v>8179.7</v>
      </c>
      <c r="W12" s="2507"/>
      <c r="X12" s="2507">
        <f>V140</f>
        <v>10818</v>
      </c>
      <c r="Y12" s="2506"/>
      <c r="Z12" s="2507"/>
      <c r="AA12" s="2506"/>
      <c r="AB12" s="2508"/>
      <c r="AC12" s="2074">
        <f>D12</f>
        <v>7205.7</v>
      </c>
      <c r="AD12" s="2509"/>
      <c r="AE12" s="3272"/>
      <c r="AF12" s="3625">
        <v>9445</v>
      </c>
      <c r="AG12" s="2506"/>
      <c r="AH12" s="2510"/>
      <c r="AI12" s="2507">
        <f>ROUND(SUM(+AC12-AF12),1)</f>
        <v>-2239.3000000000002</v>
      </c>
      <c r="AJ12" s="2511"/>
      <c r="AK12" s="1458">
        <f>ROUND(IF(AF12=0,0,AI12/ABS(AF12)),3)</f>
        <v>-0.23699999999999999</v>
      </c>
    </row>
    <row r="13" spans="1:37" ht="15" customHeight="1">
      <c r="A13" s="2503"/>
      <c r="B13" s="2089"/>
      <c r="C13" s="2089"/>
      <c r="D13" s="2089"/>
      <c r="E13" s="2089"/>
      <c r="F13" s="2512"/>
      <c r="G13" s="2089"/>
      <c r="H13" s="2512"/>
      <c r="I13" s="2089"/>
      <c r="J13" s="2040"/>
      <c r="K13" s="2089"/>
      <c r="L13" s="2512"/>
      <c r="M13" s="2089"/>
      <c r="N13" s="2067"/>
      <c r="O13" s="2089"/>
      <c r="P13" s="2235"/>
      <c r="Q13" s="2089"/>
      <c r="R13" s="2067"/>
      <c r="S13" s="2089"/>
      <c r="T13" s="2067"/>
      <c r="U13" s="2089"/>
      <c r="V13" s="2067"/>
      <c r="W13" s="2089"/>
      <c r="X13" s="2067"/>
      <c r="Y13" s="2089"/>
      <c r="Z13" s="2067"/>
      <c r="AA13" s="2067"/>
      <c r="AB13" s="2088"/>
      <c r="AC13" s="2235"/>
      <c r="AD13" s="2517"/>
      <c r="AE13" s="3273"/>
      <c r="AF13" s="2235"/>
      <c r="AG13" s="2067"/>
      <c r="AH13" s="2502"/>
      <c r="AI13" s="2070"/>
      <c r="AJ13" s="2513"/>
      <c r="AK13" s="1477"/>
    </row>
    <row r="14" spans="1:37" ht="15" customHeight="1">
      <c r="A14" s="2503"/>
      <c r="B14" s="2479" t="s">
        <v>14</v>
      </c>
      <c r="C14" s="2089"/>
      <c r="D14" s="2089"/>
      <c r="E14" s="2089"/>
      <c r="F14" s="2067"/>
      <c r="G14" s="2089"/>
      <c r="H14" s="2067"/>
      <c r="I14" s="2089"/>
      <c r="J14" s="2040"/>
      <c r="K14" s="2089"/>
      <c r="L14" s="2067"/>
      <c r="M14" s="2089"/>
      <c r="N14" s="2067"/>
      <c r="O14" s="2089"/>
      <c r="P14" s="2235"/>
      <c r="Q14" s="2089"/>
      <c r="R14" s="2067"/>
      <c r="S14" s="2089"/>
      <c r="T14" s="2067"/>
      <c r="U14" s="2089"/>
      <c r="V14" s="2067"/>
      <c r="W14" s="2089"/>
      <c r="X14" s="2067"/>
      <c r="Y14" s="2089"/>
      <c r="Z14" s="2067"/>
      <c r="AA14" s="2067"/>
      <c r="AB14" s="2088"/>
      <c r="AC14" s="2235"/>
      <c r="AD14" s="2517"/>
      <c r="AE14" s="3273"/>
      <c r="AF14" s="2235"/>
      <c r="AG14" s="2067"/>
      <c r="AH14" s="2502"/>
      <c r="AI14" s="2070"/>
      <c r="AJ14" s="2513"/>
      <c r="AK14" s="1477"/>
    </row>
    <row r="15" spans="1:37" ht="15" customHeight="1">
      <c r="A15" s="2503"/>
      <c r="B15" s="2514" t="s">
        <v>1097</v>
      </c>
      <c r="C15" s="2089"/>
      <c r="D15" s="2089"/>
      <c r="E15" s="2089"/>
      <c r="F15" s="2067"/>
      <c r="G15" s="2089"/>
      <c r="H15" s="2067"/>
      <c r="I15" s="2089"/>
      <c r="J15" s="2040"/>
      <c r="K15" s="2089"/>
      <c r="L15" s="2067"/>
      <c r="M15" s="2089"/>
      <c r="N15" s="2067"/>
      <c r="O15" s="2089"/>
      <c r="P15" s="2235"/>
      <c r="Q15" s="2089"/>
      <c r="R15" s="2067"/>
      <c r="S15" s="2089"/>
      <c r="T15" s="2067"/>
      <c r="U15" s="2089"/>
      <c r="V15" s="2067"/>
      <c r="W15" s="2089"/>
      <c r="X15" s="2067"/>
      <c r="Y15" s="2089"/>
      <c r="Z15" s="2067"/>
      <c r="AA15" s="2067"/>
      <c r="AB15" s="2088"/>
      <c r="AC15" s="2235"/>
      <c r="AD15" s="2517"/>
      <c r="AE15" s="3273"/>
      <c r="AF15" s="2235"/>
      <c r="AG15" s="2067"/>
      <c r="AH15" s="2502"/>
      <c r="AI15" s="2070"/>
      <c r="AJ15" s="2513"/>
      <c r="AK15" s="1477"/>
    </row>
    <row r="16" spans="1:37" ht="15" customHeight="1">
      <c r="A16" s="2503"/>
      <c r="B16" s="2515" t="s">
        <v>1164</v>
      </c>
      <c r="C16" s="2089"/>
      <c r="D16" s="2089"/>
      <c r="E16" s="2089"/>
      <c r="F16" s="2067"/>
      <c r="G16" s="2089"/>
      <c r="H16" s="2067"/>
      <c r="I16" s="2089"/>
      <c r="J16" s="2040"/>
      <c r="K16" s="2089"/>
      <c r="L16" s="2067"/>
      <c r="M16" s="2089"/>
      <c r="N16" s="2067"/>
      <c r="O16" s="2089"/>
      <c r="P16" s="2235"/>
      <c r="Q16" s="2089"/>
      <c r="R16" s="2067"/>
      <c r="S16" s="2089"/>
      <c r="T16" s="2067"/>
      <c r="U16" s="2089"/>
      <c r="V16" s="2067"/>
      <c r="W16" s="2089"/>
      <c r="X16" s="2067"/>
      <c r="Y16" s="2089"/>
      <c r="Z16" s="2067"/>
      <c r="AA16" s="2067"/>
      <c r="AB16" s="2088"/>
      <c r="AC16" s="2235"/>
      <c r="AD16" s="2517"/>
      <c r="AE16" s="3273"/>
      <c r="AF16" s="2235"/>
      <c r="AG16" s="2067"/>
      <c r="AH16" s="2502"/>
      <c r="AI16" s="2070"/>
      <c r="AJ16" s="2513"/>
      <c r="AK16" s="1477"/>
    </row>
    <row r="17" spans="1:38" s="2471" customFormat="1" ht="15" customHeight="1">
      <c r="A17" s="2516"/>
      <c r="B17" s="2386" t="s">
        <v>1103</v>
      </c>
      <c r="C17" s="2517"/>
      <c r="D17" s="1830">
        <v>3237.1</v>
      </c>
      <c r="E17" s="1520"/>
      <c r="F17" s="1830">
        <v>3220.1</v>
      </c>
      <c r="G17" s="1520"/>
      <c r="H17" s="1830">
        <v>2922.2999999999997</v>
      </c>
      <c r="I17" s="2518"/>
      <c r="J17" s="1830">
        <v>3365.7999999999988</v>
      </c>
      <c r="K17" s="2043"/>
      <c r="L17" s="1830">
        <v>2933.7000000000012</v>
      </c>
      <c r="M17" s="2043"/>
      <c r="N17" s="1830">
        <v>2851.0999999999981</v>
      </c>
      <c r="O17" s="2043"/>
      <c r="P17" s="1830">
        <v>3270.6000000000045</v>
      </c>
      <c r="Q17" s="2043"/>
      <c r="R17" s="1830">
        <v>2981.8000000000006</v>
      </c>
      <c r="S17" s="2043"/>
      <c r="T17" s="1830">
        <v>4054.2999999999997</v>
      </c>
      <c r="U17" s="2043"/>
      <c r="V17" s="1830">
        <v>5045.6000000000022</v>
      </c>
      <c r="W17" s="2043"/>
      <c r="X17" s="1830">
        <f>$AC17-$D17-$F17-$H17-$J17-$L17-$N17-$P17-$R17-$T17-$V17</f>
        <v>4686.5999999999967</v>
      </c>
      <c r="Y17" s="2043"/>
      <c r="Z17" s="1830"/>
      <c r="AA17" s="2044"/>
      <c r="AB17" s="2047"/>
      <c r="AC17" s="1846">
        <v>38569</v>
      </c>
      <c r="AD17" s="2086"/>
      <c r="AE17" s="2047" t="s">
        <v>15</v>
      </c>
      <c r="AF17" s="1846">
        <v>36762.199999999997</v>
      </c>
      <c r="AG17" s="2235"/>
      <c r="AH17" s="2519"/>
      <c r="AI17" s="2045">
        <f>ROUND(SUM(+AC17-AF17),1)</f>
        <v>1806.8</v>
      </c>
      <c r="AJ17" s="2520"/>
      <c r="AK17" s="1765">
        <f t="shared" ref="AK17:AK21" si="0">ROUND(IF(AF17=0,0,AI17/ABS(AF17)),3)</f>
        <v>4.9000000000000002E-2</v>
      </c>
      <c r="AL17" s="2469"/>
    </row>
    <row r="18" spans="1:38" s="2471" customFormat="1" ht="15" customHeight="1">
      <c r="A18" s="2516"/>
      <c r="B18" s="2386" t="s">
        <v>1391</v>
      </c>
      <c r="C18" s="2517"/>
      <c r="D18" s="1830">
        <v>6843.2</v>
      </c>
      <c r="E18" s="1448"/>
      <c r="F18" s="1830">
        <v>112.60000000000036</v>
      </c>
      <c r="G18" s="1448"/>
      <c r="H18" s="1830">
        <v>2396.4000000000005</v>
      </c>
      <c r="I18" s="2521"/>
      <c r="J18" s="1830">
        <v>118.69999999999891</v>
      </c>
      <c r="K18" s="2043"/>
      <c r="L18" s="1830">
        <v>98.700000000000728</v>
      </c>
      <c r="M18" s="2043"/>
      <c r="N18" s="1830">
        <v>2742</v>
      </c>
      <c r="O18" s="2043"/>
      <c r="P18" s="1830">
        <v>170.89999999999964</v>
      </c>
      <c r="Q18" s="2043"/>
      <c r="R18" s="1830">
        <v>93.5</v>
      </c>
      <c r="S18" s="2043"/>
      <c r="T18" s="1830">
        <v>379.79999999999927</v>
      </c>
      <c r="U18" s="2043"/>
      <c r="V18" s="1830">
        <v>3842.2</v>
      </c>
      <c r="W18" s="2043"/>
      <c r="X18" s="1830">
        <f t="shared" ref="X18:X25" si="1">$AC18-$D18-$F18-$H18-$J18-$L18-$N18-$P18-$R18-$T18-$V18</f>
        <v>101.79999999999927</v>
      </c>
      <c r="Y18" s="2043"/>
      <c r="Z18" s="1830"/>
      <c r="AA18" s="2044"/>
      <c r="AB18" s="2047"/>
      <c r="AC18" s="1846">
        <v>16899.8</v>
      </c>
      <c r="AD18" s="2086"/>
      <c r="AE18" s="2047" t="s">
        <v>15</v>
      </c>
      <c r="AF18" s="1846">
        <v>13886.4</v>
      </c>
      <c r="AG18" s="2235"/>
      <c r="AH18" s="2519"/>
      <c r="AI18" s="2045">
        <f>ROUND(SUM(+AC18-AF18),1)</f>
        <v>3013.4</v>
      </c>
      <c r="AJ18" s="2520"/>
      <c r="AK18" s="1765">
        <f t="shared" si="0"/>
        <v>0.217</v>
      </c>
      <c r="AL18" s="2469"/>
    </row>
    <row r="19" spans="1:38" s="2471" customFormat="1" ht="15" customHeight="1">
      <c r="A19" s="2516"/>
      <c r="B19" s="2386" t="s">
        <v>1104</v>
      </c>
      <c r="C19" s="2517"/>
      <c r="D19" s="1830">
        <v>2286.9</v>
      </c>
      <c r="E19" s="1448"/>
      <c r="F19" s="1830">
        <v>75.099999999999994</v>
      </c>
      <c r="G19" s="1448"/>
      <c r="H19" s="1830">
        <v>54.1</v>
      </c>
      <c r="I19" s="2521"/>
      <c r="J19" s="1830">
        <v>40.800000000000004</v>
      </c>
      <c r="K19" s="2043"/>
      <c r="L19" s="1830">
        <v>45.099999999999916</v>
      </c>
      <c r="M19" s="2043"/>
      <c r="N19" s="1830">
        <v>65.5</v>
      </c>
      <c r="O19" s="2043"/>
      <c r="P19" s="1830">
        <v>564.19999999999982</v>
      </c>
      <c r="Q19" s="2043"/>
      <c r="R19" s="1830">
        <v>42.500000000000455</v>
      </c>
      <c r="S19" s="2043"/>
      <c r="T19" s="1830">
        <v>24.599999999999909</v>
      </c>
      <c r="U19" s="2043"/>
      <c r="V19" s="1830">
        <v>25.699999999999818</v>
      </c>
      <c r="W19" s="2043"/>
      <c r="X19" s="1830">
        <f t="shared" si="1"/>
        <v>63.300000000000182</v>
      </c>
      <c r="Y19" s="2043"/>
      <c r="Z19" s="1830"/>
      <c r="AA19" s="2044"/>
      <c r="AB19" s="2047"/>
      <c r="AC19" s="1846">
        <v>3287.8</v>
      </c>
      <c r="AD19" s="2086"/>
      <c r="AE19" s="2047" t="s">
        <v>15</v>
      </c>
      <c r="AF19" s="1846">
        <v>2525.1999999999998</v>
      </c>
      <c r="AG19" s="2235"/>
      <c r="AH19" s="2519"/>
      <c r="AI19" s="2045">
        <f>ROUND(SUM(+AC19-AF19),1)</f>
        <v>762.6</v>
      </c>
      <c r="AJ19" s="2520"/>
      <c r="AK19" s="1765">
        <f t="shared" si="0"/>
        <v>0.30199999999999999</v>
      </c>
      <c r="AL19" s="2469"/>
    </row>
    <row r="20" spans="1:38" s="2471" customFormat="1" ht="15" customHeight="1">
      <c r="A20" s="2516"/>
      <c r="B20" s="2522" t="s">
        <v>1105</v>
      </c>
      <c r="C20" s="2517"/>
      <c r="D20" s="1830">
        <v>-296.89999999999998</v>
      </c>
      <c r="E20" s="1448"/>
      <c r="F20" s="1830">
        <v>-31.100000000000023</v>
      </c>
      <c r="G20" s="1448"/>
      <c r="H20" s="1830">
        <v>-25.899999999999977</v>
      </c>
      <c r="I20" s="2521"/>
      <c r="J20" s="1830">
        <v>-21</v>
      </c>
      <c r="K20" s="2043"/>
      <c r="L20" s="1830">
        <v>-20.900000000000034</v>
      </c>
      <c r="M20" s="2043"/>
      <c r="N20" s="1830">
        <v>-47.199999999999989</v>
      </c>
      <c r="O20" s="2043"/>
      <c r="P20" s="1830">
        <v>-475.39999999999992</v>
      </c>
      <c r="Q20" s="2043"/>
      <c r="R20" s="1830">
        <v>-59.499999999999943</v>
      </c>
      <c r="S20" s="2043"/>
      <c r="T20" s="1830">
        <v>-17.700000000000045</v>
      </c>
      <c r="U20" s="2043"/>
      <c r="V20" s="1830">
        <v>-9.6000000000001364</v>
      </c>
      <c r="W20" s="2043"/>
      <c r="X20" s="1830">
        <f t="shared" si="1"/>
        <v>-40.700000000000045</v>
      </c>
      <c r="Y20" s="2043"/>
      <c r="Z20" s="1830"/>
      <c r="AA20" s="2044"/>
      <c r="AB20" s="2047"/>
      <c r="AC20" s="1846">
        <v>-1045.9000000000001</v>
      </c>
      <c r="AD20" s="2086"/>
      <c r="AE20" s="2047" t="s">
        <v>15</v>
      </c>
      <c r="AF20" s="1846">
        <v>-1064.5</v>
      </c>
      <c r="AG20" s="2235"/>
      <c r="AH20" s="2519"/>
      <c r="AI20" s="2045">
        <f>-ROUND(SUM(+AC20-AF20),1)</f>
        <v>-18.600000000000001</v>
      </c>
      <c r="AJ20" s="2520"/>
      <c r="AK20" s="1765">
        <f t="shared" si="0"/>
        <v>-1.7000000000000001E-2</v>
      </c>
      <c r="AL20" s="2469"/>
    </row>
    <row r="21" spans="1:38" s="2471" customFormat="1" ht="15" customHeight="1">
      <c r="A21" s="2516"/>
      <c r="B21" s="2522" t="s">
        <v>1390</v>
      </c>
      <c r="C21" s="2517"/>
      <c r="D21" s="1830">
        <v>170.3</v>
      </c>
      <c r="E21" s="1448"/>
      <c r="F21" s="1830">
        <v>105.19999999999999</v>
      </c>
      <c r="G21" s="1448"/>
      <c r="H21" s="1830">
        <v>96.199999999999989</v>
      </c>
      <c r="I21" s="2521"/>
      <c r="J21" s="1830">
        <v>89.300000000000011</v>
      </c>
      <c r="K21" s="2043"/>
      <c r="L21" s="1830">
        <v>95.700000000000045</v>
      </c>
      <c r="M21" s="2043"/>
      <c r="N21" s="1830">
        <v>91.699999999999932</v>
      </c>
      <c r="O21" s="2043"/>
      <c r="P21" s="1830">
        <v>104.30000000000013</v>
      </c>
      <c r="Q21" s="2043"/>
      <c r="R21" s="1830">
        <v>121.59999999999985</v>
      </c>
      <c r="S21" s="2043"/>
      <c r="T21" s="1830">
        <v>134.59999999999991</v>
      </c>
      <c r="U21" s="2043"/>
      <c r="V21" s="1830">
        <v>87.200000000000273</v>
      </c>
      <c r="W21" s="2043"/>
      <c r="X21" s="1830">
        <f t="shared" si="1"/>
        <v>116.59999999999991</v>
      </c>
      <c r="Y21" s="2043"/>
      <c r="Z21" s="1830"/>
      <c r="AA21" s="2044"/>
      <c r="AB21" s="2047"/>
      <c r="AC21" s="1846">
        <v>1212.7</v>
      </c>
      <c r="AD21" s="2086"/>
      <c r="AE21" s="2047" t="s">
        <v>15</v>
      </c>
      <c r="AF21" s="1846">
        <v>1181.5999999999999</v>
      </c>
      <c r="AG21" s="2235"/>
      <c r="AH21" s="2519"/>
      <c r="AI21" s="2045">
        <f>ROUND(SUM(+AC21-AF21),1)</f>
        <v>31.1</v>
      </c>
      <c r="AJ21" s="2520"/>
      <c r="AK21" s="1765">
        <f t="shared" si="0"/>
        <v>2.5999999999999999E-2</v>
      </c>
      <c r="AL21" s="2469"/>
    </row>
    <row r="22" spans="1:38" ht="15" customHeight="1">
      <c r="A22" s="2503"/>
      <c r="B22" s="2367" t="s">
        <v>1106</v>
      </c>
      <c r="C22" s="2089"/>
      <c r="D22" s="2523">
        <f>ROUND(SUM(D17:D21),1)</f>
        <v>12240.6</v>
      </c>
      <c r="E22" s="2521"/>
      <c r="F22" s="2524">
        <f>ROUND(SUM(F17:F21),1)</f>
        <v>3481.9</v>
      </c>
      <c r="G22" s="2521"/>
      <c r="H22" s="2523">
        <f>ROUND(SUM(H17:H21),1)</f>
        <v>5443.1</v>
      </c>
      <c r="I22" s="2521"/>
      <c r="J22" s="2524">
        <f>ROUND(SUM(J17:J21),1)</f>
        <v>3593.6</v>
      </c>
      <c r="K22" s="2089"/>
      <c r="L22" s="2087">
        <f>ROUND(SUM(L17:L21),1)</f>
        <v>3152.3</v>
      </c>
      <c r="M22" s="2089"/>
      <c r="N22" s="2087">
        <f>ROUND(SUM(N17:N21),1)</f>
        <v>5703.1</v>
      </c>
      <c r="O22" s="2051"/>
      <c r="P22" s="1488">
        <f>ROUND(SUM(P17:P21),1)</f>
        <v>3634.6</v>
      </c>
      <c r="Q22" s="2051"/>
      <c r="R22" s="2087">
        <f>ROUND(SUM(R17:R21),1)</f>
        <v>3179.9</v>
      </c>
      <c r="S22" s="2051"/>
      <c r="T22" s="2087">
        <f>ROUND(SUM(T17:T21),1)</f>
        <v>4575.6000000000004</v>
      </c>
      <c r="U22" s="2051"/>
      <c r="V22" s="2087">
        <f>ROUND(SUM(V17:V21),1)</f>
        <v>8991.1</v>
      </c>
      <c r="W22" s="2051"/>
      <c r="X22" s="2087">
        <f>ROUND(SUM(X17:X21),1)</f>
        <v>4927.6000000000004</v>
      </c>
      <c r="Y22" s="2051"/>
      <c r="Z22" s="2087">
        <f>ROUND(SUM(Z17:Z21),1)</f>
        <v>0</v>
      </c>
      <c r="AA22" s="2067"/>
      <c r="AB22" s="2088"/>
      <c r="AC22" s="3274">
        <f>ROUND(SUM(AC17:AC21),1)</f>
        <v>58923.4</v>
      </c>
      <c r="AD22" s="2517"/>
      <c r="AE22" s="3275" t="s">
        <v>15</v>
      </c>
      <c r="AF22" s="1488">
        <f>ROUND(SUM(AF17:AF21),1)</f>
        <v>53290.9</v>
      </c>
      <c r="AG22" s="2067"/>
      <c r="AH22" s="2502"/>
      <c r="AI22" s="2087">
        <f>ROUND(SUM(AC22-AF22),1)</f>
        <v>5632.5</v>
      </c>
      <c r="AJ22" s="2513"/>
      <c r="AK22" s="1473">
        <f>ROUND(SUM(+AI22/AF22),3)</f>
        <v>0.106</v>
      </c>
    </row>
    <row r="23" spans="1:38" s="2471" customFormat="1" ht="15" customHeight="1">
      <c r="A23" s="2516"/>
      <c r="B23" s="2522" t="s">
        <v>1108</v>
      </c>
      <c r="C23" s="2517"/>
      <c r="D23" s="1830">
        <v>0</v>
      </c>
      <c r="E23" s="1448"/>
      <c r="F23" s="1830">
        <v>0</v>
      </c>
      <c r="G23" s="1448"/>
      <c r="H23" s="1830">
        <v>0</v>
      </c>
      <c r="I23" s="2521"/>
      <c r="J23" s="1830">
        <v>0</v>
      </c>
      <c r="K23" s="2043"/>
      <c r="L23" s="1830">
        <v>0</v>
      </c>
      <c r="M23" s="2043"/>
      <c r="N23" s="1830">
        <v>0</v>
      </c>
      <c r="O23" s="2043"/>
      <c r="P23" s="1830">
        <v>-0.2</v>
      </c>
      <c r="Q23" s="2043"/>
      <c r="R23" s="1830">
        <v>-3</v>
      </c>
      <c r="S23" s="2043"/>
      <c r="T23" s="1830">
        <v>-38.5</v>
      </c>
      <c r="U23" s="2043"/>
      <c r="V23" s="1830">
        <v>-2107.4</v>
      </c>
      <c r="W23" s="2043"/>
      <c r="X23" s="1830">
        <f t="shared" si="1"/>
        <v>0</v>
      </c>
      <c r="Y23" s="2043"/>
      <c r="Z23" s="1830"/>
      <c r="AA23" s="2044"/>
      <c r="AB23" s="2047"/>
      <c r="AC23" s="1846">
        <v>-2149.1</v>
      </c>
      <c r="AD23" s="2086"/>
      <c r="AE23" s="2047" t="s">
        <v>15</v>
      </c>
      <c r="AF23" s="1846">
        <v>-2410</v>
      </c>
      <c r="AG23" s="2235"/>
      <c r="AH23" s="2519"/>
      <c r="AI23" s="2045">
        <f>-ROUND(SUM(+AC23-AF23),1)</f>
        <v>-260.89999999999998</v>
      </c>
      <c r="AJ23" s="2520"/>
      <c r="AK23" s="1765">
        <f>ROUND(IF(AF23=0,0,AI23/ABS(AF23)),3)</f>
        <v>-0.108</v>
      </c>
      <c r="AL23" s="2469"/>
    </row>
    <row r="24" spans="1:38" s="2471" customFormat="1" ht="15" customHeight="1">
      <c r="A24" s="2516"/>
      <c r="B24" s="2522" t="s">
        <v>1109</v>
      </c>
      <c r="C24" s="2517"/>
      <c r="D24" s="1830">
        <v>-4607.7</v>
      </c>
      <c r="E24" s="1448"/>
      <c r="F24" s="1830">
        <v>-1242.3000000000002</v>
      </c>
      <c r="G24" s="1448"/>
      <c r="H24" s="1830">
        <v>-2604.8999999999996</v>
      </c>
      <c r="I24" s="2521"/>
      <c r="J24" s="1830">
        <v>-1665.7999999999993</v>
      </c>
      <c r="K24" s="2043"/>
      <c r="L24" s="1830">
        <v>-1454.3000000000011</v>
      </c>
      <c r="M24" s="2043"/>
      <c r="N24" s="1830">
        <v>-2415.6999999999998</v>
      </c>
      <c r="O24" s="2043"/>
      <c r="P24" s="1830">
        <v>-1289.2000000000016</v>
      </c>
      <c r="Q24" s="2043"/>
      <c r="R24" s="1830">
        <v>-1234.6999999999971</v>
      </c>
      <c r="S24" s="2043"/>
      <c r="T24" s="1830">
        <v>-2144</v>
      </c>
      <c r="U24" s="2043"/>
      <c r="V24" s="1830">
        <v>-4449.6000000000013</v>
      </c>
      <c r="W24" s="2043"/>
      <c r="X24" s="1830">
        <f t="shared" si="1"/>
        <v>-1848.3999999999987</v>
      </c>
      <c r="Y24" s="2043"/>
      <c r="Z24" s="1830"/>
      <c r="AA24" s="2044"/>
      <c r="AB24" s="2047"/>
      <c r="AC24" s="1846">
        <v>-24956.6</v>
      </c>
      <c r="AD24" s="2086"/>
      <c r="AE24" s="2047" t="s">
        <v>15</v>
      </c>
      <c r="AF24" s="1846">
        <v>-22264.1</v>
      </c>
      <c r="AG24" s="2235"/>
      <c r="AH24" s="2519"/>
      <c r="AI24" s="2045">
        <f>-ROUND(SUM(+AC24-AF24),1)</f>
        <v>2692.5</v>
      </c>
      <c r="AJ24" s="2520"/>
      <c r="AK24" s="1765">
        <f>ROUND(IF(AF24=0,0,AI24/ABS(AF24)),3)</f>
        <v>0.121</v>
      </c>
      <c r="AL24" s="2469"/>
    </row>
    <row r="25" spans="1:38" s="2471" customFormat="1" ht="15" customHeight="1">
      <c r="A25" s="2516"/>
      <c r="B25" s="2386" t="s">
        <v>1392</v>
      </c>
      <c r="C25" s="2517"/>
      <c r="D25" s="1830">
        <v>-3025.2</v>
      </c>
      <c r="E25" s="1448"/>
      <c r="F25" s="1830">
        <v>-997.30000000000018</v>
      </c>
      <c r="G25" s="1448"/>
      <c r="H25" s="1830">
        <v>-233.19999999999982</v>
      </c>
      <c r="I25" s="2521"/>
      <c r="J25" s="1830">
        <v>-262</v>
      </c>
      <c r="K25" s="2043"/>
      <c r="L25" s="1830">
        <v>-243.80000000000018</v>
      </c>
      <c r="M25" s="2043"/>
      <c r="N25" s="1830">
        <v>-871.69999999999982</v>
      </c>
      <c r="O25" s="2043"/>
      <c r="P25" s="1830">
        <v>-1056.1999999999998</v>
      </c>
      <c r="Q25" s="2043"/>
      <c r="R25" s="1830">
        <v>-710.5</v>
      </c>
      <c r="S25" s="2043"/>
      <c r="T25" s="1830">
        <v>-287.60000000000036</v>
      </c>
      <c r="U25" s="2043"/>
      <c r="V25" s="1830">
        <v>-91.899999999999636</v>
      </c>
      <c r="W25" s="2043"/>
      <c r="X25" s="1830">
        <f t="shared" si="1"/>
        <v>-1230.8000000000011</v>
      </c>
      <c r="Y25" s="2043"/>
      <c r="Z25" s="1830"/>
      <c r="AA25" s="2044"/>
      <c r="AB25" s="2047"/>
      <c r="AC25" s="1846">
        <v>-9010.2000000000007</v>
      </c>
      <c r="AD25" s="2086"/>
      <c r="AE25" s="2047" t="s">
        <v>15</v>
      </c>
      <c r="AF25" s="1846">
        <v>-8762.6</v>
      </c>
      <c r="AG25" s="2235"/>
      <c r="AH25" s="2519"/>
      <c r="AI25" s="2045">
        <f>-ROUND(SUM(+AC25-AF25),1)</f>
        <v>247.6</v>
      </c>
      <c r="AJ25" s="2520"/>
      <c r="AK25" s="1765">
        <f>ROUND(IF(AF25=0,0,AI25/ABS(AF25)),3)</f>
        <v>2.8000000000000001E-2</v>
      </c>
      <c r="AL25" s="2469"/>
    </row>
    <row r="26" spans="1:38" ht="15" customHeight="1">
      <c r="A26" s="2503"/>
      <c r="B26" s="2525" t="s">
        <v>1107</v>
      </c>
      <c r="C26" s="2067"/>
      <c r="D26" s="2526">
        <f>ROUND(SUM(D22:D25),1)</f>
        <v>4607.7</v>
      </c>
      <c r="E26" s="1471"/>
      <c r="F26" s="2527">
        <f>ROUND(SUM(F22+F23+F24+F25),1)</f>
        <v>1242.3</v>
      </c>
      <c r="G26" s="1471"/>
      <c r="H26" s="2526">
        <f>ROUND(SUM(H22+H23+H24+H25),1)</f>
        <v>2605</v>
      </c>
      <c r="I26" s="1471"/>
      <c r="J26" s="2527">
        <f>ROUND(SUM(J22+J23+J24+J25),1)</f>
        <v>1665.8</v>
      </c>
      <c r="K26" s="2051"/>
      <c r="L26" s="2087">
        <f>ROUND(SUM(L22+L23+L24+L25),1)</f>
        <v>1454.2</v>
      </c>
      <c r="M26" s="2051"/>
      <c r="N26" s="2087">
        <f>ROUND(SUM(N22+N23+N24+N25),1)</f>
        <v>2415.6999999999998</v>
      </c>
      <c r="O26" s="2051"/>
      <c r="P26" s="1488">
        <f>ROUND(SUM(P22+P23+P24+P25),1)</f>
        <v>1289</v>
      </c>
      <c r="Q26" s="2051"/>
      <c r="R26" s="2087">
        <f>ROUND(SUM(R22+R23+R24+R25),1)</f>
        <v>1231.7</v>
      </c>
      <c r="S26" s="2051"/>
      <c r="T26" s="2087">
        <f>ROUND(SUM(T22+T23+T24+T25),1)</f>
        <v>2105.5</v>
      </c>
      <c r="U26" s="2051"/>
      <c r="V26" s="2087">
        <f>ROUND(SUM(V22+V23+V24+V25),1)</f>
        <v>2342.1999999999998</v>
      </c>
      <c r="W26" s="2051"/>
      <c r="X26" s="2087">
        <f>ROUND(SUM(X22+X23+X24+X25),1)</f>
        <v>1848.4</v>
      </c>
      <c r="Y26" s="2051"/>
      <c r="Z26" s="2087">
        <f>ROUND(SUM(Z22+Z23+Z24+Z25),1)</f>
        <v>0</v>
      </c>
      <c r="AA26" s="1491"/>
      <c r="AB26" s="2088"/>
      <c r="AC26" s="3274">
        <f>ROUND(SUM(AC22+AC23+AC24+AC25),1)</f>
        <v>22807.5</v>
      </c>
      <c r="AD26" s="2040"/>
      <c r="AE26" s="2046" t="s">
        <v>15</v>
      </c>
      <c r="AF26" s="1488">
        <f>ROUND(SUM(AF22+AF23+AF24+AF25),1)</f>
        <v>19854.2</v>
      </c>
      <c r="AG26" s="2051"/>
      <c r="AH26" s="2528"/>
      <c r="AI26" s="2087">
        <f>ROUND(SUM(AI22-AI23-AI24-AI25),1)</f>
        <v>2953.3</v>
      </c>
      <c r="AJ26" s="2529"/>
      <c r="AK26" s="1473">
        <f>ROUND(SUM(+AI26/AF26),3)</f>
        <v>0.14899999999999999</v>
      </c>
    </row>
    <row r="27" spans="1:38" ht="15" customHeight="1">
      <c r="A27" s="2503"/>
      <c r="B27" s="2515" t="s">
        <v>1161</v>
      </c>
      <c r="C27" s="2067"/>
      <c r="D27" s="1472"/>
      <c r="E27" s="1471"/>
      <c r="F27" s="1490"/>
      <c r="G27" s="1471"/>
      <c r="H27" s="1472"/>
      <c r="I27" s="1471"/>
      <c r="J27" s="1490"/>
      <c r="K27" s="2051"/>
      <c r="L27" s="1472"/>
      <c r="M27" s="2051"/>
      <c r="N27" s="1472"/>
      <c r="O27" s="2051"/>
      <c r="P27" s="1490"/>
      <c r="Q27" s="2051"/>
      <c r="R27" s="1472"/>
      <c r="S27" s="2051"/>
      <c r="T27" s="1472"/>
      <c r="U27" s="2051"/>
      <c r="V27" s="1472"/>
      <c r="W27" s="2051"/>
      <c r="X27" s="1472"/>
      <c r="Y27" s="2051"/>
      <c r="Z27" s="1472"/>
      <c r="AA27" s="1491"/>
      <c r="AB27" s="2088"/>
      <c r="AC27" s="1490"/>
      <c r="AD27" s="2040"/>
      <c r="AE27" s="2046" t="s">
        <v>15</v>
      </c>
      <c r="AF27" s="1490"/>
      <c r="AG27" s="2051"/>
      <c r="AH27" s="2528"/>
      <c r="AI27" s="1472"/>
      <c r="AJ27" s="2529"/>
      <c r="AK27" s="2530"/>
    </row>
    <row r="28" spans="1:38" ht="15" customHeight="1">
      <c r="A28" s="2503"/>
      <c r="B28" s="2285" t="s">
        <v>1112</v>
      </c>
      <c r="C28" s="2067"/>
      <c r="D28" s="1830">
        <v>539.29999999999995</v>
      </c>
      <c r="E28" s="1448"/>
      <c r="F28" s="1830">
        <v>551.40000000000009</v>
      </c>
      <c r="G28" s="1448"/>
      <c r="H28" s="1830">
        <v>743.5</v>
      </c>
      <c r="I28" s="1471"/>
      <c r="J28" s="1830">
        <v>579.79999999999995</v>
      </c>
      <c r="K28" s="2043"/>
      <c r="L28" s="1830">
        <v>581.79999999999995</v>
      </c>
      <c r="M28" s="2043"/>
      <c r="N28" s="1830">
        <v>761.89999999999964</v>
      </c>
      <c r="O28" s="2043"/>
      <c r="P28" s="1830">
        <v>579</v>
      </c>
      <c r="Q28" s="2043"/>
      <c r="R28" s="1830">
        <v>584.50000000000023</v>
      </c>
      <c r="S28" s="2043"/>
      <c r="T28" s="1830">
        <v>742.10000000000014</v>
      </c>
      <c r="U28" s="2043"/>
      <c r="V28" s="1830">
        <v>635.5</v>
      </c>
      <c r="W28" s="2043"/>
      <c r="X28" s="1830">
        <f t="shared" ref="X28:X36" si="2">$AC28-$D28-$F28-$H28-$J28-$L28-$N28-$P28-$R28-$T28-$V28</f>
        <v>522.39999999999964</v>
      </c>
      <c r="Y28" s="2043"/>
      <c r="Z28" s="1830"/>
      <c r="AA28" s="2044"/>
      <c r="AB28" s="2047"/>
      <c r="AC28" s="1846">
        <v>6821.2</v>
      </c>
      <c r="AD28" s="2086"/>
      <c r="AE28" s="2047" t="s">
        <v>15</v>
      </c>
      <c r="AF28" s="1846">
        <v>6441.6</v>
      </c>
      <c r="AG28" s="2051"/>
      <c r="AH28" s="2528"/>
      <c r="AI28" s="1471">
        <f t="shared" ref="AI28:AI36" si="3">ROUND(SUM(+AC28-AF28),1)</f>
        <v>379.6</v>
      </c>
      <c r="AJ28" s="2529"/>
      <c r="AK28" s="1466">
        <f t="shared" ref="AK28:AK36" si="4">ROUND(IF(AF28=0,0,AI28/ABS(AF28)),3)</f>
        <v>5.8999999999999997E-2</v>
      </c>
    </row>
    <row r="29" spans="1:38" ht="15" customHeight="1">
      <c r="A29" s="2503"/>
      <c r="B29" s="2285" t="s">
        <v>1113</v>
      </c>
      <c r="C29" s="2067"/>
      <c r="D29" s="1830">
        <v>0</v>
      </c>
      <c r="E29" s="1448"/>
      <c r="F29" s="1830">
        <v>0</v>
      </c>
      <c r="G29" s="1448"/>
      <c r="H29" s="1830">
        <v>0</v>
      </c>
      <c r="I29" s="1471"/>
      <c r="J29" s="1830">
        <v>0</v>
      </c>
      <c r="K29" s="2043"/>
      <c r="L29" s="1830">
        <v>0</v>
      </c>
      <c r="M29" s="2043"/>
      <c r="N29" s="1830">
        <v>0</v>
      </c>
      <c r="O29" s="2043"/>
      <c r="P29" s="1830">
        <v>0</v>
      </c>
      <c r="Q29" s="2043"/>
      <c r="R29" s="1830">
        <v>0</v>
      </c>
      <c r="S29" s="2043"/>
      <c r="T29" s="1830">
        <v>0</v>
      </c>
      <c r="U29" s="2043"/>
      <c r="V29" s="1830">
        <v>0</v>
      </c>
      <c r="W29" s="2043"/>
      <c r="X29" s="1830">
        <f t="shared" si="2"/>
        <v>0</v>
      </c>
      <c r="Y29" s="2043"/>
      <c r="Z29" s="1830"/>
      <c r="AA29" s="2044"/>
      <c r="AB29" s="2047"/>
      <c r="AC29" s="1846">
        <v>0</v>
      </c>
      <c r="AD29" s="2086"/>
      <c r="AE29" s="2047" t="s">
        <v>15</v>
      </c>
      <c r="AF29" s="1846">
        <v>0</v>
      </c>
      <c r="AG29" s="2051"/>
      <c r="AH29" s="2528"/>
      <c r="AI29" s="1471">
        <f t="shared" si="3"/>
        <v>0</v>
      </c>
      <c r="AJ29" s="2529"/>
      <c r="AK29" s="1466">
        <f t="shared" si="4"/>
        <v>0</v>
      </c>
    </row>
    <row r="30" spans="1:38" ht="15" customHeight="1">
      <c r="A30" s="2503"/>
      <c r="B30" s="2285" t="s">
        <v>1114</v>
      </c>
      <c r="C30" s="2067"/>
      <c r="D30" s="1830">
        <v>26</v>
      </c>
      <c r="E30" s="1448"/>
      <c r="F30" s="1830">
        <v>25.799999999999997</v>
      </c>
      <c r="G30" s="1448"/>
      <c r="H30" s="1830">
        <v>26.5</v>
      </c>
      <c r="I30" s="1471"/>
      <c r="J30" s="1830">
        <v>31.400000000000006</v>
      </c>
      <c r="K30" s="2043"/>
      <c r="L30" s="1830">
        <v>28.299999999999997</v>
      </c>
      <c r="M30" s="2043"/>
      <c r="N30" s="1830">
        <v>28.300000000000011</v>
      </c>
      <c r="O30" s="2043"/>
      <c r="P30" s="1830">
        <v>28.299999999999997</v>
      </c>
      <c r="Q30" s="2043"/>
      <c r="R30" s="1830">
        <v>26.300000000000011</v>
      </c>
      <c r="S30" s="2043"/>
      <c r="T30" s="1830">
        <v>27.299999999999955</v>
      </c>
      <c r="U30" s="2043"/>
      <c r="V30" s="1830">
        <v>24.000000000000014</v>
      </c>
      <c r="W30" s="2043"/>
      <c r="X30" s="1830">
        <f t="shared" si="2"/>
        <v>20.5</v>
      </c>
      <c r="Y30" s="2043"/>
      <c r="Z30" s="1830"/>
      <c r="AA30" s="2044"/>
      <c r="AB30" s="2047"/>
      <c r="AC30" s="1846">
        <v>292.7</v>
      </c>
      <c r="AD30" s="2086"/>
      <c r="AE30" s="2047" t="s">
        <v>15</v>
      </c>
      <c r="AF30" s="1846">
        <v>305.2</v>
      </c>
      <c r="AG30" s="2051"/>
      <c r="AH30" s="2528"/>
      <c r="AI30" s="1471">
        <f t="shared" si="3"/>
        <v>-12.5</v>
      </c>
      <c r="AJ30" s="2529"/>
      <c r="AK30" s="1466">
        <f t="shared" si="4"/>
        <v>-4.1000000000000002E-2</v>
      </c>
    </row>
    <row r="31" spans="1:38" ht="15" customHeight="1">
      <c r="A31" s="2503"/>
      <c r="B31" s="2285" t="s">
        <v>1115</v>
      </c>
      <c r="C31" s="2067"/>
      <c r="D31" s="1830">
        <v>0</v>
      </c>
      <c r="E31" s="1448"/>
      <c r="F31" s="1830">
        <v>0</v>
      </c>
      <c r="G31" s="1448"/>
      <c r="H31" s="1830">
        <v>0</v>
      </c>
      <c r="I31" s="1471"/>
      <c r="J31" s="1830">
        <v>0</v>
      </c>
      <c r="K31" s="2043"/>
      <c r="L31" s="1830">
        <v>0</v>
      </c>
      <c r="M31" s="2043"/>
      <c r="N31" s="1830">
        <v>0</v>
      </c>
      <c r="O31" s="2043"/>
      <c r="P31" s="1830">
        <v>0</v>
      </c>
      <c r="Q31" s="2043"/>
      <c r="R31" s="1830">
        <v>0</v>
      </c>
      <c r="S31" s="2043"/>
      <c r="T31" s="1830">
        <v>0</v>
      </c>
      <c r="U31" s="2043"/>
      <c r="V31" s="1830">
        <v>0</v>
      </c>
      <c r="W31" s="2043"/>
      <c r="X31" s="1830">
        <f t="shared" si="2"/>
        <v>0</v>
      </c>
      <c r="Y31" s="2043"/>
      <c r="Z31" s="1830"/>
      <c r="AA31" s="2044"/>
      <c r="AB31" s="2047"/>
      <c r="AC31" s="1846">
        <v>0</v>
      </c>
      <c r="AD31" s="2086"/>
      <c r="AE31" s="2047" t="s">
        <v>15</v>
      </c>
      <c r="AF31" s="1846">
        <v>0</v>
      </c>
      <c r="AG31" s="2051"/>
      <c r="AH31" s="2528"/>
      <c r="AI31" s="1471">
        <f t="shared" si="3"/>
        <v>0</v>
      </c>
      <c r="AJ31" s="2529"/>
      <c r="AK31" s="1466">
        <f>ROUND(IF(AF31=0,0,AI31/ABS(AF31)),3)</f>
        <v>0</v>
      </c>
    </row>
    <row r="32" spans="1:38" ht="15" customHeight="1">
      <c r="A32" s="2503"/>
      <c r="B32" s="2285" t="s">
        <v>1116</v>
      </c>
      <c r="C32" s="2067"/>
      <c r="D32" s="1830">
        <v>20</v>
      </c>
      <c r="E32" s="1448"/>
      <c r="F32" s="1830">
        <v>20.9</v>
      </c>
      <c r="G32" s="1448"/>
      <c r="H32" s="1830">
        <v>26.000000000000007</v>
      </c>
      <c r="I32" s="1471"/>
      <c r="J32" s="1830">
        <v>25.599999999999994</v>
      </c>
      <c r="K32" s="2043"/>
      <c r="L32" s="1830">
        <v>19.499999999999993</v>
      </c>
      <c r="M32" s="2043"/>
      <c r="N32" s="1830">
        <v>23.500000000000007</v>
      </c>
      <c r="O32" s="2043"/>
      <c r="P32" s="1830">
        <v>19.099999999999994</v>
      </c>
      <c r="Q32" s="2043"/>
      <c r="R32" s="1830">
        <v>24.499999999999993</v>
      </c>
      <c r="S32" s="2043"/>
      <c r="T32" s="1830">
        <v>20.400000000000006</v>
      </c>
      <c r="U32" s="2043"/>
      <c r="V32" s="1830">
        <v>34.6</v>
      </c>
      <c r="W32" s="2043"/>
      <c r="X32" s="1830">
        <f t="shared" si="2"/>
        <v>12.300000000000004</v>
      </c>
      <c r="Y32" s="2043"/>
      <c r="Z32" s="1830"/>
      <c r="AA32" s="2044"/>
      <c r="AB32" s="2047"/>
      <c r="AC32" s="1846">
        <v>246.4</v>
      </c>
      <c r="AD32" s="2086"/>
      <c r="AE32" s="2047" t="s">
        <v>15</v>
      </c>
      <c r="AF32" s="1846">
        <v>243.5</v>
      </c>
      <c r="AG32" s="2051"/>
      <c r="AH32" s="2528"/>
      <c r="AI32" s="1471">
        <f t="shared" si="3"/>
        <v>2.9</v>
      </c>
      <c r="AJ32" s="2529"/>
      <c r="AK32" s="1466">
        <f t="shared" si="4"/>
        <v>1.2E-2</v>
      </c>
    </row>
    <row r="33" spans="1:38" ht="15" customHeight="1">
      <c r="A33" s="2503"/>
      <c r="B33" s="2285" t="s">
        <v>1117</v>
      </c>
      <c r="C33" s="2067"/>
      <c r="D33" s="1830">
        <v>0</v>
      </c>
      <c r="E33" s="1448"/>
      <c r="F33" s="1830">
        <v>0</v>
      </c>
      <c r="G33" s="1448"/>
      <c r="H33" s="1830">
        <v>0</v>
      </c>
      <c r="I33" s="1471"/>
      <c r="J33" s="1830">
        <v>0</v>
      </c>
      <c r="K33" s="2043"/>
      <c r="L33" s="1830">
        <v>0</v>
      </c>
      <c r="M33" s="2043"/>
      <c r="N33" s="1830">
        <v>0</v>
      </c>
      <c r="O33" s="2043"/>
      <c r="P33" s="1830">
        <v>0</v>
      </c>
      <c r="Q33" s="2043"/>
      <c r="R33" s="1830">
        <v>0</v>
      </c>
      <c r="S33" s="2043"/>
      <c r="T33" s="1830">
        <v>0</v>
      </c>
      <c r="U33" s="2043"/>
      <c r="V33" s="1830">
        <v>0</v>
      </c>
      <c r="W33" s="2043"/>
      <c r="X33" s="1830">
        <f t="shared" si="2"/>
        <v>0</v>
      </c>
      <c r="Y33" s="2043"/>
      <c r="Z33" s="1830"/>
      <c r="AA33" s="2044"/>
      <c r="AB33" s="2047"/>
      <c r="AC33" s="1846">
        <v>0</v>
      </c>
      <c r="AD33" s="2086"/>
      <c r="AE33" s="2047" t="s">
        <v>15</v>
      </c>
      <c r="AF33" s="1846">
        <v>0</v>
      </c>
      <c r="AG33" s="2051"/>
      <c r="AH33" s="2528"/>
      <c r="AI33" s="1471">
        <f t="shared" si="3"/>
        <v>0</v>
      </c>
      <c r="AJ33" s="2529"/>
      <c r="AK33" s="1466">
        <f t="shared" si="4"/>
        <v>0</v>
      </c>
    </row>
    <row r="34" spans="1:38" ht="15" customHeight="1">
      <c r="A34" s="2503"/>
      <c r="B34" s="2285" t="s">
        <v>1564</v>
      </c>
      <c r="C34" s="2067"/>
      <c r="D34" s="1830">
        <v>0</v>
      </c>
      <c r="E34" s="1448"/>
      <c r="F34" s="1830">
        <v>0</v>
      </c>
      <c r="G34" s="1448"/>
      <c r="H34" s="1830">
        <v>0</v>
      </c>
      <c r="I34" s="1471"/>
      <c r="J34" s="1830">
        <v>0</v>
      </c>
      <c r="K34" s="2043"/>
      <c r="L34" s="1830">
        <v>0</v>
      </c>
      <c r="M34" s="2043"/>
      <c r="N34" s="1830">
        <v>0</v>
      </c>
      <c r="O34" s="2043"/>
      <c r="P34" s="1830">
        <v>0</v>
      </c>
      <c r="Q34" s="2043"/>
      <c r="R34" s="1830">
        <v>0</v>
      </c>
      <c r="S34" s="2043"/>
      <c r="T34" s="1830">
        <v>0</v>
      </c>
      <c r="U34" s="2043"/>
      <c r="V34" s="1830">
        <v>0</v>
      </c>
      <c r="W34" s="2043"/>
      <c r="X34" s="1830">
        <f t="shared" si="2"/>
        <v>0</v>
      </c>
      <c r="Y34" s="2043"/>
      <c r="Z34" s="1830"/>
      <c r="AA34" s="2044"/>
      <c r="AB34" s="2093"/>
      <c r="AC34" s="1846">
        <v>0</v>
      </c>
      <c r="AD34" s="2086"/>
      <c r="AE34" s="2093" t="s">
        <v>15</v>
      </c>
      <c r="AF34" s="1846">
        <v>0</v>
      </c>
      <c r="AG34" s="2051"/>
      <c r="AH34" s="2528"/>
      <c r="AI34" s="1471">
        <f>ROUND(SUM(+AC34-AF34),1)</f>
        <v>0</v>
      </c>
      <c r="AJ34" s="2529"/>
      <c r="AK34" s="1466">
        <f>ROUND(IF(AF34=0,0,AI34/ABS(AF34)),3)</f>
        <v>0</v>
      </c>
    </row>
    <row r="35" spans="1:38" ht="15" customHeight="1">
      <c r="A35" s="2503"/>
      <c r="B35" s="2285" t="s">
        <v>1565</v>
      </c>
      <c r="C35" s="2067"/>
      <c r="D35" s="1830">
        <v>0</v>
      </c>
      <c r="E35" s="1448"/>
      <c r="F35" s="1830">
        <v>0</v>
      </c>
      <c r="G35" s="1448"/>
      <c r="H35" s="1830">
        <v>0</v>
      </c>
      <c r="I35" s="1471"/>
      <c r="J35" s="1830">
        <v>0</v>
      </c>
      <c r="K35" s="2043"/>
      <c r="L35" s="1830">
        <v>0</v>
      </c>
      <c r="M35" s="2043"/>
      <c r="N35" s="1830">
        <v>0</v>
      </c>
      <c r="O35" s="2043"/>
      <c r="P35" s="1830">
        <v>0</v>
      </c>
      <c r="Q35" s="2043"/>
      <c r="R35" s="1830">
        <v>0</v>
      </c>
      <c r="S35" s="2043"/>
      <c r="T35" s="1830">
        <v>0</v>
      </c>
      <c r="U35" s="2043"/>
      <c r="V35" s="1830">
        <v>16.899999999999999</v>
      </c>
      <c r="W35" s="2043"/>
      <c r="X35" s="1830">
        <f t="shared" si="2"/>
        <v>2.5</v>
      </c>
      <c r="Y35" s="2043"/>
      <c r="Z35" s="1830"/>
      <c r="AA35" s="2044"/>
      <c r="AB35" s="2047"/>
      <c r="AC35" s="1846">
        <v>19.399999999999999</v>
      </c>
      <c r="AD35" s="2086"/>
      <c r="AE35" s="2047" t="s">
        <v>15</v>
      </c>
      <c r="AF35" s="1846">
        <v>0</v>
      </c>
      <c r="AG35" s="2051"/>
      <c r="AH35" s="2528"/>
      <c r="AI35" s="1471">
        <f t="shared" ref="AI35" si="5">ROUND(SUM(+AC35-AF35),1)</f>
        <v>19.399999999999999</v>
      </c>
      <c r="AJ35" s="2529"/>
      <c r="AK35" s="1466">
        <f>ROUND(IF(AF35=0,1,AI35/ABS(AF35)),3)</f>
        <v>1</v>
      </c>
    </row>
    <row r="36" spans="1:38" ht="15" customHeight="1">
      <c r="A36" s="2503"/>
      <c r="B36" s="2531" t="s">
        <v>1118</v>
      </c>
      <c r="C36" s="2067"/>
      <c r="D36" s="1830">
        <v>0</v>
      </c>
      <c r="E36" s="1448"/>
      <c r="F36" s="1830">
        <v>0</v>
      </c>
      <c r="G36" s="1448"/>
      <c r="H36" s="1830">
        <v>0</v>
      </c>
      <c r="I36" s="1471"/>
      <c r="J36" s="1830">
        <v>0</v>
      </c>
      <c r="K36" s="2043"/>
      <c r="L36" s="1830">
        <v>0</v>
      </c>
      <c r="M36" s="2043"/>
      <c r="N36" s="1830">
        <v>0</v>
      </c>
      <c r="O36" s="2043"/>
      <c r="P36" s="1830">
        <v>0</v>
      </c>
      <c r="Q36" s="2043"/>
      <c r="R36" s="1830">
        <v>0</v>
      </c>
      <c r="S36" s="2043"/>
      <c r="T36" s="1830">
        <v>0</v>
      </c>
      <c r="U36" s="2043"/>
      <c r="V36" s="1830">
        <v>0</v>
      </c>
      <c r="W36" s="2043"/>
      <c r="X36" s="1830">
        <f t="shared" si="2"/>
        <v>0</v>
      </c>
      <c r="Y36" s="2043"/>
      <c r="Z36" s="1830"/>
      <c r="AA36" s="2044"/>
      <c r="AB36" s="2047"/>
      <c r="AC36" s="1846">
        <v>0</v>
      </c>
      <c r="AD36" s="2086"/>
      <c r="AE36" s="2047" t="s">
        <v>15</v>
      </c>
      <c r="AF36" s="1846">
        <v>0</v>
      </c>
      <c r="AG36" s="2051"/>
      <c r="AH36" s="2528"/>
      <c r="AI36" s="1471">
        <f t="shared" si="3"/>
        <v>0</v>
      </c>
      <c r="AJ36" s="2529"/>
      <c r="AK36" s="1466">
        <f t="shared" si="4"/>
        <v>0</v>
      </c>
    </row>
    <row r="37" spans="1:38" s="2534" customFormat="1" ht="15" customHeight="1">
      <c r="A37" s="2532"/>
      <c r="B37" s="2525" t="s">
        <v>1111</v>
      </c>
      <c r="C37" s="2480"/>
      <c r="D37" s="2526">
        <f>ROUND(SUM(D28:D36),1)</f>
        <v>585.29999999999995</v>
      </c>
      <c r="E37" s="1489"/>
      <c r="F37" s="2527">
        <f>ROUND(SUM(F28:F36),1)</f>
        <v>598.1</v>
      </c>
      <c r="G37" s="1489"/>
      <c r="H37" s="2526">
        <f>ROUND(SUM(H28:H36),1)</f>
        <v>796</v>
      </c>
      <c r="I37" s="1489"/>
      <c r="J37" s="2527">
        <f>ROUND(SUM(J28:J36),1)</f>
        <v>636.79999999999995</v>
      </c>
      <c r="K37" s="1489"/>
      <c r="L37" s="2087">
        <f>ROUND(SUM(L28:L36),1)</f>
        <v>629.6</v>
      </c>
      <c r="M37" s="1489"/>
      <c r="N37" s="2087">
        <f>ROUND(SUM(N28:N36),1)</f>
        <v>813.7</v>
      </c>
      <c r="O37" s="1489"/>
      <c r="P37" s="1488">
        <f>ROUND(SUM(P28:P36),1)</f>
        <v>626.4</v>
      </c>
      <c r="Q37" s="1489"/>
      <c r="R37" s="2087">
        <f>ROUND(SUM(R28:R36),1)</f>
        <v>635.29999999999995</v>
      </c>
      <c r="S37" s="1489"/>
      <c r="T37" s="2087">
        <f>ROUND(SUM(T28:T36),1)</f>
        <v>789.8</v>
      </c>
      <c r="U37" s="1489"/>
      <c r="V37" s="2087">
        <f>ROUND(SUM(V28:V36),1)</f>
        <v>711</v>
      </c>
      <c r="W37" s="1489"/>
      <c r="X37" s="2087">
        <f>ROUND(SUM(X28:X36),1)</f>
        <v>557.70000000000005</v>
      </c>
      <c r="Y37" s="1489"/>
      <c r="Z37" s="2087">
        <f>ROUND(SUM(Z28:Z36),1)</f>
        <v>0</v>
      </c>
      <c r="AA37" s="2055"/>
      <c r="AB37" s="2090"/>
      <c r="AC37" s="3274">
        <f>ROUND(SUM(AC28:AC36),1)</f>
        <v>7379.7</v>
      </c>
      <c r="AD37" s="2095"/>
      <c r="AE37" s="2609"/>
      <c r="AF37" s="1488">
        <f>ROUND(SUM(AF28:AF36),1)</f>
        <v>6990.3</v>
      </c>
      <c r="AG37" s="1489"/>
      <c r="AH37" s="2533"/>
      <c r="AI37" s="2087">
        <f>ROUND(SUM(AI28:AI36),1)</f>
        <v>389.4</v>
      </c>
      <c r="AJ37" s="1472"/>
      <c r="AK37" s="1473">
        <f>ROUND(SUM(+AI37/AF37),3)</f>
        <v>5.6000000000000001E-2</v>
      </c>
      <c r="AL37" s="2469"/>
    </row>
    <row r="38" spans="1:38" s="2534" customFormat="1" ht="15" customHeight="1">
      <c r="A38" s="2532"/>
      <c r="B38" s="2515" t="s">
        <v>1162</v>
      </c>
      <c r="C38" s="2480"/>
      <c r="D38" s="1472"/>
      <c r="E38" s="1489"/>
      <c r="F38" s="1490"/>
      <c r="G38" s="1489"/>
      <c r="H38" s="1472"/>
      <c r="I38" s="1489"/>
      <c r="J38" s="2086"/>
      <c r="K38" s="1489"/>
      <c r="L38" s="1472"/>
      <c r="M38" s="1489"/>
      <c r="N38" s="1472"/>
      <c r="O38" s="1489"/>
      <c r="P38" s="1490"/>
      <c r="Q38" s="1489"/>
      <c r="R38" s="1472"/>
      <c r="S38" s="1489"/>
      <c r="T38" s="1472"/>
      <c r="U38" s="1489"/>
      <c r="V38" s="1472"/>
      <c r="W38" s="1489"/>
      <c r="X38" s="1472"/>
      <c r="Y38" s="1489"/>
      <c r="Z38" s="1472"/>
      <c r="AA38" s="2055"/>
      <c r="AB38" s="2090"/>
      <c r="AC38" s="1490"/>
      <c r="AD38" s="2095"/>
      <c r="AE38" s="2609" t="s">
        <v>15</v>
      </c>
      <c r="AF38" s="1490"/>
      <c r="AG38" s="1489"/>
      <c r="AH38" s="2533"/>
      <c r="AI38" s="1472"/>
      <c r="AJ38" s="1472"/>
      <c r="AK38" s="2530"/>
      <c r="AL38" s="2469"/>
    </row>
    <row r="39" spans="1:38" s="2534" customFormat="1" ht="15" customHeight="1">
      <c r="A39" s="2532"/>
      <c r="B39" s="2285" t="s">
        <v>1120</v>
      </c>
      <c r="C39" s="2480"/>
      <c r="D39" s="1830">
        <v>274.10000000000002</v>
      </c>
      <c r="E39" s="1448"/>
      <c r="F39" s="1830">
        <v>-75.000000000000028</v>
      </c>
      <c r="G39" s="1448"/>
      <c r="H39" s="1830">
        <v>725.8</v>
      </c>
      <c r="I39" s="1489"/>
      <c r="J39" s="1830">
        <v>109.39999999999998</v>
      </c>
      <c r="K39" s="2043"/>
      <c r="L39" s="1830">
        <v>-21.4</v>
      </c>
      <c r="M39" s="2043"/>
      <c r="N39" s="1830">
        <v>791.3</v>
      </c>
      <c r="O39" s="2043"/>
      <c r="P39" s="1830">
        <v>71.5</v>
      </c>
      <c r="Q39" s="2043"/>
      <c r="R39" s="1830">
        <v>69.700000000000273</v>
      </c>
      <c r="S39" s="2043"/>
      <c r="T39" s="1830">
        <v>855.7</v>
      </c>
      <c r="U39" s="2043"/>
      <c r="V39" s="1830">
        <v>122.69999999999982</v>
      </c>
      <c r="W39" s="2043"/>
      <c r="X39" s="1830">
        <f t="shared" ref="X39:X43" si="6">$AC39-$D39-$F39-$H39-$J39-$L39-$N39-$P39-$R39-$T39-$V39</f>
        <v>-122.69999999999982</v>
      </c>
      <c r="Y39" s="2043"/>
      <c r="Z39" s="1830"/>
      <c r="AA39" s="2044"/>
      <c r="AB39" s="2047"/>
      <c r="AC39" s="1846">
        <v>2801.1</v>
      </c>
      <c r="AD39" s="2086"/>
      <c r="AE39" s="2047" t="s">
        <v>15</v>
      </c>
      <c r="AF39" s="1846">
        <v>2573.1999999999998</v>
      </c>
      <c r="AG39" s="1489"/>
      <c r="AH39" s="2533"/>
      <c r="AI39" s="1471">
        <f>ROUND(SUM(+AC39-AF39),1)</f>
        <v>227.9</v>
      </c>
      <c r="AJ39" s="1472"/>
      <c r="AK39" s="1466">
        <f>ROUND(IF(AF39=0,0,AI39/ABS(AF39)),3)</f>
        <v>8.8999999999999996E-2</v>
      </c>
      <c r="AL39" s="2469"/>
    </row>
    <row r="40" spans="1:38" s="2534" customFormat="1" ht="15" customHeight="1">
      <c r="A40" s="2532"/>
      <c r="B40" s="2285" t="s">
        <v>1121</v>
      </c>
      <c r="C40" s="2480"/>
      <c r="D40" s="1830">
        <v>16.3</v>
      </c>
      <c r="E40" s="1448"/>
      <c r="F40" s="1830">
        <v>1.8000000000000007</v>
      </c>
      <c r="G40" s="1448"/>
      <c r="H40" s="1830">
        <v>84.100000000000009</v>
      </c>
      <c r="I40" s="1489"/>
      <c r="J40" s="1830">
        <v>0.20000000000000284</v>
      </c>
      <c r="K40" s="2043"/>
      <c r="L40" s="1830">
        <v>-0.80000000000001137</v>
      </c>
      <c r="M40" s="2043"/>
      <c r="N40" s="1830">
        <v>105.49999999999997</v>
      </c>
      <c r="O40" s="2043"/>
      <c r="P40" s="1830">
        <v>2</v>
      </c>
      <c r="Q40" s="2043"/>
      <c r="R40" s="1830">
        <v>-1.9000000000000057</v>
      </c>
      <c r="S40" s="2043"/>
      <c r="T40" s="1830">
        <v>87.099999999999966</v>
      </c>
      <c r="U40" s="2043"/>
      <c r="V40" s="1830">
        <v>-0.99999999999994316</v>
      </c>
      <c r="W40" s="2043"/>
      <c r="X40" s="1830">
        <f t="shared" si="6"/>
        <v>0.69999999999998863</v>
      </c>
      <c r="Y40" s="2043"/>
      <c r="Z40" s="1830"/>
      <c r="AA40" s="2044"/>
      <c r="AB40" s="2047"/>
      <c r="AC40" s="1846">
        <v>294</v>
      </c>
      <c r="AD40" s="2086"/>
      <c r="AE40" s="2047" t="s">
        <v>15</v>
      </c>
      <c r="AF40" s="1846">
        <v>302.10000000000002</v>
      </c>
      <c r="AG40" s="1489"/>
      <c r="AH40" s="2533"/>
      <c r="AI40" s="1471">
        <f>ROUND(SUM(+AC40-AF40),1)</f>
        <v>-8.1</v>
      </c>
      <c r="AJ40" s="1472"/>
      <c r="AK40" s="1509">
        <f>ROUND(IF(AF40=0,0,AI40/ABS(AF40)),3)</f>
        <v>-2.7E-2</v>
      </c>
      <c r="AL40" s="2469"/>
    </row>
    <row r="41" spans="1:38" s="2534" customFormat="1" ht="15" customHeight="1">
      <c r="A41" s="2532"/>
      <c r="B41" s="2285" t="s">
        <v>1122</v>
      </c>
      <c r="C41" s="2480"/>
      <c r="D41" s="1830">
        <v>127.4</v>
      </c>
      <c r="E41" s="1448"/>
      <c r="F41" s="1830">
        <v>-3.6000000000000085</v>
      </c>
      <c r="G41" s="1448"/>
      <c r="H41" s="1830">
        <v>354.70000000000005</v>
      </c>
      <c r="I41" s="1489"/>
      <c r="J41" s="1830">
        <v>50.899999999999977</v>
      </c>
      <c r="K41" s="2043"/>
      <c r="L41" s="1830">
        <v>2.3000000000000682</v>
      </c>
      <c r="M41" s="2043"/>
      <c r="N41" s="1830">
        <v>387.79999999999995</v>
      </c>
      <c r="O41" s="2043"/>
      <c r="P41" s="1830">
        <v>2.7000000000000455</v>
      </c>
      <c r="Q41" s="2043"/>
      <c r="R41" s="1830">
        <v>25.599999999999909</v>
      </c>
      <c r="S41" s="2043"/>
      <c r="T41" s="1830">
        <v>395.09999999999991</v>
      </c>
      <c r="U41" s="2043"/>
      <c r="V41" s="1830">
        <v>2.2999999999999545</v>
      </c>
      <c r="W41" s="2043"/>
      <c r="X41" s="1830">
        <f t="shared" si="6"/>
        <v>0.79999999999995453</v>
      </c>
      <c r="Y41" s="2043"/>
      <c r="Z41" s="1830"/>
      <c r="AA41" s="2044"/>
      <c r="AB41" s="2047"/>
      <c r="AC41" s="1846">
        <v>1346</v>
      </c>
      <c r="AD41" s="2086"/>
      <c r="AE41" s="2047" t="s">
        <v>15</v>
      </c>
      <c r="AF41" s="1846">
        <v>1007.1</v>
      </c>
      <c r="AG41" s="1489"/>
      <c r="AH41" s="2533"/>
      <c r="AI41" s="1471">
        <f>ROUND(SUM(+AC41-AF41),1)</f>
        <v>338.9</v>
      </c>
      <c r="AJ41" s="1472"/>
      <c r="AK41" s="1466">
        <f>ROUND(IF(AF41=0,0,AI41/ABS(AF41)),3)</f>
        <v>0.33700000000000002</v>
      </c>
      <c r="AL41" s="2469"/>
    </row>
    <row r="42" spans="1:38" s="2534" customFormat="1" ht="15" customHeight="1">
      <c r="A42" s="2532"/>
      <c r="B42" s="2285" t="s">
        <v>1123</v>
      </c>
      <c r="C42" s="2480"/>
      <c r="D42" s="1830">
        <v>125.4</v>
      </c>
      <c r="E42" s="1448"/>
      <c r="F42" s="1830">
        <v>-104.7</v>
      </c>
      <c r="G42" s="1448"/>
      <c r="H42" s="1830">
        <v>-21.5</v>
      </c>
      <c r="I42" s="1489"/>
      <c r="J42" s="1830">
        <v>-0.29999999999999716</v>
      </c>
      <c r="K42" s="2043"/>
      <c r="L42" s="1830">
        <v>-0.20000000000000284</v>
      </c>
      <c r="M42" s="2043"/>
      <c r="N42" s="1830">
        <v>-1</v>
      </c>
      <c r="O42" s="2043"/>
      <c r="P42" s="1830">
        <v>-2.8999999999999915</v>
      </c>
      <c r="Q42" s="2043"/>
      <c r="R42" s="1830">
        <v>-36.599999999999994</v>
      </c>
      <c r="S42" s="2043"/>
      <c r="T42" s="1830">
        <v>13.899999999999977</v>
      </c>
      <c r="U42" s="2043"/>
      <c r="V42" s="1830">
        <v>-0.5</v>
      </c>
      <c r="W42" s="2043"/>
      <c r="X42" s="1830">
        <f t="shared" si="6"/>
        <v>19.599999999999994</v>
      </c>
      <c r="Y42" s="2043"/>
      <c r="Z42" s="1830"/>
      <c r="AA42" s="2044"/>
      <c r="AB42" s="2047"/>
      <c r="AC42" s="1846">
        <v>-8.8000000000000007</v>
      </c>
      <c r="AD42" s="2086"/>
      <c r="AE42" s="2047" t="s">
        <v>15</v>
      </c>
      <c r="AF42" s="1846">
        <v>-41.5</v>
      </c>
      <c r="AG42" s="1489"/>
      <c r="AH42" s="2533"/>
      <c r="AI42" s="1471">
        <f>ROUND(SUM(+AC42-AF42),1)</f>
        <v>32.700000000000003</v>
      </c>
      <c r="AJ42" s="1472"/>
      <c r="AK42" s="1509">
        <f>ROUND(IF(AF42=0,0,AI42/ABS(AF42)),3)</f>
        <v>0.78800000000000003</v>
      </c>
      <c r="AL42" s="2469"/>
    </row>
    <row r="43" spans="1:38" s="2534" customFormat="1" ht="15" customHeight="1">
      <c r="A43" s="2532"/>
      <c r="B43" s="2285" t="s">
        <v>1124</v>
      </c>
      <c r="C43" s="2480"/>
      <c r="D43" s="1830">
        <v>0</v>
      </c>
      <c r="E43" s="1448"/>
      <c r="F43" s="1830">
        <v>0</v>
      </c>
      <c r="G43" s="1448"/>
      <c r="H43" s="1830">
        <v>0</v>
      </c>
      <c r="I43" s="1489"/>
      <c r="J43" s="1830">
        <v>0</v>
      </c>
      <c r="K43" s="2043"/>
      <c r="L43" s="1830">
        <v>0</v>
      </c>
      <c r="M43" s="2043"/>
      <c r="N43" s="1830">
        <v>0</v>
      </c>
      <c r="O43" s="2043"/>
      <c r="P43" s="1830">
        <v>0</v>
      </c>
      <c r="Q43" s="2043"/>
      <c r="R43" s="1830">
        <v>0</v>
      </c>
      <c r="S43" s="2043"/>
      <c r="T43" s="1830">
        <v>0</v>
      </c>
      <c r="U43" s="2043"/>
      <c r="V43" s="1830">
        <v>0</v>
      </c>
      <c r="W43" s="2043"/>
      <c r="X43" s="1830">
        <f t="shared" si="6"/>
        <v>0</v>
      </c>
      <c r="Y43" s="2043"/>
      <c r="Z43" s="1830"/>
      <c r="AA43" s="2044"/>
      <c r="AB43" s="2047"/>
      <c r="AC43" s="1846">
        <v>0</v>
      </c>
      <c r="AD43" s="2086"/>
      <c r="AE43" s="2047" t="s">
        <v>15</v>
      </c>
      <c r="AF43" s="1846">
        <v>0</v>
      </c>
      <c r="AG43" s="1489"/>
      <c r="AH43" s="2533"/>
      <c r="AI43" s="1471">
        <f>ROUND(SUM(+AC43-AF43),1)</f>
        <v>0</v>
      </c>
      <c r="AJ43" s="1472"/>
      <c r="AK43" s="1466">
        <f>ROUND(IF(AF43=0,0,AI43/ABS(AF43)),3)</f>
        <v>0</v>
      </c>
      <c r="AL43" s="2469"/>
    </row>
    <row r="44" spans="1:38" s="2534" customFormat="1" ht="15" customHeight="1">
      <c r="A44" s="2532"/>
      <c r="B44" s="2525" t="s">
        <v>1119</v>
      </c>
      <c r="C44" s="2480"/>
      <c r="D44" s="2527">
        <f>ROUND(SUM(D39:D43),1)</f>
        <v>543.20000000000005</v>
      </c>
      <c r="E44" s="1489"/>
      <c r="F44" s="2527">
        <f>ROUND(SUM(F39:F43),1)</f>
        <v>-181.5</v>
      </c>
      <c r="G44" s="1489"/>
      <c r="H44" s="2527">
        <f>ROUND(SUM(H39:H43),1)</f>
        <v>1143.0999999999999</v>
      </c>
      <c r="I44" s="1489"/>
      <c r="J44" s="2527">
        <f>ROUND(SUM(J39:J43),1)</f>
        <v>160.19999999999999</v>
      </c>
      <c r="K44" s="1489"/>
      <c r="L44" s="1488">
        <f>ROUND(SUM(L39:L43),1)</f>
        <v>-20.100000000000001</v>
      </c>
      <c r="M44" s="1489"/>
      <c r="N44" s="1488">
        <f>ROUND(SUM(N39:N43),1)</f>
        <v>1283.5999999999999</v>
      </c>
      <c r="O44" s="1489"/>
      <c r="P44" s="1488">
        <f>ROUND(SUM(P39:P43),1)</f>
        <v>73.3</v>
      </c>
      <c r="Q44" s="1489"/>
      <c r="R44" s="1488">
        <f>ROUND(SUM(R39:R43),1)</f>
        <v>56.8</v>
      </c>
      <c r="S44" s="1489"/>
      <c r="T44" s="1488">
        <f>ROUND(SUM(T39:T43),1)</f>
        <v>1351.8</v>
      </c>
      <c r="U44" s="1489"/>
      <c r="V44" s="1488">
        <f>ROUND(SUM(V39:V43),1)</f>
        <v>123.5</v>
      </c>
      <c r="W44" s="1489"/>
      <c r="X44" s="1488">
        <f>ROUND(SUM(X39:X43),1)</f>
        <v>-101.6</v>
      </c>
      <c r="Y44" s="1489"/>
      <c r="Z44" s="1488">
        <f>ROUND(SUM(Z39:Z43),1)</f>
        <v>0</v>
      </c>
      <c r="AA44" s="2055"/>
      <c r="AB44" s="2090"/>
      <c r="AC44" s="3274">
        <f>ROUND(SUM(AC39:AC43),1)</f>
        <v>4432.3</v>
      </c>
      <c r="AD44" s="2095"/>
      <c r="AE44" s="2609"/>
      <c r="AF44" s="1488">
        <f>ROUND(SUM(AF39:AF43),1)</f>
        <v>3840.9</v>
      </c>
      <c r="AG44" s="1489"/>
      <c r="AH44" s="2533"/>
      <c r="AI44" s="1488">
        <f>ROUND(SUM(AI39:AI43),1)</f>
        <v>591.4</v>
      </c>
      <c r="AJ44" s="1472"/>
      <c r="AK44" s="1473">
        <f>ROUND(SUM(+AI44/AF44),3)</f>
        <v>0.154</v>
      </c>
      <c r="AL44" s="2469"/>
    </row>
    <row r="45" spans="1:38" s="2534" customFormat="1" ht="15" customHeight="1">
      <c r="A45" s="2532"/>
      <c r="B45" s="2515" t="s">
        <v>1163</v>
      </c>
      <c r="C45" s="2480"/>
      <c r="D45" s="1472"/>
      <c r="E45" s="1489"/>
      <c r="F45" s="1472"/>
      <c r="G45" s="1489"/>
      <c r="H45" s="1472"/>
      <c r="I45" s="1489"/>
      <c r="J45" s="1490"/>
      <c r="K45" s="1489"/>
      <c r="L45" s="1472"/>
      <c r="M45" s="1489"/>
      <c r="N45" s="1472"/>
      <c r="O45" s="1489"/>
      <c r="P45" s="1490"/>
      <c r="Q45" s="1489"/>
      <c r="R45" s="1472"/>
      <c r="S45" s="1489"/>
      <c r="T45" s="1472"/>
      <c r="U45" s="1489"/>
      <c r="V45" s="1472"/>
      <c r="W45" s="1489"/>
      <c r="X45" s="1472"/>
      <c r="Y45" s="1489"/>
      <c r="Z45" s="1472"/>
      <c r="AA45" s="2055"/>
      <c r="AB45" s="2090"/>
      <c r="AC45" s="1490"/>
      <c r="AD45" s="2095"/>
      <c r="AE45" s="2609"/>
      <c r="AF45" s="1490"/>
      <c r="AG45" s="1489"/>
      <c r="AH45" s="2533"/>
      <c r="AI45" s="1472"/>
      <c r="AJ45" s="1472"/>
      <c r="AK45" s="2530"/>
      <c r="AL45" s="2469"/>
    </row>
    <row r="46" spans="1:38" s="2534" customFormat="1" ht="15" customHeight="1">
      <c r="A46" s="2532"/>
      <c r="B46" s="2285" t="s">
        <v>1127</v>
      </c>
      <c r="C46" s="2480"/>
      <c r="D46" s="1830">
        <v>0</v>
      </c>
      <c r="E46" s="1448"/>
      <c r="F46" s="1830">
        <v>0</v>
      </c>
      <c r="G46" s="1448"/>
      <c r="H46" s="1830">
        <v>0</v>
      </c>
      <c r="I46" s="1489"/>
      <c r="J46" s="1830">
        <v>0</v>
      </c>
      <c r="K46" s="2043"/>
      <c r="L46" s="1830">
        <v>0</v>
      </c>
      <c r="M46" s="2043"/>
      <c r="N46" s="1830">
        <v>0</v>
      </c>
      <c r="O46" s="2043"/>
      <c r="P46" s="1830">
        <v>0</v>
      </c>
      <c r="Q46" s="2043"/>
      <c r="R46" s="1830">
        <v>0</v>
      </c>
      <c r="S46" s="2043"/>
      <c r="T46" s="1830">
        <v>0</v>
      </c>
      <c r="U46" s="2043"/>
      <c r="V46" s="1830">
        <v>0</v>
      </c>
      <c r="W46" s="2043"/>
      <c r="X46" s="1830">
        <f t="shared" ref="X46:X52" si="7">$AC46-$D46-$F46-$H46-$J46-$L46-$N46-$P46-$R46-$T46-$V46</f>
        <v>0</v>
      </c>
      <c r="Y46" s="2043"/>
      <c r="Z46" s="1830"/>
      <c r="AA46" s="2044"/>
      <c r="AB46" s="2047"/>
      <c r="AC46" s="1846">
        <v>0</v>
      </c>
      <c r="AD46" s="2086"/>
      <c r="AE46" s="2047" t="s">
        <v>15</v>
      </c>
      <c r="AF46" s="1846">
        <v>0</v>
      </c>
      <c r="AG46" s="1489"/>
      <c r="AH46" s="2533"/>
      <c r="AI46" s="1471">
        <f t="shared" ref="AI46:AI51" si="8">ROUND(SUM(+AC46-AF46),1)</f>
        <v>0</v>
      </c>
      <c r="AJ46" s="1472"/>
      <c r="AK46" s="1466">
        <f t="shared" ref="AK46:AK51" si="9">ROUND(IF(AF46=0,0,AI46/ABS(AF46)),3)</f>
        <v>0</v>
      </c>
      <c r="AL46" s="2469"/>
    </row>
    <row r="47" spans="1:38" s="2534" customFormat="1" ht="15" customHeight="1">
      <c r="A47" s="2532"/>
      <c r="B47" s="2285" t="s">
        <v>1128</v>
      </c>
      <c r="C47" s="2480"/>
      <c r="D47" s="1830">
        <v>79.7</v>
      </c>
      <c r="E47" s="1448"/>
      <c r="F47" s="1830">
        <v>57.3</v>
      </c>
      <c r="G47" s="1448"/>
      <c r="H47" s="1830">
        <v>62.199999999999989</v>
      </c>
      <c r="I47" s="1489"/>
      <c r="J47" s="1830">
        <v>124.69999999999999</v>
      </c>
      <c r="K47" s="2043"/>
      <c r="L47" s="1830">
        <v>41.800000000000011</v>
      </c>
      <c r="M47" s="2043"/>
      <c r="N47" s="1830">
        <v>53.800000000000011</v>
      </c>
      <c r="O47" s="2043"/>
      <c r="P47" s="1830">
        <v>163.20000000000005</v>
      </c>
      <c r="Q47" s="2043"/>
      <c r="R47" s="1830">
        <v>87.199999999999932</v>
      </c>
      <c r="S47" s="2043"/>
      <c r="T47" s="1830">
        <v>143.59999999999997</v>
      </c>
      <c r="U47" s="2043"/>
      <c r="V47" s="1830">
        <v>93.5</v>
      </c>
      <c r="W47" s="2043"/>
      <c r="X47" s="1830">
        <f t="shared" si="7"/>
        <v>115.50000000000006</v>
      </c>
      <c r="Y47" s="2043"/>
      <c r="Z47" s="1830"/>
      <c r="AA47" s="2044"/>
      <c r="AB47" s="2047"/>
      <c r="AC47" s="1846">
        <v>1022.5</v>
      </c>
      <c r="AD47" s="2086"/>
      <c r="AE47" s="2047" t="s">
        <v>15</v>
      </c>
      <c r="AF47" s="1846">
        <v>1014.4</v>
      </c>
      <c r="AG47" s="1489"/>
      <c r="AH47" s="2533"/>
      <c r="AI47" s="1471">
        <f t="shared" si="8"/>
        <v>8.1</v>
      </c>
      <c r="AJ47" s="1472"/>
      <c r="AK47" s="1466">
        <f t="shared" si="9"/>
        <v>8.0000000000000002E-3</v>
      </c>
      <c r="AL47" s="2469"/>
    </row>
    <row r="48" spans="1:38" s="2534" customFormat="1" ht="15" customHeight="1">
      <c r="A48" s="2532"/>
      <c r="B48" s="2285" t="s">
        <v>1129</v>
      </c>
      <c r="C48" s="2480"/>
      <c r="D48" s="1830">
        <v>0.9</v>
      </c>
      <c r="E48" s="1448"/>
      <c r="F48" s="1830">
        <v>1.1000000000000001</v>
      </c>
      <c r="G48" s="1448"/>
      <c r="H48" s="1830">
        <v>1.6</v>
      </c>
      <c r="I48" s="1489"/>
      <c r="J48" s="1830">
        <v>1.1999999999999997</v>
      </c>
      <c r="K48" s="2043"/>
      <c r="L48" s="1830">
        <v>2.2000000000000002</v>
      </c>
      <c r="M48" s="2043"/>
      <c r="N48" s="1830">
        <v>2.1000000000000005</v>
      </c>
      <c r="O48" s="2043"/>
      <c r="P48" s="1830">
        <v>1</v>
      </c>
      <c r="Q48" s="2043"/>
      <c r="R48" s="1830">
        <v>1.0999999999999996</v>
      </c>
      <c r="S48" s="2043"/>
      <c r="T48" s="1830">
        <v>1</v>
      </c>
      <c r="U48" s="2043"/>
      <c r="V48" s="1830">
        <v>0.70000000000000107</v>
      </c>
      <c r="W48" s="2043"/>
      <c r="X48" s="1830">
        <f t="shared" si="7"/>
        <v>0.90000000000000036</v>
      </c>
      <c r="Y48" s="2043"/>
      <c r="Z48" s="1830"/>
      <c r="AA48" s="2044"/>
      <c r="AB48" s="2047"/>
      <c r="AC48" s="1846">
        <v>13.8</v>
      </c>
      <c r="AD48" s="2086"/>
      <c r="AE48" s="2047" t="s">
        <v>15</v>
      </c>
      <c r="AF48" s="1846">
        <v>14.4</v>
      </c>
      <c r="AG48" s="1489"/>
      <c r="AH48" s="2533"/>
      <c r="AI48" s="1471">
        <f t="shared" si="8"/>
        <v>-0.6</v>
      </c>
      <c r="AJ48" s="1472"/>
      <c r="AK48" s="1466">
        <f t="shared" si="9"/>
        <v>-4.2000000000000003E-2</v>
      </c>
      <c r="AL48" s="2469"/>
    </row>
    <row r="49" spans="1:38" s="2534" customFormat="1" ht="15" customHeight="1">
      <c r="A49" s="2532"/>
      <c r="B49" s="2285" t="s">
        <v>1130</v>
      </c>
      <c r="C49" s="2480"/>
      <c r="D49" s="1830">
        <v>0</v>
      </c>
      <c r="E49" s="1448"/>
      <c r="F49" s="1830">
        <v>0</v>
      </c>
      <c r="G49" s="1448"/>
      <c r="H49" s="1830">
        <v>0</v>
      </c>
      <c r="I49" s="1489"/>
      <c r="J49" s="1830">
        <v>0</v>
      </c>
      <c r="K49" s="2043"/>
      <c r="L49" s="1830">
        <v>0</v>
      </c>
      <c r="M49" s="2043"/>
      <c r="N49" s="1830">
        <v>0</v>
      </c>
      <c r="O49" s="2043"/>
      <c r="P49" s="1830">
        <v>0</v>
      </c>
      <c r="Q49" s="2043"/>
      <c r="R49" s="1830">
        <v>0</v>
      </c>
      <c r="S49" s="2043"/>
      <c r="T49" s="1830">
        <v>0</v>
      </c>
      <c r="U49" s="2043"/>
      <c r="V49" s="1830">
        <v>0</v>
      </c>
      <c r="W49" s="2043"/>
      <c r="X49" s="1830">
        <f t="shared" si="7"/>
        <v>0</v>
      </c>
      <c r="Y49" s="2043"/>
      <c r="Z49" s="1830"/>
      <c r="AA49" s="2044"/>
      <c r="AB49" s="2047"/>
      <c r="AC49" s="1846">
        <v>0</v>
      </c>
      <c r="AD49" s="2086">
        <f>'Exhibit F'!AF1212</f>
        <v>0</v>
      </c>
      <c r="AE49" s="2047" t="s">
        <v>15</v>
      </c>
      <c r="AF49" s="1846">
        <v>0</v>
      </c>
      <c r="AG49" s="1489"/>
      <c r="AH49" s="2533"/>
      <c r="AI49" s="1471">
        <f t="shared" si="8"/>
        <v>0</v>
      </c>
      <c r="AJ49" s="1472"/>
      <c r="AK49" s="1466">
        <f t="shared" si="9"/>
        <v>0</v>
      </c>
      <c r="AL49" s="2469"/>
    </row>
    <row r="50" spans="1:38" s="2534" customFormat="1" ht="15" customHeight="1">
      <c r="A50" s="2532"/>
      <c r="B50" s="2285" t="s">
        <v>1131</v>
      </c>
      <c r="C50" s="2480"/>
      <c r="D50" s="1830">
        <v>0.2</v>
      </c>
      <c r="E50" s="1448"/>
      <c r="F50" s="1830">
        <v>9.9999999999999978E-2</v>
      </c>
      <c r="G50" s="1448"/>
      <c r="H50" s="1830">
        <v>0.3</v>
      </c>
      <c r="I50" s="1489"/>
      <c r="J50" s="1830">
        <v>0.20000000000000012</v>
      </c>
      <c r="K50" s="2043"/>
      <c r="L50" s="1830">
        <v>9.9999999999999867E-2</v>
      </c>
      <c r="M50" s="2043"/>
      <c r="N50" s="1830">
        <v>0</v>
      </c>
      <c r="O50" s="2043"/>
      <c r="P50" s="1830">
        <v>0.39999999999999997</v>
      </c>
      <c r="Q50" s="2043"/>
      <c r="R50" s="1830">
        <v>0.60000000000000009</v>
      </c>
      <c r="S50" s="2043"/>
      <c r="T50" s="1830">
        <v>0.10000000000000009</v>
      </c>
      <c r="U50" s="2043"/>
      <c r="V50" s="1830">
        <v>-0.10000000000000009</v>
      </c>
      <c r="W50" s="2043"/>
      <c r="X50" s="1830">
        <f t="shared" si="7"/>
        <v>0.10000000000000009</v>
      </c>
      <c r="Y50" s="2043"/>
      <c r="Z50" s="1830"/>
      <c r="AA50" s="2044"/>
      <c r="AB50" s="2047"/>
      <c r="AC50" s="1846">
        <v>2</v>
      </c>
      <c r="AD50" s="2086"/>
      <c r="AE50" s="2047" t="s">
        <v>15</v>
      </c>
      <c r="AF50" s="1846">
        <v>2.6</v>
      </c>
      <c r="AG50" s="1489"/>
      <c r="AH50" s="2533"/>
      <c r="AI50" s="1471">
        <f t="shared" si="8"/>
        <v>-0.6</v>
      </c>
      <c r="AJ50" s="1472"/>
      <c r="AK50" s="1466">
        <f>ROUND(IF(AF50=0,1,AI50/ABS(AF50)),3)</f>
        <v>-0.23100000000000001</v>
      </c>
      <c r="AL50" s="2469"/>
    </row>
    <row r="51" spans="1:38" s="2534" customFormat="1" ht="15" customHeight="1">
      <c r="A51" s="2532"/>
      <c r="B51" s="2531" t="s">
        <v>1220</v>
      </c>
      <c r="C51" s="2480"/>
      <c r="D51" s="1830">
        <v>0</v>
      </c>
      <c r="E51" s="1448"/>
      <c r="F51" s="1830">
        <v>0</v>
      </c>
      <c r="G51" s="1448"/>
      <c r="H51" s="1830">
        <v>0</v>
      </c>
      <c r="I51" s="1489"/>
      <c r="J51" s="1830">
        <v>0</v>
      </c>
      <c r="K51" s="2043"/>
      <c r="L51" s="1830">
        <v>0</v>
      </c>
      <c r="M51" s="2043"/>
      <c r="N51" s="1830">
        <v>0</v>
      </c>
      <c r="O51" s="2043"/>
      <c r="P51" s="1830">
        <v>0</v>
      </c>
      <c r="Q51" s="2043"/>
      <c r="R51" s="1830">
        <v>0</v>
      </c>
      <c r="S51" s="2043"/>
      <c r="T51" s="1830">
        <v>0</v>
      </c>
      <c r="U51" s="2043"/>
      <c r="V51" s="1830">
        <v>0</v>
      </c>
      <c r="W51" s="2043"/>
      <c r="X51" s="1830">
        <f t="shared" si="7"/>
        <v>0</v>
      </c>
      <c r="Y51" s="2043"/>
      <c r="Z51" s="1830"/>
      <c r="AA51" s="2044"/>
      <c r="AB51" s="2047"/>
      <c r="AC51" s="1846">
        <v>0</v>
      </c>
      <c r="AD51" s="2086"/>
      <c r="AE51" s="2047" t="s">
        <v>15</v>
      </c>
      <c r="AF51" s="1846">
        <v>0</v>
      </c>
      <c r="AG51" s="1489"/>
      <c r="AH51" s="2533"/>
      <c r="AI51" s="1471">
        <f t="shared" si="8"/>
        <v>0</v>
      </c>
      <c r="AJ51" s="1472"/>
      <c r="AK51" s="1466">
        <f t="shared" si="9"/>
        <v>0</v>
      </c>
      <c r="AL51" s="2469"/>
    </row>
    <row r="52" spans="1:38" s="2534" customFormat="1" ht="15" customHeight="1">
      <c r="A52" s="2532"/>
      <c r="B52" s="2522" t="s">
        <v>1426</v>
      </c>
      <c r="C52" s="2517"/>
      <c r="D52" s="1830">
        <v>0.1</v>
      </c>
      <c r="E52" s="1448"/>
      <c r="F52" s="1830">
        <v>0</v>
      </c>
      <c r="G52" s="1448"/>
      <c r="H52" s="1830">
        <v>0</v>
      </c>
      <c r="I52" s="2521"/>
      <c r="J52" s="1830">
        <v>0.1</v>
      </c>
      <c r="K52" s="2043"/>
      <c r="L52" s="1830">
        <v>9.9999999999999978E-2</v>
      </c>
      <c r="M52" s="2043"/>
      <c r="N52" s="1830">
        <v>0</v>
      </c>
      <c r="O52" s="2043"/>
      <c r="P52" s="1830">
        <v>0.10000000000000006</v>
      </c>
      <c r="Q52" s="2043"/>
      <c r="R52" s="1830">
        <v>0.1</v>
      </c>
      <c r="S52" s="2043"/>
      <c r="T52" s="1830">
        <v>0.19999999999999993</v>
      </c>
      <c r="U52" s="2043"/>
      <c r="V52" s="1830">
        <v>0.20000000000000009</v>
      </c>
      <c r="W52" s="2043"/>
      <c r="X52" s="1830">
        <f t="shared" si="7"/>
        <v>0</v>
      </c>
      <c r="Y52" s="2043"/>
      <c r="Z52" s="1830"/>
      <c r="AA52" s="2044"/>
      <c r="AB52" s="2047"/>
      <c r="AC52" s="1846">
        <v>0.9</v>
      </c>
      <c r="AD52" s="2086"/>
      <c r="AE52" s="2047" t="s">
        <v>15</v>
      </c>
      <c r="AF52" s="1846">
        <v>0</v>
      </c>
      <c r="AG52" s="2235"/>
      <c r="AH52" s="2519"/>
      <c r="AI52" s="2045">
        <f>ROUND(SUM(+AC52-AF52),1)</f>
        <v>0.9</v>
      </c>
      <c r="AJ52" s="2520"/>
      <c r="AK52" s="1765">
        <f>ROUND(IF(AF52=0,1,AI52/ABS(AF52)),3)</f>
        <v>1</v>
      </c>
      <c r="AL52" s="2469"/>
    </row>
    <row r="53" spans="1:38" s="2534" customFormat="1" ht="15" customHeight="1">
      <c r="A53" s="2532"/>
      <c r="B53" s="2525" t="s">
        <v>1125</v>
      </c>
      <c r="C53" s="2480"/>
      <c r="D53" s="2527">
        <f>ROUND(SUM(D46:D52),1)</f>
        <v>80.900000000000006</v>
      </c>
      <c r="E53" s="1489"/>
      <c r="F53" s="2527">
        <f>ROUND(SUM(F46:F52),1)</f>
        <v>58.5</v>
      </c>
      <c r="G53" s="1489"/>
      <c r="H53" s="2527">
        <f>ROUND(SUM(H46:H52),1)</f>
        <v>64.099999999999994</v>
      </c>
      <c r="I53" s="1489"/>
      <c r="J53" s="2527">
        <f>ROUND(SUM(J46:J52),1)</f>
        <v>126.2</v>
      </c>
      <c r="K53" s="1489"/>
      <c r="L53" s="1488">
        <f>ROUND(SUM(L46:L52),1)</f>
        <v>44.2</v>
      </c>
      <c r="M53" s="1489"/>
      <c r="N53" s="1488">
        <f>ROUND(SUM(N46:N52),1)</f>
        <v>55.9</v>
      </c>
      <c r="O53" s="1489"/>
      <c r="P53" s="1488">
        <f>ROUND(SUM(P46:P52),1)</f>
        <v>164.7</v>
      </c>
      <c r="Q53" s="1489"/>
      <c r="R53" s="1488">
        <f>ROUND(SUM(R46:R52),1)</f>
        <v>89</v>
      </c>
      <c r="S53" s="1489"/>
      <c r="T53" s="1488">
        <f>ROUND(SUM(T46:T52),1)</f>
        <v>144.9</v>
      </c>
      <c r="U53" s="1489"/>
      <c r="V53" s="1488">
        <f>ROUND(SUM(V46:V52),1)</f>
        <v>94.3</v>
      </c>
      <c r="W53" s="1489"/>
      <c r="X53" s="1488">
        <f>ROUND(SUM(X46:X52),1)</f>
        <v>116.5</v>
      </c>
      <c r="Y53" s="1489"/>
      <c r="Z53" s="1488">
        <f>ROUND(SUM(Z46:Z52),1)</f>
        <v>0</v>
      </c>
      <c r="AA53" s="2055"/>
      <c r="AB53" s="2090"/>
      <c r="AC53" s="3274">
        <f>ROUND(SUM(AC46:AC52),1)</f>
        <v>1039.2</v>
      </c>
      <c r="AD53" s="2095"/>
      <c r="AE53" s="2609"/>
      <c r="AF53" s="1488">
        <f>ROUND(SUM(AF46:AF52),1)</f>
        <v>1031.4000000000001</v>
      </c>
      <c r="AG53" s="1489"/>
      <c r="AH53" s="2533"/>
      <c r="AI53" s="1488">
        <f>ROUND(SUM(AI46:AI52),1)</f>
        <v>7.8</v>
      </c>
      <c r="AJ53" s="1472"/>
      <c r="AK53" s="1473">
        <f>ROUND(SUM(+AI53/AF53),3)</f>
        <v>8.0000000000000002E-3</v>
      </c>
      <c r="AL53" s="2469"/>
    </row>
    <row r="54" spans="1:38" s="2534" customFormat="1" ht="15" customHeight="1">
      <c r="A54" s="2532"/>
      <c r="B54" s="2525"/>
      <c r="C54" s="2480"/>
      <c r="D54" s="1472"/>
      <c r="E54" s="1489"/>
      <c r="F54" s="1472"/>
      <c r="G54" s="1472"/>
      <c r="H54" s="1472"/>
      <c r="I54" s="1472"/>
      <c r="J54" s="1490"/>
      <c r="K54" s="1472"/>
      <c r="L54" s="1472"/>
      <c r="M54" s="1472"/>
      <c r="N54" s="1472"/>
      <c r="O54" s="1472"/>
      <c r="P54" s="1490"/>
      <c r="Q54" s="1472"/>
      <c r="R54" s="1472"/>
      <c r="S54" s="1472"/>
      <c r="T54" s="1472"/>
      <c r="U54" s="1472"/>
      <c r="V54" s="1472"/>
      <c r="W54" s="1472"/>
      <c r="X54" s="1490"/>
      <c r="Y54" s="1472"/>
      <c r="Z54" s="1490"/>
      <c r="AA54" s="2055"/>
      <c r="AB54" s="2090"/>
      <c r="AC54" s="1490"/>
      <c r="AD54" s="2095"/>
      <c r="AE54" s="2609"/>
      <c r="AF54" s="1490"/>
      <c r="AG54" s="1489"/>
      <c r="AH54" s="2533"/>
      <c r="AI54" s="1472"/>
      <c r="AJ54" s="1472"/>
      <c r="AK54" s="2530"/>
      <c r="AL54" s="2469"/>
    </row>
    <row r="55" spans="1:38" ht="15" customHeight="1">
      <c r="A55" s="2503"/>
      <c r="B55" s="2525" t="s">
        <v>1126</v>
      </c>
      <c r="C55" s="2067"/>
      <c r="D55" s="2535">
        <f>ROUND(SUM(D26+D37+D44+D53),1)</f>
        <v>5817.1</v>
      </c>
      <c r="E55" s="1471"/>
      <c r="F55" s="2535">
        <f>ROUND(SUM(F26+F37+F44+F53),1)</f>
        <v>1717.4</v>
      </c>
      <c r="G55" s="1471"/>
      <c r="H55" s="2535">
        <f>ROUND(SUM(H26+H37+H44+H53),1)</f>
        <v>4608.2</v>
      </c>
      <c r="I55" s="1471"/>
      <c r="J55" s="2535">
        <f>ROUND(SUM(J26+J37+J44+J53),1)</f>
        <v>2589</v>
      </c>
      <c r="K55" s="2051"/>
      <c r="L55" s="2028">
        <f>ROUND(SUM(L26+L37+L44+L53),1)</f>
        <v>2107.9</v>
      </c>
      <c r="M55" s="2051"/>
      <c r="N55" s="2028">
        <f>ROUND(SUM(N26+N37+N44+N53),1)</f>
        <v>4568.8999999999996</v>
      </c>
      <c r="O55" s="2051"/>
      <c r="P55" s="2028">
        <f>ROUND(SUM(P26+P37+P44+P53),1)</f>
        <v>2153.4</v>
      </c>
      <c r="Q55" s="2051"/>
      <c r="R55" s="2028">
        <f>ROUND(SUM(R26+R37+R44+R53),1)</f>
        <v>2012.8</v>
      </c>
      <c r="S55" s="2051"/>
      <c r="T55" s="2028">
        <f>ROUND(SUM(T26+T37+T44+T53),1)</f>
        <v>4392</v>
      </c>
      <c r="U55" s="2051"/>
      <c r="V55" s="2028">
        <f>ROUND(SUM(V26+V37+V44+V53),1)</f>
        <v>3271</v>
      </c>
      <c r="W55" s="2051"/>
      <c r="X55" s="2028">
        <f>ROUND(SUM(X26+X37+X44+X53),1)</f>
        <v>2421</v>
      </c>
      <c r="Y55" s="2051"/>
      <c r="Z55" s="2028">
        <f>ROUND(SUM(Z26+Z37+Z44+Z53),1)</f>
        <v>0</v>
      </c>
      <c r="AA55" s="1491"/>
      <c r="AB55" s="2088"/>
      <c r="AC55" s="3276">
        <f>ROUND(SUM(AC26+AC37+AC44+AC53),1)</f>
        <v>35658.699999999997</v>
      </c>
      <c r="AD55" s="2040"/>
      <c r="AE55" s="2084"/>
      <c r="AF55" s="2028">
        <f>ROUND(SUM(AF26+AF37+AF44+AF53),1)</f>
        <v>31716.799999999999</v>
      </c>
      <c r="AG55" s="2051"/>
      <c r="AH55" s="2528"/>
      <c r="AI55" s="2028">
        <f>ROUND(SUM(AI26+AI37+AI44+AI53),1)</f>
        <v>3941.9</v>
      </c>
      <c r="AJ55" s="2529"/>
      <c r="AK55" s="1463">
        <f>ROUND(SUM(+AI55/AF55),3)</f>
        <v>0.124</v>
      </c>
    </row>
    <row r="56" spans="1:38" ht="8.25" customHeight="1">
      <c r="A56" s="2503"/>
      <c r="B56" s="2521"/>
      <c r="C56" s="2067"/>
      <c r="D56" s="1471"/>
      <c r="E56" s="1471"/>
      <c r="F56" s="1471"/>
      <c r="G56" s="1471"/>
      <c r="H56" s="1471"/>
      <c r="I56" s="1471"/>
      <c r="J56" s="2045"/>
      <c r="K56" s="2051"/>
      <c r="L56" s="2051"/>
      <c r="M56" s="2051"/>
      <c r="N56" s="2051"/>
      <c r="O56" s="2051"/>
      <c r="P56" s="2040"/>
      <c r="Q56" s="2051"/>
      <c r="R56" s="2051"/>
      <c r="S56" s="2051"/>
      <c r="T56" s="2051"/>
      <c r="U56" s="2051"/>
      <c r="V56" s="2051"/>
      <c r="W56" s="2051"/>
      <c r="X56" s="2051"/>
      <c r="Y56" s="2051"/>
      <c r="Z56" s="2051"/>
      <c r="AA56" s="1491"/>
      <c r="AB56" s="2088"/>
      <c r="AC56" s="2045"/>
      <c r="AD56" s="2040"/>
      <c r="AE56" s="2084"/>
      <c r="AF56" s="2040"/>
      <c r="AG56" s="2051"/>
      <c r="AH56" s="2528"/>
      <c r="AI56" s="1471"/>
      <c r="AJ56" s="2529"/>
      <c r="AK56" s="1459"/>
    </row>
    <row r="57" spans="1:38" ht="15" customHeight="1">
      <c r="A57" s="2503"/>
      <c r="B57" s="2514" t="s">
        <v>1033</v>
      </c>
      <c r="C57" s="2536"/>
      <c r="D57" s="1471"/>
      <c r="E57" s="2537"/>
      <c r="F57" s="1471"/>
      <c r="G57" s="2537"/>
      <c r="H57" s="1471"/>
      <c r="I57" s="1471"/>
      <c r="J57" s="2045"/>
      <c r="K57" s="2051"/>
      <c r="L57" s="2051"/>
      <c r="M57" s="2051"/>
      <c r="N57" s="2051"/>
      <c r="O57" s="2051"/>
      <c r="P57" s="2040"/>
      <c r="Q57" s="2051"/>
      <c r="R57" s="2051"/>
      <c r="S57" s="2051"/>
      <c r="T57" s="2051"/>
      <c r="U57" s="2051"/>
      <c r="V57" s="2051"/>
      <c r="W57" s="2051"/>
      <c r="X57" s="2051"/>
      <c r="Y57" s="2051"/>
      <c r="Z57" s="2051"/>
      <c r="AA57" s="1491"/>
      <c r="AB57" s="2088"/>
      <c r="AC57" s="2045"/>
      <c r="AD57" s="2040"/>
      <c r="AE57" s="2084"/>
      <c r="AF57" s="2040"/>
      <c r="AG57" s="2051"/>
      <c r="AH57" s="2528"/>
      <c r="AI57" s="1471"/>
      <c r="AJ57" s="2529"/>
      <c r="AK57" s="1459"/>
    </row>
    <row r="58" spans="1:38" ht="15" customHeight="1">
      <c r="A58" s="2503"/>
      <c r="B58" s="2538" t="s">
        <v>1154</v>
      </c>
      <c r="C58" s="2536"/>
      <c r="D58" s="1471"/>
      <c r="E58" s="2537"/>
      <c r="F58" s="1471"/>
      <c r="G58" s="2537"/>
      <c r="H58" s="1471"/>
      <c r="I58" s="1471"/>
      <c r="J58" s="2045"/>
      <c r="K58" s="2051"/>
      <c r="L58" s="2051"/>
      <c r="M58" s="2051"/>
      <c r="N58" s="2051"/>
      <c r="O58" s="2051"/>
      <c r="P58" s="2040"/>
      <c r="Q58" s="2051"/>
      <c r="R58" s="2051"/>
      <c r="S58" s="2051"/>
      <c r="T58" s="2051"/>
      <c r="U58" s="2051"/>
      <c r="V58" s="2051"/>
      <c r="W58" s="2051"/>
      <c r="X58" s="2051"/>
      <c r="Y58" s="2051"/>
      <c r="Z58" s="2051"/>
      <c r="AA58" s="1491"/>
      <c r="AB58" s="2091"/>
      <c r="AC58" s="2045"/>
      <c r="AD58" s="2040"/>
      <c r="AE58" s="2084"/>
      <c r="AF58" s="2045"/>
      <c r="AG58" s="2051"/>
      <c r="AH58" s="2528"/>
      <c r="AI58" s="1471"/>
      <c r="AJ58" s="2529"/>
      <c r="AK58" s="1459"/>
    </row>
    <row r="59" spans="1:38" ht="15" customHeight="1">
      <c r="A59" s="2503"/>
      <c r="B59" s="2538" t="s">
        <v>1031</v>
      </c>
      <c r="C59" s="2538"/>
      <c r="D59" s="1830">
        <v>0.9</v>
      </c>
      <c r="E59" s="2537"/>
      <c r="F59" s="1830">
        <v>9.9999999999999978E-2</v>
      </c>
      <c r="G59" s="2537"/>
      <c r="H59" s="1830">
        <v>0</v>
      </c>
      <c r="I59" s="1471"/>
      <c r="J59" s="1830">
        <v>0.30000000000000004</v>
      </c>
      <c r="K59" s="2043"/>
      <c r="L59" s="1830">
        <v>4.8</v>
      </c>
      <c r="M59" s="2043"/>
      <c r="N59" s="1830">
        <v>30.2</v>
      </c>
      <c r="O59" s="2043"/>
      <c r="P59" s="1830">
        <v>35</v>
      </c>
      <c r="Q59" s="2043"/>
      <c r="R59" s="1830">
        <v>215</v>
      </c>
      <c r="S59" s="2043"/>
      <c r="T59" s="1830">
        <v>0</v>
      </c>
      <c r="U59" s="2043"/>
      <c r="V59" s="1830">
        <v>0</v>
      </c>
      <c r="W59" s="2043"/>
      <c r="X59" s="1830">
        <f t="shared" ref="X59:X92" si="10">$AC59-$D59-$F59-$H59-$J59-$L59-$N59-$P59-$R59-$T59-$V59</f>
        <v>24</v>
      </c>
      <c r="Y59" s="2043"/>
      <c r="Z59" s="1830"/>
      <c r="AA59" s="2044"/>
      <c r="AB59" s="2047"/>
      <c r="AC59" s="1846">
        <v>310.3</v>
      </c>
      <c r="AD59" s="2086"/>
      <c r="AE59" s="2047" t="s">
        <v>15</v>
      </c>
      <c r="AF59" s="1846">
        <v>337.5</v>
      </c>
      <c r="AG59" s="2539"/>
      <c r="AH59" s="2540"/>
      <c r="AI59" s="1471">
        <f>ROUND(SUM(+AC59-AF59),1)</f>
        <v>-27.2</v>
      </c>
      <c r="AJ59" s="2529"/>
      <c r="AK59" s="1466">
        <f>ROUND(IF(AF59=0,1,AI59/ABS(AF59)),3)</f>
        <v>-8.1000000000000003E-2</v>
      </c>
    </row>
    <row r="60" spans="1:38" ht="15" customHeight="1">
      <c r="A60" s="2503"/>
      <c r="B60" s="2538" t="s">
        <v>1032</v>
      </c>
      <c r="C60" s="2538"/>
      <c r="D60" s="1830">
        <v>0.2</v>
      </c>
      <c r="E60" s="2537"/>
      <c r="F60" s="1830">
        <v>0.3</v>
      </c>
      <c r="G60" s="2537"/>
      <c r="H60" s="1830">
        <v>8.1999999999999993</v>
      </c>
      <c r="I60" s="1471"/>
      <c r="J60" s="1830">
        <v>0.30000000000000071</v>
      </c>
      <c r="K60" s="2043"/>
      <c r="L60" s="1830">
        <v>9.9999999999999645E-2</v>
      </c>
      <c r="M60" s="2043"/>
      <c r="N60" s="1830">
        <v>39.1</v>
      </c>
      <c r="O60" s="2043"/>
      <c r="P60" s="1830">
        <v>0.29999999999999716</v>
      </c>
      <c r="Q60" s="2043"/>
      <c r="R60" s="1830">
        <v>0.29999999999999716</v>
      </c>
      <c r="S60" s="2043"/>
      <c r="T60" s="1830">
        <v>23.200000000000003</v>
      </c>
      <c r="U60" s="2043"/>
      <c r="V60" s="1830">
        <v>0.59999999999999432</v>
      </c>
      <c r="W60" s="2043"/>
      <c r="X60" s="1830">
        <f t="shared" si="10"/>
        <v>0.10000000000000853</v>
      </c>
      <c r="Y60" s="2043"/>
      <c r="Z60" s="1830"/>
      <c r="AA60" s="2044"/>
      <c r="AB60" s="2047"/>
      <c r="AC60" s="1846">
        <v>72.7</v>
      </c>
      <c r="AD60" s="2086"/>
      <c r="AE60" s="2047" t="s">
        <v>15</v>
      </c>
      <c r="AF60" s="1846">
        <v>73.5</v>
      </c>
      <c r="AG60" s="2052"/>
      <c r="AH60" s="2528"/>
      <c r="AI60" s="1471">
        <f>ROUND(SUM(+AC60-AF60),1)</f>
        <v>-0.8</v>
      </c>
      <c r="AJ60" s="2529"/>
      <c r="AK60" s="1466">
        <f>ROUND(IF(AF60=0,0,AI60/ABS(AF60)),3)</f>
        <v>-1.0999999999999999E-2</v>
      </c>
    </row>
    <row r="61" spans="1:38" ht="15" customHeight="1">
      <c r="A61" s="2503"/>
      <c r="B61" s="2538" t="s">
        <v>1155</v>
      </c>
      <c r="C61" s="2538"/>
      <c r="D61" s="1830" t="s">
        <v>15</v>
      </c>
      <c r="E61" s="2537"/>
      <c r="F61" s="1830"/>
      <c r="G61" s="2537"/>
      <c r="H61" s="1830"/>
      <c r="I61" s="1471"/>
      <c r="J61" s="1830"/>
      <c r="K61" s="2040"/>
      <c r="L61" s="1830"/>
      <c r="M61" s="2040"/>
      <c r="N61" s="1830"/>
      <c r="O61" s="2040"/>
      <c r="P61" s="1830"/>
      <c r="Q61" s="2040"/>
      <c r="R61" s="1830"/>
      <c r="S61" s="2040"/>
      <c r="T61" s="1830"/>
      <c r="U61" s="2040"/>
      <c r="V61" s="1830"/>
      <c r="W61" s="2040"/>
      <c r="X61" s="1830"/>
      <c r="Y61" s="2040"/>
      <c r="Z61" s="1830"/>
      <c r="AA61" s="2036"/>
      <c r="AB61" s="2092"/>
      <c r="AC61" s="3277"/>
      <c r="AD61" s="2021"/>
      <c r="AE61" s="2042"/>
      <c r="AF61" s="3277"/>
      <c r="AG61" s="2052"/>
      <c r="AH61" s="2528"/>
      <c r="AI61" s="1471"/>
      <c r="AJ61" s="2529"/>
      <c r="AK61" s="1459"/>
    </row>
    <row r="62" spans="1:38" ht="15" customHeight="1">
      <c r="A62" s="2503"/>
      <c r="B62" s="2538" t="s">
        <v>1036</v>
      </c>
      <c r="C62" s="2538"/>
      <c r="D62" s="1830">
        <v>0</v>
      </c>
      <c r="E62" s="2537"/>
      <c r="F62" s="1830">
        <v>0</v>
      </c>
      <c r="G62" s="2537"/>
      <c r="H62" s="1830">
        <v>0</v>
      </c>
      <c r="I62" s="1471"/>
      <c r="J62" s="1830">
        <v>0</v>
      </c>
      <c r="K62" s="2043"/>
      <c r="L62" s="1830">
        <v>0</v>
      </c>
      <c r="M62" s="2043"/>
      <c r="N62" s="1830">
        <v>0</v>
      </c>
      <c r="O62" s="2043"/>
      <c r="P62" s="1830">
        <v>0</v>
      </c>
      <c r="Q62" s="2043"/>
      <c r="R62" s="1830">
        <v>0</v>
      </c>
      <c r="S62" s="2043"/>
      <c r="T62" s="1830">
        <v>0</v>
      </c>
      <c r="U62" s="2043"/>
      <c r="V62" s="1830">
        <v>0</v>
      </c>
      <c r="W62" s="2043"/>
      <c r="X62" s="1830">
        <f t="shared" si="10"/>
        <v>0</v>
      </c>
      <c r="Y62" s="2043"/>
      <c r="Z62" s="1830"/>
      <c r="AA62" s="2044"/>
      <c r="AB62" s="2047"/>
      <c r="AC62" s="1846">
        <v>0</v>
      </c>
      <c r="AD62" s="2086"/>
      <c r="AE62" s="2047" t="s">
        <v>15</v>
      </c>
      <c r="AF62" s="1846">
        <v>0</v>
      </c>
      <c r="AG62" s="2539"/>
      <c r="AH62" s="2540"/>
      <c r="AI62" s="1471">
        <f>ROUND(SUM(+AC62-AF62),1)</f>
        <v>0</v>
      </c>
      <c r="AJ62" s="2529"/>
      <c r="AK62" s="1466">
        <f>ROUND(IF(AF62=0,0,AI62/ABS(AF62)),3)</f>
        <v>0</v>
      </c>
    </row>
    <row r="63" spans="1:38" ht="15" customHeight="1">
      <c r="A63" s="2503"/>
      <c r="B63" s="2538" t="s">
        <v>1037</v>
      </c>
      <c r="C63" s="2538"/>
      <c r="D63" s="1830">
        <v>0</v>
      </c>
      <c r="E63" s="2537"/>
      <c r="F63" s="1830">
        <v>4.2</v>
      </c>
      <c r="G63" s="2537"/>
      <c r="H63" s="1830">
        <v>4.3</v>
      </c>
      <c r="I63" s="1471"/>
      <c r="J63" s="1830">
        <v>3.8000000000000016</v>
      </c>
      <c r="K63" s="2043"/>
      <c r="L63" s="1830">
        <v>2.5999999999999979</v>
      </c>
      <c r="M63" s="2043"/>
      <c r="N63" s="1830">
        <v>1.9000000000000012</v>
      </c>
      <c r="O63" s="2043"/>
      <c r="P63" s="1830">
        <v>2.5</v>
      </c>
      <c r="Q63" s="2043"/>
      <c r="R63" s="1830">
        <v>3.3999999999999995</v>
      </c>
      <c r="S63" s="2043"/>
      <c r="T63" s="1830">
        <v>6.9999999999999991</v>
      </c>
      <c r="U63" s="2043"/>
      <c r="V63" s="1830">
        <v>4.5000000000000044</v>
      </c>
      <c r="W63" s="2043"/>
      <c r="X63" s="1830">
        <f t="shared" si="10"/>
        <v>3.6999999999999913</v>
      </c>
      <c r="Y63" s="2043"/>
      <c r="Z63" s="1830"/>
      <c r="AA63" s="2044"/>
      <c r="AB63" s="2047"/>
      <c r="AC63" s="1846">
        <v>37.9</v>
      </c>
      <c r="AD63" s="2086"/>
      <c r="AE63" s="2047" t="s">
        <v>15</v>
      </c>
      <c r="AF63" s="1846">
        <v>42.6</v>
      </c>
      <c r="AG63" s="2539"/>
      <c r="AH63" s="2540"/>
      <c r="AI63" s="1471">
        <f>ROUND(SUM(+AC63-AF63),1)</f>
        <v>-4.7</v>
      </c>
      <c r="AJ63" s="2529"/>
      <c r="AK63" s="1466">
        <f>ROUND(IF(AF63=0,0,AI63/ABS(AF63)),3)</f>
        <v>-0.11</v>
      </c>
    </row>
    <row r="64" spans="1:38" ht="15" customHeight="1">
      <c r="A64" s="2503"/>
      <c r="B64" s="2538" t="s">
        <v>1038</v>
      </c>
      <c r="C64" s="2538"/>
      <c r="D64" s="1830">
        <v>0</v>
      </c>
      <c r="E64" s="2537"/>
      <c r="F64" s="1830">
        <v>0</v>
      </c>
      <c r="G64" s="2537"/>
      <c r="H64" s="1830">
        <v>0</v>
      </c>
      <c r="I64" s="1471"/>
      <c r="J64" s="1830">
        <v>0</v>
      </c>
      <c r="K64" s="2043"/>
      <c r="L64" s="1830">
        <v>0</v>
      </c>
      <c r="M64" s="2043"/>
      <c r="N64" s="1830">
        <v>0</v>
      </c>
      <c r="O64" s="2043"/>
      <c r="P64" s="1830">
        <v>0</v>
      </c>
      <c r="Q64" s="2043"/>
      <c r="R64" s="1830">
        <v>0</v>
      </c>
      <c r="S64" s="2043"/>
      <c r="T64" s="1830">
        <v>0</v>
      </c>
      <c r="U64" s="2043"/>
      <c r="V64" s="1830">
        <v>0</v>
      </c>
      <c r="W64" s="2043"/>
      <c r="X64" s="1830">
        <f t="shared" si="10"/>
        <v>0</v>
      </c>
      <c r="Y64" s="2043"/>
      <c r="Z64" s="1830"/>
      <c r="AA64" s="2044"/>
      <c r="AB64" s="2047"/>
      <c r="AC64" s="1846">
        <v>0</v>
      </c>
      <c r="AD64" s="2086"/>
      <c r="AE64" s="2047" t="s">
        <v>15</v>
      </c>
      <c r="AF64" s="1846">
        <v>0</v>
      </c>
      <c r="AG64" s="2539"/>
      <c r="AH64" s="2540"/>
      <c r="AI64" s="1471">
        <f>ROUND(SUM(+AC64-AF64),1)</f>
        <v>0</v>
      </c>
      <c r="AJ64" s="2529"/>
      <c r="AK64" s="1466">
        <f>ROUND(IF(AF64=0,0,AI64/ABS(AF64)),3)</f>
        <v>0</v>
      </c>
    </row>
    <row r="65" spans="1:37" ht="15">
      <c r="A65" s="2503"/>
      <c r="B65" s="2538" t="s">
        <v>1039</v>
      </c>
      <c r="C65" s="2538"/>
      <c r="D65" s="1830">
        <v>0</v>
      </c>
      <c r="E65" s="2537"/>
      <c r="F65" s="1830">
        <v>0.1</v>
      </c>
      <c r="G65" s="2537"/>
      <c r="H65" s="1830">
        <v>0.1</v>
      </c>
      <c r="I65" s="1471"/>
      <c r="J65" s="1830">
        <v>0</v>
      </c>
      <c r="K65" s="2043"/>
      <c r="L65" s="1830">
        <v>9.9999999999999978E-2</v>
      </c>
      <c r="M65" s="2043"/>
      <c r="N65" s="1830">
        <v>0</v>
      </c>
      <c r="O65" s="2043"/>
      <c r="P65" s="1830">
        <v>0</v>
      </c>
      <c r="Q65" s="2043"/>
      <c r="R65" s="1830">
        <v>0.10000000000000006</v>
      </c>
      <c r="S65" s="2043"/>
      <c r="T65" s="1830">
        <v>0</v>
      </c>
      <c r="U65" s="2043"/>
      <c r="V65" s="1830">
        <v>0.1</v>
      </c>
      <c r="W65" s="2043"/>
      <c r="X65" s="1830">
        <f t="shared" si="10"/>
        <v>9.9999999999999978E-2</v>
      </c>
      <c r="Y65" s="2043"/>
      <c r="Z65" s="1830"/>
      <c r="AA65" s="2044"/>
      <c r="AB65" s="2047"/>
      <c r="AC65" s="1846">
        <v>0.6</v>
      </c>
      <c r="AD65" s="2086"/>
      <c r="AE65" s="2047" t="s">
        <v>15</v>
      </c>
      <c r="AF65" s="1846">
        <v>0.7</v>
      </c>
      <c r="AG65" s="2539"/>
      <c r="AH65" s="2540"/>
      <c r="AI65" s="1471">
        <f>ROUND(SUM(+AC65-AF65),1)</f>
        <v>-0.1</v>
      </c>
      <c r="AJ65" s="2529"/>
      <c r="AK65" s="1466">
        <f>ROUND(IF(AF65=0,0,AI65/ABS(AF65)),3)</f>
        <v>-0.14299999999999999</v>
      </c>
    </row>
    <row r="66" spans="1:37" ht="15" customHeight="1">
      <c r="A66" s="2503"/>
      <c r="B66" s="2538" t="s">
        <v>1160</v>
      </c>
      <c r="C66" s="2538"/>
      <c r="D66" s="1830" t="s">
        <v>15</v>
      </c>
      <c r="E66" s="2537"/>
      <c r="F66" s="1830"/>
      <c r="G66" s="2537"/>
      <c r="H66" s="1830"/>
      <c r="I66" s="1471"/>
      <c r="J66" s="1830"/>
      <c r="K66" s="2040"/>
      <c r="L66" s="1830"/>
      <c r="M66" s="2040"/>
      <c r="N66" s="1830"/>
      <c r="O66" s="2040"/>
      <c r="P66" s="1830"/>
      <c r="Q66" s="2040"/>
      <c r="R66" s="1830"/>
      <c r="S66" s="2040"/>
      <c r="T66" s="1830"/>
      <c r="U66" s="2040"/>
      <c r="V66" s="1830"/>
      <c r="W66" s="2040"/>
      <c r="X66" s="1830"/>
      <c r="Y66" s="2040"/>
      <c r="Z66" s="1830"/>
      <c r="AA66" s="2036"/>
      <c r="AB66" s="2092"/>
      <c r="AC66" s="3277"/>
      <c r="AD66" s="2021"/>
      <c r="AE66" s="2042"/>
      <c r="AF66" s="3277"/>
      <c r="AG66" s="2052"/>
      <c r="AH66" s="2528"/>
      <c r="AI66" s="1471"/>
      <c r="AJ66" s="2529"/>
      <c r="AK66" s="1459"/>
    </row>
    <row r="67" spans="1:37" ht="15" customHeight="1">
      <c r="A67" s="2503"/>
      <c r="B67" s="2538" t="s">
        <v>1040</v>
      </c>
      <c r="C67" s="2538"/>
      <c r="D67" s="1830">
        <v>5.7</v>
      </c>
      <c r="E67" s="2537"/>
      <c r="F67" s="1830">
        <v>5.9999999999999991</v>
      </c>
      <c r="G67" s="2537"/>
      <c r="H67" s="1830">
        <v>5.400000000000003</v>
      </c>
      <c r="I67" s="1471"/>
      <c r="J67" s="1830">
        <v>5.9999999999999991</v>
      </c>
      <c r="K67" s="2043"/>
      <c r="L67" s="1830">
        <v>6.8999999999999995</v>
      </c>
      <c r="M67" s="2043"/>
      <c r="N67" s="1830">
        <v>6.9999999999999991</v>
      </c>
      <c r="O67" s="2043"/>
      <c r="P67" s="1830">
        <v>7.3999999999999959</v>
      </c>
      <c r="Q67" s="2043"/>
      <c r="R67" s="1830">
        <v>7.1999999999999984</v>
      </c>
      <c r="S67" s="2043"/>
      <c r="T67" s="1830">
        <v>5.5000000000000009</v>
      </c>
      <c r="U67" s="2043"/>
      <c r="V67" s="1830">
        <v>5.6999999999999948</v>
      </c>
      <c r="W67" s="2043"/>
      <c r="X67" s="1830">
        <f t="shared" si="10"/>
        <v>5.2000000000000037</v>
      </c>
      <c r="Y67" s="2043"/>
      <c r="Z67" s="1830"/>
      <c r="AA67" s="2044"/>
      <c r="AB67" s="2047"/>
      <c r="AC67" s="1846">
        <v>68</v>
      </c>
      <c r="AD67" s="2086"/>
      <c r="AE67" s="2047" t="s">
        <v>15</v>
      </c>
      <c r="AF67" s="1846">
        <v>68.7</v>
      </c>
      <c r="AG67" s="2052"/>
      <c r="AH67" s="2528"/>
      <c r="AI67" s="1471">
        <f t="shared" ref="AI67:AI74" si="11">ROUND(SUM(+AC67-AF67),1)</f>
        <v>-0.7</v>
      </c>
      <c r="AJ67" s="2529"/>
      <c r="AK67" s="1466">
        <f>ROUND(IF(AF67=0,0,AI67/ABS(AF67)),3)</f>
        <v>-0.01</v>
      </c>
    </row>
    <row r="68" spans="1:37" ht="15" customHeight="1">
      <c r="A68" s="2503"/>
      <c r="B68" s="2538" t="s">
        <v>1256</v>
      </c>
      <c r="C68" s="2538"/>
      <c r="D68" s="1830">
        <v>0</v>
      </c>
      <c r="E68" s="2537"/>
      <c r="F68" s="1830">
        <v>0</v>
      </c>
      <c r="G68" s="2537"/>
      <c r="H68" s="1830">
        <v>0</v>
      </c>
      <c r="I68" s="1471"/>
      <c r="J68" s="1830">
        <v>0</v>
      </c>
      <c r="K68" s="2043"/>
      <c r="L68" s="1830">
        <v>0</v>
      </c>
      <c r="M68" s="2043"/>
      <c r="N68" s="1830">
        <v>0</v>
      </c>
      <c r="O68" s="2043"/>
      <c r="P68" s="1830">
        <v>0</v>
      </c>
      <c r="Q68" s="2043"/>
      <c r="R68" s="1830">
        <v>0</v>
      </c>
      <c r="S68" s="2043"/>
      <c r="T68" s="1830">
        <v>0</v>
      </c>
      <c r="U68" s="2043"/>
      <c r="V68" s="1830">
        <v>0</v>
      </c>
      <c r="W68" s="2043"/>
      <c r="X68" s="1830">
        <f t="shared" si="10"/>
        <v>0</v>
      </c>
      <c r="Y68" s="2043"/>
      <c r="Z68" s="1830"/>
      <c r="AA68" s="2044"/>
      <c r="AB68" s="2093"/>
      <c r="AC68" s="1846">
        <v>0</v>
      </c>
      <c r="AD68" s="2086"/>
      <c r="AE68" s="2093" t="s">
        <v>15</v>
      </c>
      <c r="AF68" s="1846">
        <v>0</v>
      </c>
      <c r="AG68" s="2052"/>
      <c r="AH68" s="2528"/>
      <c r="AI68" s="1471">
        <f>ROUND(SUM(+AC68-AF68),1)</f>
        <v>0</v>
      </c>
      <c r="AJ68" s="2529"/>
      <c r="AK68" s="1466">
        <f>ROUND(IF(AF68=0,0,AI68/ABS(AF68)),3)</f>
        <v>0</v>
      </c>
    </row>
    <row r="69" spans="1:37" ht="15" customHeight="1">
      <c r="A69" s="2503"/>
      <c r="B69" s="2538" t="s">
        <v>1041</v>
      </c>
      <c r="C69" s="2538"/>
      <c r="D69" s="1830">
        <v>11.1</v>
      </c>
      <c r="E69" s="2537"/>
      <c r="F69" s="1830">
        <v>18.100000000000001</v>
      </c>
      <c r="G69" s="2537"/>
      <c r="H69" s="1830">
        <v>29.799999999999997</v>
      </c>
      <c r="I69" s="1471"/>
      <c r="J69" s="1830">
        <v>15</v>
      </c>
      <c r="K69" s="2043"/>
      <c r="L69" s="1830">
        <v>3.4000000000000128</v>
      </c>
      <c r="M69" s="2043"/>
      <c r="N69" s="1830">
        <v>35.1</v>
      </c>
      <c r="O69" s="2043"/>
      <c r="P69" s="1830">
        <v>30.300000000000004</v>
      </c>
      <c r="Q69" s="2043"/>
      <c r="R69" s="1830">
        <v>16.199999999999989</v>
      </c>
      <c r="S69" s="2043"/>
      <c r="T69" s="1830">
        <v>30.800000000000018</v>
      </c>
      <c r="U69" s="2043"/>
      <c r="V69" s="1830">
        <v>41.39999999999997</v>
      </c>
      <c r="W69" s="2043"/>
      <c r="X69" s="1830">
        <f t="shared" si="10"/>
        <v>4.7000000000000455</v>
      </c>
      <c r="Y69" s="2043"/>
      <c r="Z69" s="1830"/>
      <c r="AA69" s="2044"/>
      <c r="AB69" s="2047"/>
      <c r="AC69" s="1846">
        <v>235.9</v>
      </c>
      <c r="AD69" s="2086"/>
      <c r="AE69" s="2047" t="s">
        <v>15</v>
      </c>
      <c r="AF69" s="1846">
        <v>181.5</v>
      </c>
      <c r="AG69" s="2539"/>
      <c r="AH69" s="2540"/>
      <c r="AI69" s="1471">
        <f t="shared" si="11"/>
        <v>54.4</v>
      </c>
      <c r="AJ69" s="2529"/>
      <c r="AK69" s="1466">
        <f>ROUND(IF(AF69=0,0,AI69/ABS(AF69)),3)</f>
        <v>0.3</v>
      </c>
    </row>
    <row r="70" spans="1:37" ht="15" customHeight="1">
      <c r="A70" s="2503"/>
      <c r="B70" s="2538" t="s">
        <v>1042</v>
      </c>
      <c r="C70" s="2538"/>
      <c r="D70" s="1830">
        <v>25</v>
      </c>
      <c r="E70" s="2537"/>
      <c r="F70" s="1830">
        <v>13.399999999999999</v>
      </c>
      <c r="G70" s="2537"/>
      <c r="H70" s="1830">
        <v>17.800000000000004</v>
      </c>
      <c r="I70" s="1471"/>
      <c r="J70" s="1830">
        <v>18.399999999999991</v>
      </c>
      <c r="K70" s="2043"/>
      <c r="L70" s="1830">
        <v>15.100000000000009</v>
      </c>
      <c r="M70" s="2043"/>
      <c r="N70" s="1830">
        <v>26.699999999999996</v>
      </c>
      <c r="O70" s="2043"/>
      <c r="P70" s="1830">
        <v>15.699999999999982</v>
      </c>
      <c r="Q70" s="2043"/>
      <c r="R70" s="1830">
        <v>17.099999999999994</v>
      </c>
      <c r="S70" s="2043"/>
      <c r="T70" s="1830">
        <v>28.100000000000023</v>
      </c>
      <c r="U70" s="2043"/>
      <c r="V70" s="1830">
        <v>11.500000000000007</v>
      </c>
      <c r="W70" s="2043"/>
      <c r="X70" s="1830">
        <f t="shared" si="10"/>
        <v>24.699999999999953</v>
      </c>
      <c r="Y70" s="2043"/>
      <c r="Z70" s="1830"/>
      <c r="AA70" s="2044"/>
      <c r="AB70" s="2047"/>
      <c r="AC70" s="1846">
        <v>213.5</v>
      </c>
      <c r="AD70" s="2086"/>
      <c r="AE70" s="2047" t="s">
        <v>15</v>
      </c>
      <c r="AF70" s="1846">
        <v>202.4</v>
      </c>
      <c r="AG70" s="2539"/>
      <c r="AH70" s="2540"/>
      <c r="AI70" s="1471">
        <f t="shared" si="11"/>
        <v>11.1</v>
      </c>
      <c r="AJ70" s="2529"/>
      <c r="AK70" s="1466">
        <f>ROUND(IF(AF70=0,0,AI70/ABS(AF70)),3)</f>
        <v>5.5E-2</v>
      </c>
    </row>
    <row r="71" spans="1:37" ht="15" customHeight="1">
      <c r="A71" s="2503"/>
      <c r="B71" s="2538" t="s">
        <v>1043</v>
      </c>
      <c r="C71" s="2538"/>
      <c r="D71" s="1830">
        <v>0.2</v>
      </c>
      <c r="E71" s="2537"/>
      <c r="F71" s="1830">
        <v>9.9999999999999978E-2</v>
      </c>
      <c r="G71" s="2537"/>
      <c r="H71" s="1830">
        <v>0.10000000000000003</v>
      </c>
      <c r="I71" s="1471"/>
      <c r="J71" s="1830">
        <v>0.19999999999999996</v>
      </c>
      <c r="K71" s="2043"/>
      <c r="L71" s="1830">
        <v>0.20000000000000012</v>
      </c>
      <c r="M71" s="2043"/>
      <c r="N71" s="1830">
        <v>9.9999999999999867E-2</v>
      </c>
      <c r="O71" s="2043"/>
      <c r="P71" s="1830">
        <v>0.10000000000000014</v>
      </c>
      <c r="Q71" s="2043"/>
      <c r="R71" s="1830">
        <v>0.10000000000000009</v>
      </c>
      <c r="S71" s="2043"/>
      <c r="T71" s="1830">
        <v>0.19999999999999973</v>
      </c>
      <c r="U71" s="2043"/>
      <c r="V71" s="1830">
        <v>0.10000000000000003</v>
      </c>
      <c r="W71" s="2043"/>
      <c r="X71" s="1830">
        <f t="shared" si="10"/>
        <v>0.20000000000000023</v>
      </c>
      <c r="Y71" s="2043"/>
      <c r="Z71" s="1830"/>
      <c r="AA71" s="2044"/>
      <c r="AB71" s="2047"/>
      <c r="AC71" s="1846">
        <v>1.6</v>
      </c>
      <c r="AD71" s="2086"/>
      <c r="AE71" s="2047" t="s">
        <v>15</v>
      </c>
      <c r="AF71" s="1846">
        <v>1.6</v>
      </c>
      <c r="AG71" s="2539"/>
      <c r="AH71" s="2540"/>
      <c r="AI71" s="1471">
        <f t="shared" si="11"/>
        <v>0</v>
      </c>
      <c r="AJ71" s="2529"/>
      <c r="AK71" s="1466">
        <f>ROUND(IF(AF71=0,0,AI71/ABS(AF71)),3)</f>
        <v>0</v>
      </c>
    </row>
    <row r="72" spans="1:37" ht="15" customHeight="1">
      <c r="A72" s="2503"/>
      <c r="B72" s="2538" t="s">
        <v>1044</v>
      </c>
      <c r="C72" s="2538"/>
      <c r="D72" s="1830">
        <v>33.200000000000003</v>
      </c>
      <c r="E72" s="2537"/>
      <c r="F72" s="1830">
        <v>34.899999999999991</v>
      </c>
      <c r="G72" s="2537"/>
      <c r="H72" s="1830">
        <v>11.600000000000009</v>
      </c>
      <c r="I72" s="1471"/>
      <c r="J72" s="1830">
        <v>35.5</v>
      </c>
      <c r="K72" s="2043"/>
      <c r="L72" s="1830">
        <v>24.399999999999991</v>
      </c>
      <c r="M72" s="2043"/>
      <c r="N72" s="1830">
        <v>24.200000000000031</v>
      </c>
      <c r="O72" s="2043"/>
      <c r="P72" s="1830">
        <v>33.799999999999969</v>
      </c>
      <c r="Q72" s="2043"/>
      <c r="R72" s="1830">
        <v>10.100000000000009</v>
      </c>
      <c r="S72" s="2043"/>
      <c r="T72" s="1830">
        <v>40.800000000000011</v>
      </c>
      <c r="U72" s="2043"/>
      <c r="V72" s="1830">
        <v>28.399999999999991</v>
      </c>
      <c r="W72" s="2043"/>
      <c r="X72" s="1830">
        <f t="shared" si="10"/>
        <v>18.200000000000031</v>
      </c>
      <c r="Y72" s="2043"/>
      <c r="Z72" s="1830"/>
      <c r="AA72" s="2044"/>
      <c r="AB72" s="2047"/>
      <c r="AC72" s="1846">
        <v>295.10000000000002</v>
      </c>
      <c r="AD72" s="2086"/>
      <c r="AE72" s="2047" t="s">
        <v>15</v>
      </c>
      <c r="AF72" s="1846">
        <v>261.39999999999998</v>
      </c>
      <c r="AG72" s="2539"/>
      <c r="AH72" s="2540"/>
      <c r="AI72" s="1471">
        <f t="shared" si="11"/>
        <v>33.700000000000003</v>
      </c>
      <c r="AJ72" s="2529"/>
      <c r="AK72" s="1509">
        <f>ROUND(IF(AF72=0,1,AI72/ABS(AF72)),3)</f>
        <v>0.129</v>
      </c>
    </row>
    <row r="73" spans="1:37" ht="15" customHeight="1">
      <c r="A73" s="2503"/>
      <c r="B73" s="2538" t="s">
        <v>1045</v>
      </c>
      <c r="C73" s="2538"/>
      <c r="D73" s="1830">
        <v>1.2</v>
      </c>
      <c r="E73" s="2537"/>
      <c r="F73" s="1830">
        <v>1.5000000000000002</v>
      </c>
      <c r="G73" s="2537"/>
      <c r="H73" s="1830">
        <v>1.8999999999999992</v>
      </c>
      <c r="I73" s="1471"/>
      <c r="J73" s="1830">
        <v>1.6000000000000008</v>
      </c>
      <c r="K73" s="2043"/>
      <c r="L73" s="1830">
        <v>1.3999999999999992</v>
      </c>
      <c r="M73" s="2043"/>
      <c r="N73" s="1830">
        <v>2.1000000000000005</v>
      </c>
      <c r="O73" s="2043"/>
      <c r="P73" s="1830">
        <v>1.3000000000000007</v>
      </c>
      <c r="Q73" s="2043"/>
      <c r="R73" s="1830">
        <v>1.5</v>
      </c>
      <c r="S73" s="2043"/>
      <c r="T73" s="1830">
        <v>1.8000000000000007</v>
      </c>
      <c r="U73" s="2043"/>
      <c r="V73" s="1830">
        <v>0.79999999999999893</v>
      </c>
      <c r="W73" s="2043"/>
      <c r="X73" s="1830">
        <f t="shared" si="10"/>
        <v>2.4000000000000012</v>
      </c>
      <c r="Y73" s="2043"/>
      <c r="Z73" s="1830"/>
      <c r="AA73" s="2044"/>
      <c r="AB73" s="2047"/>
      <c r="AC73" s="1846">
        <v>17.5</v>
      </c>
      <c r="AD73" s="2086"/>
      <c r="AE73" s="2047" t="s">
        <v>15</v>
      </c>
      <c r="AF73" s="1846">
        <v>15.8</v>
      </c>
      <c r="AG73" s="2539"/>
      <c r="AH73" s="2540"/>
      <c r="AI73" s="1471">
        <f t="shared" si="11"/>
        <v>1.7</v>
      </c>
      <c r="AJ73" s="2529"/>
      <c r="AK73" s="1466">
        <f>ROUND(IF(AF73=0,0,AI73/ABS(AF73)),3)</f>
        <v>0.108</v>
      </c>
    </row>
    <row r="74" spans="1:37" ht="15" customHeight="1">
      <c r="A74" s="2503"/>
      <c r="B74" s="2538" t="s">
        <v>1034</v>
      </c>
      <c r="C74" s="2538"/>
      <c r="D74" s="1830">
        <v>618.1</v>
      </c>
      <c r="E74" s="2537"/>
      <c r="F74" s="1830">
        <v>154.60000000000002</v>
      </c>
      <c r="G74" s="2537"/>
      <c r="H74" s="1830">
        <v>26.5</v>
      </c>
      <c r="I74" s="1471"/>
      <c r="J74" s="1830">
        <v>43.899999999999977</v>
      </c>
      <c r="K74" s="2043"/>
      <c r="L74" s="1830">
        <v>19.700000000000045</v>
      </c>
      <c r="M74" s="2043"/>
      <c r="N74" s="1830">
        <v>28.699999999999932</v>
      </c>
      <c r="O74" s="2043"/>
      <c r="P74" s="1830">
        <v>72</v>
      </c>
      <c r="Q74" s="2043"/>
      <c r="R74" s="1830">
        <v>24.200000000000045</v>
      </c>
      <c r="S74" s="2043"/>
      <c r="T74" s="1830">
        <v>24.600000000000023</v>
      </c>
      <c r="U74" s="2043"/>
      <c r="V74" s="1830">
        <v>28.300000000000068</v>
      </c>
      <c r="W74" s="2043"/>
      <c r="X74" s="1830">
        <f t="shared" si="10"/>
        <v>14.099999999999909</v>
      </c>
      <c r="Y74" s="2043"/>
      <c r="Z74" s="1830"/>
      <c r="AA74" s="2044"/>
      <c r="AB74" s="2047"/>
      <c r="AC74" s="1846">
        <v>1054.7</v>
      </c>
      <c r="AD74" s="2086"/>
      <c r="AE74" s="2047" t="s">
        <v>15</v>
      </c>
      <c r="AF74" s="1846">
        <v>1306.8</v>
      </c>
      <c r="AG74" s="2539"/>
      <c r="AH74" s="2540"/>
      <c r="AI74" s="1471">
        <f t="shared" si="11"/>
        <v>-252.1</v>
      </c>
      <c r="AJ74" s="2529"/>
      <c r="AK74" s="1509">
        <f>ROUND(IF(AF74=0,0,AI74/ABS(AF74)),3)</f>
        <v>-0.193</v>
      </c>
    </row>
    <row r="75" spans="1:37" ht="15" customHeight="1">
      <c r="A75" s="2503"/>
      <c r="B75" s="2538" t="s">
        <v>1035</v>
      </c>
      <c r="C75" s="2538"/>
      <c r="D75" s="1830">
        <v>21.8</v>
      </c>
      <c r="E75" s="2537"/>
      <c r="F75" s="1830">
        <v>16.8</v>
      </c>
      <c r="G75" s="2537"/>
      <c r="H75" s="1830">
        <v>19.799999999999994</v>
      </c>
      <c r="I75" s="1471"/>
      <c r="J75" s="1830">
        <v>13.100000000000012</v>
      </c>
      <c r="K75" s="2043"/>
      <c r="L75" s="1830">
        <v>13.900000000000006</v>
      </c>
      <c r="M75" s="2043"/>
      <c r="N75" s="1830">
        <v>12.799999999999994</v>
      </c>
      <c r="O75" s="2043"/>
      <c r="P75" s="1830">
        <v>14.000000000000004</v>
      </c>
      <c r="Q75" s="2043"/>
      <c r="R75" s="1830">
        <v>12.599999999999994</v>
      </c>
      <c r="S75" s="2043"/>
      <c r="T75" s="1830">
        <v>11.000000000000011</v>
      </c>
      <c r="U75" s="2043"/>
      <c r="V75" s="1830">
        <v>9.5000000000000036</v>
      </c>
      <c r="W75" s="2043"/>
      <c r="X75" s="1830">
        <f t="shared" si="10"/>
        <v>13.199999999999974</v>
      </c>
      <c r="Y75" s="2043"/>
      <c r="Z75" s="1830"/>
      <c r="AA75" s="2044"/>
      <c r="AB75" s="2047"/>
      <c r="AC75" s="1846">
        <v>158.5</v>
      </c>
      <c r="AD75" s="2086"/>
      <c r="AE75" s="2047" t="s">
        <v>15</v>
      </c>
      <c r="AF75" s="1846">
        <v>112.5</v>
      </c>
      <c r="AG75" s="2052"/>
      <c r="AH75" s="2528"/>
      <c r="AI75" s="1471">
        <f>ROUND(SUM(+AC75-AF75),1)</f>
        <v>46</v>
      </c>
      <c r="AJ75" s="2529"/>
      <c r="AK75" s="1509">
        <f>ROUND(IF(AF75=0,1,AI75/ABS(AF75)),3)</f>
        <v>0.40899999999999997</v>
      </c>
    </row>
    <row r="76" spans="1:37" ht="15" customHeight="1">
      <c r="A76" s="2503"/>
      <c r="B76" s="2538" t="s">
        <v>1158</v>
      </c>
      <c r="C76" s="2538"/>
      <c r="D76" s="1830" t="s">
        <v>15</v>
      </c>
      <c r="E76" s="2537"/>
      <c r="F76" s="1830"/>
      <c r="G76" s="2537"/>
      <c r="H76" s="1830"/>
      <c r="I76" s="1471"/>
      <c r="J76" s="1830"/>
      <c r="K76" s="2040"/>
      <c r="L76" s="1830"/>
      <c r="M76" s="2040"/>
      <c r="N76" s="1830"/>
      <c r="O76" s="2040"/>
      <c r="P76" s="1830"/>
      <c r="Q76" s="2040"/>
      <c r="R76" s="1830"/>
      <c r="S76" s="2040"/>
      <c r="T76" s="1830"/>
      <c r="U76" s="2040"/>
      <c r="V76" s="1830"/>
      <c r="W76" s="2040"/>
      <c r="X76" s="1830"/>
      <c r="Y76" s="2040"/>
      <c r="Z76" s="1830"/>
      <c r="AA76" s="2036"/>
      <c r="AB76" s="2092"/>
      <c r="AC76" s="3277"/>
      <c r="AD76" s="2021"/>
      <c r="AE76" s="2042"/>
      <c r="AF76" s="3277"/>
      <c r="AG76" s="2052"/>
      <c r="AH76" s="2528"/>
      <c r="AI76" s="1471"/>
      <c r="AJ76" s="2529"/>
      <c r="AK76" s="1459"/>
    </row>
    <row r="77" spans="1:37" ht="15" customHeight="1">
      <c r="A77" s="2503"/>
      <c r="B77" s="2538" t="s">
        <v>1050</v>
      </c>
      <c r="C77" s="2538"/>
      <c r="D77" s="1830">
        <v>0</v>
      </c>
      <c r="E77" s="2537"/>
      <c r="F77" s="1830">
        <v>0</v>
      </c>
      <c r="G77" s="2537"/>
      <c r="H77" s="1830">
        <v>0</v>
      </c>
      <c r="I77" s="1471"/>
      <c r="J77" s="1830">
        <v>0</v>
      </c>
      <c r="K77" s="2043"/>
      <c r="L77" s="1830">
        <v>5.0999999999999996</v>
      </c>
      <c r="M77" s="2043"/>
      <c r="N77" s="1830">
        <v>5</v>
      </c>
      <c r="O77" s="2043"/>
      <c r="P77" s="1830">
        <v>7.9</v>
      </c>
      <c r="Q77" s="2043"/>
      <c r="R77" s="1830">
        <v>0</v>
      </c>
      <c r="S77" s="2043"/>
      <c r="T77" s="1830">
        <v>2.1000000000000014</v>
      </c>
      <c r="U77" s="2043"/>
      <c r="V77" s="1830">
        <v>0</v>
      </c>
      <c r="W77" s="2043"/>
      <c r="X77" s="1830">
        <f t="shared" si="10"/>
        <v>0.39999999999999858</v>
      </c>
      <c r="Y77" s="2043"/>
      <c r="Z77" s="1830"/>
      <c r="AA77" s="2044"/>
      <c r="AB77" s="2047"/>
      <c r="AC77" s="1846">
        <v>20.5</v>
      </c>
      <c r="AD77" s="2086"/>
      <c r="AE77" s="2047" t="s">
        <v>15</v>
      </c>
      <c r="AF77" s="1846">
        <v>20.3</v>
      </c>
      <c r="AG77" s="2539"/>
      <c r="AH77" s="2540"/>
      <c r="AI77" s="1471">
        <f>ROUND(SUM(+AC77-AF77),1)</f>
        <v>0.2</v>
      </c>
      <c r="AJ77" s="2529"/>
      <c r="AK77" s="1466">
        <f>ROUND(IF(AF77=0,0,AI77/ABS(AF77)),3)</f>
        <v>0.01</v>
      </c>
    </row>
    <row r="78" spans="1:37" ht="15" customHeight="1">
      <c r="A78" s="2503"/>
      <c r="B78" s="2538" t="s">
        <v>1051</v>
      </c>
      <c r="C78" s="2538"/>
      <c r="D78" s="1830">
        <v>0</v>
      </c>
      <c r="E78" s="2537"/>
      <c r="F78" s="1830">
        <v>0</v>
      </c>
      <c r="G78" s="2537"/>
      <c r="H78" s="1830">
        <v>10.9</v>
      </c>
      <c r="I78" s="1471"/>
      <c r="J78" s="1830">
        <v>6.9999999999999982</v>
      </c>
      <c r="K78" s="2043"/>
      <c r="L78" s="1830">
        <v>0</v>
      </c>
      <c r="M78" s="2043"/>
      <c r="N78" s="1830">
        <v>0.80000000000000071</v>
      </c>
      <c r="O78" s="2043"/>
      <c r="P78" s="1830">
        <v>14.800000000000002</v>
      </c>
      <c r="Q78" s="2043"/>
      <c r="R78" s="1830">
        <v>3.4999999999999982</v>
      </c>
      <c r="S78" s="2043"/>
      <c r="T78" s="1830">
        <v>9.5</v>
      </c>
      <c r="U78" s="2043"/>
      <c r="V78" s="1830">
        <v>29.79999999999999</v>
      </c>
      <c r="W78" s="2043"/>
      <c r="X78" s="1830">
        <f t="shared" si="10"/>
        <v>0</v>
      </c>
      <c r="Y78" s="2043"/>
      <c r="Z78" s="1830"/>
      <c r="AA78" s="2044"/>
      <c r="AB78" s="2047"/>
      <c r="AC78" s="1846">
        <v>76.3</v>
      </c>
      <c r="AD78" s="2086"/>
      <c r="AE78" s="2047" t="s">
        <v>15</v>
      </c>
      <c r="AF78" s="1846">
        <v>84.5</v>
      </c>
      <c r="AG78" s="2539"/>
      <c r="AH78" s="2540"/>
      <c r="AI78" s="1471">
        <f>ROUND(SUM(+AC78-AF78),1)</f>
        <v>-8.1999999999999993</v>
      </c>
      <c r="AJ78" s="2529"/>
      <c r="AK78" s="1466">
        <f>ROUND(IF(AF78=0,1,AI78/ABS(AF78)),3)</f>
        <v>-9.7000000000000003E-2</v>
      </c>
    </row>
    <row r="79" spans="1:37" ht="15" customHeight="1">
      <c r="A79" s="2503"/>
      <c r="B79" s="2538" t="s">
        <v>1052</v>
      </c>
      <c r="C79" s="2538"/>
      <c r="D79" s="1830">
        <v>0.1</v>
      </c>
      <c r="E79" s="2537"/>
      <c r="F79" s="1830">
        <v>0</v>
      </c>
      <c r="G79" s="2537"/>
      <c r="H79" s="1830">
        <v>0</v>
      </c>
      <c r="I79" s="1471"/>
      <c r="J79" s="1830">
        <v>0</v>
      </c>
      <c r="K79" s="2043"/>
      <c r="L79" s="1830">
        <v>0</v>
      </c>
      <c r="M79" s="2043"/>
      <c r="N79" s="1830">
        <v>24.999999999999996</v>
      </c>
      <c r="O79" s="2043"/>
      <c r="P79" s="1830">
        <v>0.10000000000000142</v>
      </c>
      <c r="Q79" s="2043"/>
      <c r="R79" s="1830">
        <v>0</v>
      </c>
      <c r="S79" s="2043"/>
      <c r="T79" s="1830">
        <v>0</v>
      </c>
      <c r="U79" s="2043"/>
      <c r="V79" s="1830">
        <v>0</v>
      </c>
      <c r="W79" s="2043"/>
      <c r="X79" s="1830">
        <f t="shared" si="10"/>
        <v>0</v>
      </c>
      <c r="Y79" s="2043"/>
      <c r="Z79" s="1830"/>
      <c r="AA79" s="2044"/>
      <c r="AB79" s="2047"/>
      <c r="AC79" s="1846">
        <v>25.2</v>
      </c>
      <c r="AD79" s="2086"/>
      <c r="AE79" s="2047" t="s">
        <v>15</v>
      </c>
      <c r="AF79" s="1846">
        <v>24.2</v>
      </c>
      <c r="AG79" s="2539"/>
      <c r="AH79" s="2540"/>
      <c r="AI79" s="1471">
        <f>ROUND(SUM(+AC79-AF79),1)</f>
        <v>1</v>
      </c>
      <c r="AJ79" s="2529"/>
      <c r="AK79" s="1509">
        <f>ROUND(IF(AF79=0,1,AI79/ABS(AF79)),3)</f>
        <v>4.1000000000000002E-2</v>
      </c>
    </row>
    <row r="80" spans="1:37" ht="15" customHeight="1">
      <c r="A80" s="2503"/>
      <c r="B80" s="2538" t="s">
        <v>1053</v>
      </c>
      <c r="C80" s="2538"/>
      <c r="D80" s="1830">
        <v>16.7</v>
      </c>
      <c r="E80" s="2537"/>
      <c r="F80" s="1830">
        <v>0</v>
      </c>
      <c r="G80" s="2537"/>
      <c r="H80" s="1830">
        <v>0</v>
      </c>
      <c r="I80" s="1471"/>
      <c r="J80" s="1830">
        <v>0</v>
      </c>
      <c r="K80" s="2043"/>
      <c r="L80" s="1830">
        <v>0</v>
      </c>
      <c r="M80" s="2043"/>
      <c r="N80" s="1830">
        <v>0</v>
      </c>
      <c r="O80" s="2043"/>
      <c r="P80" s="1830">
        <v>0.10000000000000142</v>
      </c>
      <c r="Q80" s="2043"/>
      <c r="R80" s="1830">
        <v>0</v>
      </c>
      <c r="S80" s="2043"/>
      <c r="T80" s="1830">
        <v>0</v>
      </c>
      <c r="U80" s="2043"/>
      <c r="V80" s="1830">
        <v>0</v>
      </c>
      <c r="W80" s="2043"/>
      <c r="X80" s="1830">
        <f t="shared" si="10"/>
        <v>0</v>
      </c>
      <c r="Y80" s="2043"/>
      <c r="Z80" s="1830"/>
      <c r="AA80" s="2044"/>
      <c r="AB80" s="2047"/>
      <c r="AC80" s="1846">
        <v>16.8</v>
      </c>
      <c r="AD80" s="2086"/>
      <c r="AE80" s="2047" t="s">
        <v>15</v>
      </c>
      <c r="AF80" s="1846">
        <v>183.4</v>
      </c>
      <c r="AG80" s="2539"/>
      <c r="AH80" s="2540"/>
      <c r="AI80" s="1471">
        <f>ROUND(SUM(+AC80-AF80),1)</f>
        <v>-166.6</v>
      </c>
      <c r="AJ80" s="2529"/>
      <c r="AK80" s="1466">
        <f>ROUND(IF(AF80=0,1,AI80/ABS(AF80)),3)</f>
        <v>-0.90800000000000003</v>
      </c>
    </row>
    <row r="81" spans="1:38" ht="15" customHeight="1">
      <c r="A81" s="2503"/>
      <c r="B81" s="2538" t="s">
        <v>1054</v>
      </c>
      <c r="C81" s="2538"/>
      <c r="D81" s="1830">
        <v>0.3</v>
      </c>
      <c r="E81" s="2537"/>
      <c r="F81" s="1830">
        <v>0.10000000000000003</v>
      </c>
      <c r="G81" s="2537"/>
      <c r="H81" s="1830">
        <v>0.19999999999999996</v>
      </c>
      <c r="I81" s="1471"/>
      <c r="J81" s="1830">
        <v>0.30000000000000004</v>
      </c>
      <c r="K81" s="2043"/>
      <c r="L81" s="1830">
        <v>9.9999999999999867E-2</v>
      </c>
      <c r="M81" s="2043"/>
      <c r="N81" s="1830">
        <v>0.19999999999999996</v>
      </c>
      <c r="O81" s="2043"/>
      <c r="P81" s="1830">
        <v>0.19999999999999996</v>
      </c>
      <c r="Q81" s="2043"/>
      <c r="R81" s="1830">
        <v>-0.39999999999999991</v>
      </c>
      <c r="S81" s="2043"/>
      <c r="T81" s="1830">
        <v>0.7</v>
      </c>
      <c r="U81" s="2043"/>
      <c r="V81" s="1830">
        <v>0.10000000000000009</v>
      </c>
      <c r="W81" s="2043"/>
      <c r="X81" s="1830">
        <f t="shared" si="10"/>
        <v>0.30000000000000004</v>
      </c>
      <c r="Y81" s="2043"/>
      <c r="Z81" s="1830"/>
      <c r="AA81" s="2044"/>
      <c r="AB81" s="2047"/>
      <c r="AC81" s="1846">
        <v>2.1</v>
      </c>
      <c r="AD81" s="2086"/>
      <c r="AE81" s="2047" t="s">
        <v>15</v>
      </c>
      <c r="AF81" s="1846">
        <v>5.6</v>
      </c>
      <c r="AG81" s="2539"/>
      <c r="AH81" s="2540"/>
      <c r="AI81" s="1471">
        <f>ROUND(SUM(+AC81-AF81),1)</f>
        <v>-3.5</v>
      </c>
      <c r="AJ81" s="2529"/>
      <c r="AK81" s="1509">
        <f>ROUND(IF(AF81=0,0,AI81/ABS(AF81)),3)</f>
        <v>-0.625</v>
      </c>
    </row>
    <row r="82" spans="1:38" ht="15" customHeight="1">
      <c r="A82" s="2503"/>
      <c r="B82" s="2538" t="s">
        <v>1159</v>
      </c>
      <c r="C82" s="2538"/>
      <c r="D82" s="1830" t="s">
        <v>15</v>
      </c>
      <c r="E82" s="2537"/>
      <c r="F82" s="1830"/>
      <c r="G82" s="2537"/>
      <c r="H82" s="1830"/>
      <c r="I82" s="1471"/>
      <c r="J82" s="1830"/>
      <c r="K82" s="2040"/>
      <c r="L82" s="1830"/>
      <c r="M82" s="2040"/>
      <c r="N82" s="1830"/>
      <c r="O82" s="2040"/>
      <c r="P82" s="1830"/>
      <c r="Q82" s="2040"/>
      <c r="R82" s="1830"/>
      <c r="S82" s="2040"/>
      <c r="T82" s="1830"/>
      <c r="U82" s="2040"/>
      <c r="V82" s="1830"/>
      <c r="W82" s="2040"/>
      <c r="X82" s="1830"/>
      <c r="Y82" s="2040"/>
      <c r="Z82" s="1830"/>
      <c r="AA82" s="2036"/>
      <c r="AB82" s="2092"/>
      <c r="AC82" s="3277"/>
      <c r="AD82" s="2021"/>
      <c r="AE82" s="2047" t="s">
        <v>15</v>
      </c>
      <c r="AF82" s="3277"/>
      <c r="AG82" s="2052"/>
      <c r="AH82" s="2528"/>
      <c r="AI82" s="1471"/>
      <c r="AJ82" s="2529"/>
      <c r="AK82" s="1459"/>
    </row>
    <row r="83" spans="1:38" ht="15" customHeight="1">
      <c r="A83" s="2503"/>
      <c r="B83" s="2538" t="s">
        <v>1055</v>
      </c>
      <c r="C83" s="2538"/>
      <c r="D83" s="1830">
        <v>0.5</v>
      </c>
      <c r="E83" s="2537"/>
      <c r="F83" s="1830">
        <v>1</v>
      </c>
      <c r="G83" s="2537"/>
      <c r="H83" s="1830">
        <v>20.100000000000001</v>
      </c>
      <c r="I83" s="1471"/>
      <c r="J83" s="1830">
        <v>9.9999999999997868E-2</v>
      </c>
      <c r="K83" s="2043"/>
      <c r="L83" s="1830">
        <v>0.30000000000000071</v>
      </c>
      <c r="M83" s="2043"/>
      <c r="N83" s="1830">
        <v>18.200000000000003</v>
      </c>
      <c r="O83" s="2043"/>
      <c r="P83" s="1830">
        <v>0.5</v>
      </c>
      <c r="Q83" s="2043"/>
      <c r="R83" s="1830">
        <v>0.29999999999999716</v>
      </c>
      <c r="S83" s="2043"/>
      <c r="T83" s="1830">
        <v>16.100000000000009</v>
      </c>
      <c r="U83" s="2043"/>
      <c r="V83" s="1830">
        <v>9.9999999999994316E-2</v>
      </c>
      <c r="W83" s="2043"/>
      <c r="X83" s="1830">
        <f t="shared" si="10"/>
        <v>9.9999999999994316E-2</v>
      </c>
      <c r="Y83" s="2043"/>
      <c r="Z83" s="1830"/>
      <c r="AA83" s="2044"/>
      <c r="AB83" s="2047"/>
      <c r="AC83" s="1846">
        <v>57.3</v>
      </c>
      <c r="AD83" s="2086"/>
      <c r="AE83" s="2047" t="s">
        <v>15</v>
      </c>
      <c r="AF83" s="1846">
        <v>55.4</v>
      </c>
      <c r="AG83" s="2539"/>
      <c r="AH83" s="2540"/>
      <c r="AI83" s="1471">
        <f t="shared" ref="AI83:AI92" si="12">ROUND(SUM(+AC83-AF83),1)</f>
        <v>1.9</v>
      </c>
      <c r="AJ83" s="2529"/>
      <c r="AK83" s="1466">
        <f t="shared" ref="AK83" si="13">ROUND(IF(AF83=0,1,AI83/ABS(AF83)),3)</f>
        <v>3.4000000000000002E-2</v>
      </c>
    </row>
    <row r="84" spans="1:38" ht="15" customHeight="1">
      <c r="A84" s="2503"/>
      <c r="B84" s="2538" t="s">
        <v>1056</v>
      </c>
      <c r="C84" s="2538"/>
      <c r="D84" s="1830">
        <v>0.1</v>
      </c>
      <c r="E84" s="2537"/>
      <c r="F84" s="1830">
        <v>0.19999999999999998</v>
      </c>
      <c r="G84" s="2537"/>
      <c r="H84" s="1830">
        <v>0</v>
      </c>
      <c r="I84" s="1471"/>
      <c r="J84" s="1830">
        <v>0.20000000000000004</v>
      </c>
      <c r="K84" s="2043"/>
      <c r="L84" s="1830">
        <v>-0.20000000000000004</v>
      </c>
      <c r="M84" s="2043"/>
      <c r="N84" s="1830">
        <v>0</v>
      </c>
      <c r="O84" s="2043"/>
      <c r="P84" s="1830">
        <v>0</v>
      </c>
      <c r="Q84" s="2043"/>
      <c r="R84" s="1830">
        <v>0.10000000000000006</v>
      </c>
      <c r="S84" s="2043"/>
      <c r="T84" s="1830">
        <v>0</v>
      </c>
      <c r="U84" s="2043"/>
      <c r="V84" s="1830">
        <v>0.5</v>
      </c>
      <c r="W84" s="2043"/>
      <c r="X84" s="1830">
        <f t="shared" si="10"/>
        <v>0</v>
      </c>
      <c r="Y84" s="2043"/>
      <c r="Z84" s="1830"/>
      <c r="AA84" s="2044"/>
      <c r="AB84" s="2093"/>
      <c r="AC84" s="1846">
        <v>0.9</v>
      </c>
      <c r="AD84" s="2086"/>
      <c r="AE84" s="2047" t="s">
        <v>15</v>
      </c>
      <c r="AF84" s="1846">
        <v>0</v>
      </c>
      <c r="AG84" s="2539"/>
      <c r="AH84" s="2540"/>
      <c r="AI84" s="1471">
        <f t="shared" ref="AI84" si="14">ROUND(SUM(+AC84-AF84),1)</f>
        <v>0.9</v>
      </c>
      <c r="AJ84" s="2529"/>
      <c r="AK84" s="1509">
        <f>ROUND(IF(AF84=0,1,AI84/ABS(AF84)),3)</f>
        <v>1</v>
      </c>
    </row>
    <row r="85" spans="1:38" ht="15" customHeight="1">
      <c r="A85" s="2503"/>
      <c r="B85" s="2538" t="s">
        <v>1057</v>
      </c>
      <c r="C85" s="2538"/>
      <c r="D85" s="1830">
        <v>0</v>
      </c>
      <c r="E85" s="2537"/>
      <c r="F85" s="1830">
        <v>0</v>
      </c>
      <c r="G85" s="2537"/>
      <c r="H85" s="1830">
        <v>0</v>
      </c>
      <c r="I85" s="1471"/>
      <c r="J85" s="1830">
        <v>0</v>
      </c>
      <c r="K85" s="2043"/>
      <c r="L85" s="1830">
        <v>0</v>
      </c>
      <c r="M85" s="2043"/>
      <c r="N85" s="1830">
        <v>0</v>
      </c>
      <c r="O85" s="2043"/>
      <c r="P85" s="1830">
        <v>0</v>
      </c>
      <c r="Q85" s="2043"/>
      <c r="R85" s="1830">
        <v>0</v>
      </c>
      <c r="S85" s="2043"/>
      <c r="T85" s="1830">
        <v>0</v>
      </c>
      <c r="U85" s="2043"/>
      <c r="V85" s="1830">
        <v>0</v>
      </c>
      <c r="W85" s="2043"/>
      <c r="X85" s="1830">
        <f t="shared" si="10"/>
        <v>0</v>
      </c>
      <c r="Y85" s="2043"/>
      <c r="Z85" s="1830"/>
      <c r="AA85" s="2044"/>
      <c r="AB85" s="2047"/>
      <c r="AC85" s="1846">
        <v>0</v>
      </c>
      <c r="AD85" s="2086"/>
      <c r="AE85" s="2047" t="s">
        <v>15</v>
      </c>
      <c r="AF85" s="1846">
        <v>0.2</v>
      </c>
      <c r="AG85" s="2539"/>
      <c r="AH85" s="2540"/>
      <c r="AI85" s="1471">
        <f t="shared" si="12"/>
        <v>-0.2</v>
      </c>
      <c r="AJ85" s="2529"/>
      <c r="AK85" s="1466">
        <f>ROUND(IF(AF85=0,0,AI85/ABS(AF85)),3)</f>
        <v>-1</v>
      </c>
    </row>
    <row r="86" spans="1:38" ht="15" customHeight="1">
      <c r="A86" s="2503"/>
      <c r="B86" s="2538" t="s">
        <v>1058</v>
      </c>
      <c r="C86" s="2538"/>
      <c r="D86" s="1830">
        <v>5.6</v>
      </c>
      <c r="E86" s="2537"/>
      <c r="F86" s="1830">
        <v>5.2000000000000011</v>
      </c>
      <c r="G86" s="2537"/>
      <c r="H86" s="1830">
        <v>8.6999999999999993</v>
      </c>
      <c r="I86" s="1471"/>
      <c r="J86" s="1830">
        <v>8.3000000000000007</v>
      </c>
      <c r="K86" s="2043"/>
      <c r="L86" s="1830">
        <v>7.1999999999999957</v>
      </c>
      <c r="M86" s="2043"/>
      <c r="N86" s="1830">
        <v>5.7999999999999972</v>
      </c>
      <c r="O86" s="2043"/>
      <c r="P86" s="1830">
        <v>7</v>
      </c>
      <c r="Q86" s="2043"/>
      <c r="R86" s="1830">
        <v>6.2000000000000064</v>
      </c>
      <c r="S86" s="2043"/>
      <c r="T86" s="1830">
        <v>6.5999999999999979</v>
      </c>
      <c r="U86" s="2043"/>
      <c r="V86" s="1830">
        <v>9.9000000000000057</v>
      </c>
      <c r="W86" s="2043"/>
      <c r="X86" s="1830">
        <f t="shared" si="10"/>
        <v>8.4000000000000057</v>
      </c>
      <c r="Y86" s="2043"/>
      <c r="Z86" s="1830"/>
      <c r="AA86" s="2044"/>
      <c r="AB86" s="2047"/>
      <c r="AC86" s="1846">
        <v>78.900000000000006</v>
      </c>
      <c r="AD86" s="2086"/>
      <c r="AE86" s="2047" t="s">
        <v>15</v>
      </c>
      <c r="AF86" s="1846">
        <v>87</v>
      </c>
      <c r="AG86" s="2539"/>
      <c r="AH86" s="2540"/>
      <c r="AI86" s="1471">
        <f t="shared" si="12"/>
        <v>-8.1</v>
      </c>
      <c r="AJ86" s="2529"/>
      <c r="AK86" s="1466">
        <f>ROUND(IF(AF86=0,1,AI86/ABS(AF86)),3)</f>
        <v>-9.2999999999999999E-2</v>
      </c>
    </row>
    <row r="87" spans="1:38" ht="15" customHeight="1">
      <c r="A87" s="2503"/>
      <c r="B87" s="2538" t="s">
        <v>1059</v>
      </c>
      <c r="C87" s="2538"/>
      <c r="D87" s="1830">
        <v>-7.3</v>
      </c>
      <c r="E87" s="2537"/>
      <c r="F87" s="1830">
        <v>2.7</v>
      </c>
      <c r="G87" s="2537"/>
      <c r="H87" s="1830">
        <v>5.7</v>
      </c>
      <c r="I87" s="1471"/>
      <c r="J87" s="1830">
        <v>-70.7</v>
      </c>
      <c r="K87" s="2043"/>
      <c r="L87" s="1830">
        <v>59.900000000000006</v>
      </c>
      <c r="M87" s="2043"/>
      <c r="N87" s="1830">
        <v>5.5999999999999943</v>
      </c>
      <c r="O87" s="2043"/>
      <c r="P87" s="1830">
        <v>-16.799999999999997</v>
      </c>
      <c r="Q87" s="2043"/>
      <c r="R87" s="1830">
        <v>2.7000000000000028</v>
      </c>
      <c r="S87" s="2043"/>
      <c r="T87" s="1830">
        <v>7.8999999999999915</v>
      </c>
      <c r="U87" s="2043"/>
      <c r="V87" s="1830">
        <v>-102.60000000000001</v>
      </c>
      <c r="W87" s="2043"/>
      <c r="X87" s="1830">
        <f t="shared" si="10"/>
        <v>79.800000000000011</v>
      </c>
      <c r="Y87" s="2043"/>
      <c r="Z87" s="1830"/>
      <c r="AA87" s="2044"/>
      <c r="AB87" s="2093"/>
      <c r="AC87" s="1846">
        <v>-33.1</v>
      </c>
      <c r="AD87" s="2086"/>
      <c r="AE87" s="2093" t="s">
        <v>15</v>
      </c>
      <c r="AF87" s="1846">
        <v>-43.7</v>
      </c>
      <c r="AG87" s="2539"/>
      <c r="AH87" s="2540"/>
      <c r="AI87" s="1471">
        <f>ROUND(SUM(+AC87-AF87),1)</f>
        <v>10.6</v>
      </c>
      <c r="AJ87" s="2529"/>
      <c r="AK87" s="1509">
        <f>ROUND(IF(AF87=0,1,AI87/ABS(AF87)),3)</f>
        <v>0.24299999999999999</v>
      </c>
    </row>
    <row r="88" spans="1:38" ht="15" customHeight="1">
      <c r="A88" s="2503"/>
      <c r="B88" s="2538" t="s">
        <v>1060</v>
      </c>
      <c r="C88" s="2538"/>
      <c r="D88" s="1830">
        <v>-0.6</v>
      </c>
      <c r="E88" s="2537"/>
      <c r="F88" s="1830">
        <v>1.7000000000000002</v>
      </c>
      <c r="G88" s="2537"/>
      <c r="H88" s="1830">
        <v>-0.60000000000000009</v>
      </c>
      <c r="I88" s="1471"/>
      <c r="J88" s="1830">
        <v>-0.20000000000000018</v>
      </c>
      <c r="K88" s="2043"/>
      <c r="L88" s="1830">
        <v>2.5</v>
      </c>
      <c r="M88" s="2043"/>
      <c r="N88" s="1830">
        <v>0</v>
      </c>
      <c r="O88" s="2043"/>
      <c r="P88" s="1830">
        <v>0</v>
      </c>
      <c r="Q88" s="2043"/>
      <c r="R88" s="1830">
        <v>2.6000000000000005</v>
      </c>
      <c r="S88" s="2043"/>
      <c r="T88" s="1830">
        <v>-0.90000000000000124</v>
      </c>
      <c r="U88" s="2043"/>
      <c r="V88" s="1830">
        <v>-9.9999999999999645E-2</v>
      </c>
      <c r="W88" s="2043"/>
      <c r="X88" s="1830">
        <f t="shared" si="10"/>
        <v>2.0000000000000009</v>
      </c>
      <c r="Y88" s="2043"/>
      <c r="Z88" s="1830"/>
      <c r="AA88" s="2044"/>
      <c r="AB88" s="2047"/>
      <c r="AC88" s="1846">
        <v>6.4</v>
      </c>
      <c r="AD88" s="2086"/>
      <c r="AE88" s="2047" t="s">
        <v>15</v>
      </c>
      <c r="AF88" s="1846">
        <v>1.3</v>
      </c>
      <c r="AG88" s="2539"/>
      <c r="AH88" s="2540"/>
      <c r="AI88" s="1471">
        <f t="shared" si="12"/>
        <v>5.0999999999999996</v>
      </c>
      <c r="AJ88" s="2529"/>
      <c r="AK88" s="1509">
        <f>ROUND(IF(AF88=0,1,AI88/ABS(AF88)),3)</f>
        <v>3.923</v>
      </c>
    </row>
    <row r="89" spans="1:38" ht="15" customHeight="1">
      <c r="A89" s="2503"/>
      <c r="B89" s="2538" t="s">
        <v>1061</v>
      </c>
      <c r="C89" s="2538"/>
      <c r="D89" s="1830">
        <v>0</v>
      </c>
      <c r="E89" s="2537"/>
      <c r="F89" s="1830">
        <v>0</v>
      </c>
      <c r="G89" s="2537"/>
      <c r="H89" s="1830">
        <v>0.2</v>
      </c>
      <c r="I89" s="1471"/>
      <c r="J89" s="1830">
        <v>0</v>
      </c>
      <c r="K89" s="2043"/>
      <c r="L89" s="1830">
        <v>0</v>
      </c>
      <c r="M89" s="2043"/>
      <c r="N89" s="1830">
        <v>9.9999999999999978E-2</v>
      </c>
      <c r="O89" s="2043"/>
      <c r="P89" s="1830">
        <v>0.10000000000000003</v>
      </c>
      <c r="Q89" s="2043"/>
      <c r="R89" s="1830">
        <v>0.19999999999999996</v>
      </c>
      <c r="S89" s="2043"/>
      <c r="T89" s="1830">
        <v>5.3000000000000007</v>
      </c>
      <c r="U89" s="2043"/>
      <c r="V89" s="1830">
        <v>9.9999999999999645E-2</v>
      </c>
      <c r="W89" s="2043"/>
      <c r="X89" s="1830">
        <f t="shared" si="10"/>
        <v>0</v>
      </c>
      <c r="Y89" s="2043"/>
      <c r="Z89" s="1830"/>
      <c r="AA89" s="2044"/>
      <c r="AB89" s="2047"/>
      <c r="AC89" s="1846">
        <v>6</v>
      </c>
      <c r="AD89" s="2086"/>
      <c r="AE89" s="2047" t="s">
        <v>15</v>
      </c>
      <c r="AF89" s="1846">
        <v>111</v>
      </c>
      <c r="AG89" s="2539"/>
      <c r="AH89" s="2540"/>
      <c r="AI89" s="1471">
        <f t="shared" si="12"/>
        <v>-105</v>
      </c>
      <c r="AJ89" s="2529"/>
      <c r="AK89" s="1509">
        <f>ROUND(IF(AF89=0,1,AI89/ABS(AF89)),3)</f>
        <v>-0.94599999999999995</v>
      </c>
    </row>
    <row r="90" spans="1:38" ht="15" customHeight="1">
      <c r="A90" s="2503"/>
      <c r="B90" s="2538" t="s">
        <v>1062</v>
      </c>
      <c r="C90" s="2538"/>
      <c r="D90" s="1830">
        <v>0</v>
      </c>
      <c r="E90" s="2537"/>
      <c r="F90" s="1830">
        <v>0</v>
      </c>
      <c r="G90" s="2537"/>
      <c r="H90" s="1830">
        <v>0</v>
      </c>
      <c r="I90" s="1471"/>
      <c r="J90" s="1830">
        <v>0</v>
      </c>
      <c r="K90" s="2043"/>
      <c r="L90" s="1830">
        <v>0</v>
      </c>
      <c r="M90" s="2043"/>
      <c r="N90" s="1830">
        <v>0</v>
      </c>
      <c r="O90" s="2043"/>
      <c r="P90" s="1830">
        <v>0</v>
      </c>
      <c r="Q90" s="2043"/>
      <c r="R90" s="1830">
        <v>0</v>
      </c>
      <c r="S90" s="2043"/>
      <c r="T90" s="1830">
        <v>0</v>
      </c>
      <c r="U90" s="2043"/>
      <c r="V90" s="1830">
        <v>0</v>
      </c>
      <c r="W90" s="2043"/>
      <c r="X90" s="1830">
        <f t="shared" si="10"/>
        <v>0</v>
      </c>
      <c r="Y90" s="2043"/>
      <c r="Z90" s="1830"/>
      <c r="AA90" s="2044"/>
      <c r="AB90" s="2047"/>
      <c r="AC90" s="1846">
        <v>0</v>
      </c>
      <c r="AD90" s="2086"/>
      <c r="AE90" s="2047" t="s">
        <v>15</v>
      </c>
      <c r="AF90" s="1846">
        <v>0</v>
      </c>
      <c r="AG90" s="2539"/>
      <c r="AH90" s="2540"/>
      <c r="AI90" s="1471">
        <f t="shared" si="12"/>
        <v>0</v>
      </c>
      <c r="AJ90" s="2529"/>
      <c r="AK90" s="1466">
        <f>ROUND(IF(AF90=0,0,AI90/ABS(AF90)),3)</f>
        <v>0</v>
      </c>
    </row>
    <row r="91" spans="1:38" ht="15" customHeight="1">
      <c r="A91" s="2503"/>
      <c r="B91" s="2538" t="s">
        <v>1063</v>
      </c>
      <c r="C91" s="2538"/>
      <c r="D91" s="1830">
        <v>8.1</v>
      </c>
      <c r="E91" s="2537"/>
      <c r="F91" s="1830">
        <v>18.299999999999997</v>
      </c>
      <c r="G91" s="2537"/>
      <c r="H91" s="1830">
        <v>-11.599999999999996</v>
      </c>
      <c r="I91" s="1471"/>
      <c r="J91" s="1830">
        <v>4.0999999999999979</v>
      </c>
      <c r="K91" s="2043"/>
      <c r="L91" s="1830">
        <v>0.60000000000000142</v>
      </c>
      <c r="M91" s="2043"/>
      <c r="N91" s="1830">
        <v>10.1</v>
      </c>
      <c r="O91" s="2043"/>
      <c r="P91" s="1830">
        <v>19.5</v>
      </c>
      <c r="Q91" s="2043"/>
      <c r="R91" s="1830">
        <v>7.5</v>
      </c>
      <c r="S91" s="2043"/>
      <c r="T91" s="1830">
        <v>6.8999999999999915</v>
      </c>
      <c r="U91" s="2043"/>
      <c r="V91" s="1830">
        <v>8.2999999999999972</v>
      </c>
      <c r="W91" s="2043"/>
      <c r="X91" s="1830">
        <f t="shared" si="10"/>
        <v>4.8000000000000114</v>
      </c>
      <c r="Y91" s="2043"/>
      <c r="Z91" s="1830"/>
      <c r="AA91" s="2044"/>
      <c r="AB91" s="2047"/>
      <c r="AC91" s="1830">
        <v>76.599999999999994</v>
      </c>
      <c r="AD91" s="2086"/>
      <c r="AE91" s="2047" t="s">
        <v>15</v>
      </c>
      <c r="AF91" s="1830">
        <v>49.4</v>
      </c>
      <c r="AG91" s="2086"/>
      <c r="AH91" s="2540"/>
      <c r="AI91" s="1471">
        <f t="shared" si="12"/>
        <v>27.2</v>
      </c>
      <c r="AJ91" s="2529"/>
      <c r="AK91" s="1509">
        <f>ROUND(IF(AF91=0,0,AI91/ABS(AF91)),3)</f>
        <v>0.55100000000000005</v>
      </c>
    </row>
    <row r="92" spans="1:38" ht="15" customHeight="1">
      <c r="A92" s="2503"/>
      <c r="B92" s="2538" t="s">
        <v>1064</v>
      </c>
      <c r="C92" s="2538"/>
      <c r="D92" s="1830">
        <v>0.1</v>
      </c>
      <c r="E92" s="2537"/>
      <c r="F92" s="1830">
        <v>0</v>
      </c>
      <c r="G92" s="2537"/>
      <c r="H92" s="1830">
        <v>-0.30000000000000004</v>
      </c>
      <c r="I92" s="1471"/>
      <c r="J92" s="1830">
        <v>0.20000000000000004</v>
      </c>
      <c r="K92" s="2043"/>
      <c r="L92" s="1830">
        <v>0</v>
      </c>
      <c r="M92" s="2043"/>
      <c r="N92" s="1830">
        <v>0</v>
      </c>
      <c r="O92" s="2043"/>
      <c r="P92" s="1830">
        <v>0</v>
      </c>
      <c r="Q92" s="2043"/>
      <c r="R92" s="1830">
        <v>0</v>
      </c>
      <c r="S92" s="2043"/>
      <c r="T92" s="1830">
        <v>0</v>
      </c>
      <c r="U92" s="2043"/>
      <c r="V92" s="1830">
        <v>0</v>
      </c>
      <c r="W92" s="2043"/>
      <c r="X92" s="1830">
        <f t="shared" si="10"/>
        <v>0</v>
      </c>
      <c r="Y92" s="2043"/>
      <c r="Z92" s="1830"/>
      <c r="AA92" s="2044"/>
      <c r="AB92" s="2047"/>
      <c r="AC92" s="1846">
        <v>0</v>
      </c>
      <c r="AD92" s="2086"/>
      <c r="AE92" s="2047" t="s">
        <v>15</v>
      </c>
      <c r="AF92" s="1846">
        <v>0.2</v>
      </c>
      <c r="AG92" s="2086"/>
      <c r="AH92" s="2540"/>
      <c r="AI92" s="1471">
        <f t="shared" si="12"/>
        <v>-0.2</v>
      </c>
      <c r="AJ92" s="2529"/>
      <c r="AK92" s="2541">
        <f>ROUND(IF(AF92=0,1,AI92/ABS(AF92)),3)</f>
        <v>-1</v>
      </c>
    </row>
    <row r="93" spans="1:38" s="2534" customFormat="1" ht="15" customHeight="1">
      <c r="A93" s="2532"/>
      <c r="B93" s="2525" t="s">
        <v>1099</v>
      </c>
      <c r="C93" s="2480"/>
      <c r="D93" s="2527">
        <f>ROUND(SUM(D59:D92),1)</f>
        <v>741</v>
      </c>
      <c r="E93" s="2542"/>
      <c r="F93" s="2526">
        <f>ROUND(SUM(F59:F92),1)</f>
        <v>279.3</v>
      </c>
      <c r="G93" s="2542"/>
      <c r="H93" s="2526">
        <f>ROUND(SUM(H59:H92),1)</f>
        <v>158.80000000000001</v>
      </c>
      <c r="I93" s="1489"/>
      <c r="J93" s="2527">
        <f>ROUND(SUM(J59:J92),1)</f>
        <v>87.4</v>
      </c>
      <c r="K93" s="1489"/>
      <c r="L93" s="2087">
        <f>ROUND(SUM(L59:L92),1)</f>
        <v>168.1</v>
      </c>
      <c r="M93" s="1489"/>
      <c r="N93" s="2087">
        <f>ROUND(SUM(N59:N92),1)</f>
        <v>278.7</v>
      </c>
      <c r="O93" s="1489"/>
      <c r="P93" s="1488">
        <f>ROUND(SUM(P59:P92),1)</f>
        <v>245.8</v>
      </c>
      <c r="Q93" s="1489"/>
      <c r="R93" s="2087">
        <f>ROUND(SUM(R59:R92),1)</f>
        <v>330.5</v>
      </c>
      <c r="S93" s="1489"/>
      <c r="T93" s="2087">
        <f>ROUND(SUM(T59:T92),1)</f>
        <v>227.2</v>
      </c>
      <c r="U93" s="1489"/>
      <c r="V93" s="2087">
        <f>ROUND(SUM(V59:V92),1)</f>
        <v>77</v>
      </c>
      <c r="W93" s="1489"/>
      <c r="X93" s="2087">
        <f>ROUND(SUM(X59:X92),1)</f>
        <v>206.4</v>
      </c>
      <c r="Y93" s="1489"/>
      <c r="Z93" s="2087">
        <f>ROUND(SUM(Z59:Z92),1)</f>
        <v>0</v>
      </c>
      <c r="AA93" s="2055"/>
      <c r="AB93" s="2094"/>
      <c r="AC93" s="3274">
        <f>ROUND(SUM(AC59:AC92),1)</f>
        <v>2800.2</v>
      </c>
      <c r="AD93" s="2095"/>
      <c r="AE93" s="3278" t="s">
        <v>15</v>
      </c>
      <c r="AF93" s="3642">
        <f>ROUND(SUM(AF59:AF92),1)</f>
        <v>3183.8</v>
      </c>
      <c r="AG93" s="1489"/>
      <c r="AH93" s="2533"/>
      <c r="AI93" s="2087">
        <f>ROUND(SUM(AI59:AI92),1)</f>
        <v>-383.6</v>
      </c>
      <c r="AJ93" s="1472"/>
      <c r="AK93" s="1473">
        <f>ROUND(SUM(+AI93/AF93),3)</f>
        <v>-0.12</v>
      </c>
      <c r="AL93" s="2469"/>
    </row>
    <row r="94" spans="1:38" s="2534" customFormat="1" ht="8.25" customHeight="1">
      <c r="A94" s="2532"/>
      <c r="B94" s="2479"/>
      <c r="C94" s="2480"/>
      <c r="D94" s="1489"/>
      <c r="E94" s="2542"/>
      <c r="F94" s="1489"/>
      <c r="G94" s="2542"/>
      <c r="H94" s="1489"/>
      <c r="I94" s="1489"/>
      <c r="J94" s="2095"/>
      <c r="K94" s="1489"/>
      <c r="L94" s="1489"/>
      <c r="M94" s="1489"/>
      <c r="N94" s="1489"/>
      <c r="O94" s="1489"/>
      <c r="P94" s="2095"/>
      <c r="Q94" s="1489"/>
      <c r="R94" s="1489"/>
      <c r="S94" s="1489"/>
      <c r="T94" s="1489"/>
      <c r="U94" s="1489"/>
      <c r="V94" s="1489"/>
      <c r="W94" s="1489"/>
      <c r="X94" s="1489"/>
      <c r="Y94" s="1489"/>
      <c r="Z94" s="1489"/>
      <c r="AA94" s="2055"/>
      <c r="AB94" s="2094"/>
      <c r="AC94" s="2095"/>
      <c r="AD94" s="2095"/>
      <c r="AE94" s="3278"/>
      <c r="AF94" s="2095"/>
      <c r="AG94" s="1489"/>
      <c r="AH94" s="2533"/>
      <c r="AI94" s="1489"/>
      <c r="AJ94" s="1472"/>
      <c r="AK94" s="2543"/>
      <c r="AL94" s="2469"/>
    </row>
    <row r="95" spans="1:38" ht="15" customHeight="1">
      <c r="A95" s="2503"/>
      <c r="B95" s="2521" t="s">
        <v>1252</v>
      </c>
      <c r="C95" s="2067"/>
      <c r="D95" s="1830">
        <v>0</v>
      </c>
      <c r="E95" s="1471"/>
      <c r="F95" s="1830">
        <v>0</v>
      </c>
      <c r="G95" s="1471"/>
      <c r="H95" s="1830">
        <v>0</v>
      </c>
      <c r="I95" s="1471"/>
      <c r="J95" s="1830">
        <v>0</v>
      </c>
      <c r="K95" s="2043"/>
      <c r="L95" s="1830">
        <v>0.1</v>
      </c>
      <c r="M95" s="2043"/>
      <c r="N95" s="1830">
        <v>0.19999999999999998</v>
      </c>
      <c r="O95" s="2043"/>
      <c r="P95" s="1830">
        <v>0.10000000000000006</v>
      </c>
      <c r="Q95" s="2043"/>
      <c r="R95" s="1830">
        <v>9.9999999999999978E-2</v>
      </c>
      <c r="S95" s="2043"/>
      <c r="T95" s="1830">
        <v>0</v>
      </c>
      <c r="U95" s="2043"/>
      <c r="V95" s="1830">
        <v>-0.20000000000000004</v>
      </c>
      <c r="W95" s="2043"/>
      <c r="X95" s="1830">
        <f t="shared" ref="X95" si="15">$AC95-$D95-$F95-$H95-$J95-$L95-$N95-$P95-$R95-$T95-$V95</f>
        <v>0</v>
      </c>
      <c r="Y95" s="2043"/>
      <c r="Z95" s="1830"/>
      <c r="AA95" s="2044"/>
      <c r="AB95" s="2047"/>
      <c r="AC95" s="1846">
        <v>0.3</v>
      </c>
      <c r="AD95" s="2086"/>
      <c r="AE95" s="2047" t="s">
        <v>15</v>
      </c>
      <c r="AF95" s="1846">
        <v>0.1</v>
      </c>
      <c r="AG95" s="2052"/>
      <c r="AH95" s="2528"/>
      <c r="AI95" s="2544">
        <f>ROUND(SUM(+AC95-AF95),1)</f>
        <v>0.2</v>
      </c>
      <c r="AJ95" s="2529"/>
      <c r="AK95" s="2545">
        <f>ROUND(IF(AF95=0,0,AI95/ABS(AF95)),3)</f>
        <v>2</v>
      </c>
    </row>
    <row r="96" spans="1:38" ht="4.3499999999999996" customHeight="1">
      <c r="A96" s="2503"/>
      <c r="B96" s="2089"/>
      <c r="C96" s="2067"/>
      <c r="D96" s="2546"/>
      <c r="E96" s="1471"/>
      <c r="F96" s="2546"/>
      <c r="G96" s="1471"/>
      <c r="H96" s="2546"/>
      <c r="I96" s="1471"/>
      <c r="J96" s="2547"/>
      <c r="K96" s="2051"/>
      <c r="L96" s="2050"/>
      <c r="M96" s="2051"/>
      <c r="N96" s="2050"/>
      <c r="O96" s="2051"/>
      <c r="P96" s="3752"/>
      <c r="Q96" s="2051"/>
      <c r="R96" s="2050"/>
      <c r="S96" s="2051"/>
      <c r="T96" s="2050"/>
      <c r="U96" s="2051"/>
      <c r="V96" s="2050"/>
      <c r="W96" s="2051"/>
      <c r="X96" s="2050"/>
      <c r="Y96" s="2051"/>
      <c r="Z96" s="2050"/>
      <c r="AA96" s="2066"/>
      <c r="AB96" s="2091"/>
      <c r="AC96" s="3279"/>
      <c r="AD96" s="2040"/>
      <c r="AE96" s="2047" t="s">
        <v>15</v>
      </c>
      <c r="AF96" s="2096"/>
      <c r="AG96" s="2052"/>
      <c r="AH96" s="2528"/>
      <c r="AI96" s="1471"/>
      <c r="AJ96" s="2529"/>
      <c r="AK96" s="1459"/>
    </row>
    <row r="97" spans="1:37" ht="15" customHeight="1">
      <c r="A97" s="2503"/>
      <c r="B97" s="2479" t="s">
        <v>151</v>
      </c>
      <c r="C97" s="2067"/>
      <c r="D97" s="2065">
        <f>ROUND(SUM(D95+D93+D55),1)</f>
        <v>6558.1</v>
      </c>
      <c r="E97" s="1489"/>
      <c r="F97" s="2065">
        <f>ROUND(SUM(F95+F93+F55),1)</f>
        <v>1996.7</v>
      </c>
      <c r="G97" s="1489"/>
      <c r="H97" s="2065">
        <f>ROUND(SUM(H95+H93+H55),1)</f>
        <v>4767</v>
      </c>
      <c r="I97" s="1489"/>
      <c r="J97" s="1597">
        <f>ROUND(SUM(J95+J93+J55),1)</f>
        <v>2676.4</v>
      </c>
      <c r="K97" s="1489"/>
      <c r="L97" s="1489">
        <f>ROUND(SUM(L95+L93+L55),1)</f>
        <v>2276.1</v>
      </c>
      <c r="M97" s="1489"/>
      <c r="N97" s="1489">
        <f>ROUND(SUM(N95+N93+N55),1)</f>
        <v>4847.8</v>
      </c>
      <c r="O97" s="1489"/>
      <c r="P97" s="2099">
        <f>ROUND(SUM(P95+P93+P55),1)</f>
        <v>2399.3000000000002</v>
      </c>
      <c r="Q97" s="1489"/>
      <c r="R97" s="2097">
        <f>ROUND(SUM(R95+R93+R55),1)</f>
        <v>2343.4</v>
      </c>
      <c r="S97" s="1489"/>
      <c r="T97" s="2097">
        <f>ROUND(SUM(T95+T93+T55),1)</f>
        <v>4619.2</v>
      </c>
      <c r="U97" s="1489"/>
      <c r="V97" s="2097">
        <f>ROUND(SUM(V95+V93+V55),1)</f>
        <v>3347.8</v>
      </c>
      <c r="W97" s="1489"/>
      <c r="X97" s="2097">
        <f>ROUND(SUM(X95+X93+X55),1)</f>
        <v>2627.4</v>
      </c>
      <c r="Y97" s="1489"/>
      <c r="Z97" s="2097">
        <f>ROUND(SUM(Z95+Z93+Z55),1)</f>
        <v>0</v>
      </c>
      <c r="AA97" s="2098"/>
      <c r="AB97" s="2094"/>
      <c r="AC97" s="2099">
        <f>ROUND(SUM(AC95+AC93+AC55),1)</f>
        <v>38459.199999999997</v>
      </c>
      <c r="AD97" s="2095"/>
      <c r="AE97" s="3278"/>
      <c r="AF97" s="2099">
        <f>ROUND(SUM(AF95+AF93+AF55),1)</f>
        <v>34900.699999999997</v>
      </c>
      <c r="AG97" s="1472"/>
      <c r="AH97" s="2533"/>
      <c r="AI97" s="2097">
        <f>ROUND(SUM(AI95+AI93+AI55),1)</f>
        <v>3558.5</v>
      </c>
      <c r="AJ97" s="1472"/>
      <c r="AK97" s="1463">
        <f>ROUND(SUM(+AI97/AF97),3)</f>
        <v>0.10199999999999999</v>
      </c>
    </row>
    <row r="98" spans="1:37" ht="15" customHeight="1">
      <c r="A98" s="2503"/>
      <c r="B98" s="2089"/>
      <c r="C98" s="2067"/>
      <c r="D98" s="2529"/>
      <c r="E98" s="1471"/>
      <c r="F98" s="2529"/>
      <c r="G98" s="1471"/>
      <c r="H98" s="2529"/>
      <c r="I98" s="1471"/>
      <c r="J98" s="2086"/>
      <c r="K98" s="2051"/>
      <c r="L98" s="2050"/>
      <c r="M98" s="2051"/>
      <c r="N98" s="2050"/>
      <c r="O98" s="2051"/>
      <c r="P98" s="2021"/>
      <c r="Q98" s="2051"/>
      <c r="R98" s="2052"/>
      <c r="S98" s="2051"/>
      <c r="T98" s="2052"/>
      <c r="U98" s="2051"/>
      <c r="V98" s="2052"/>
      <c r="W98" s="2051"/>
      <c r="X98" s="2052"/>
      <c r="Y98" s="2051"/>
      <c r="Z98" s="2052"/>
      <c r="AA98" s="2058"/>
      <c r="AB98" s="2091"/>
      <c r="AC98" s="2086"/>
      <c r="AD98" s="2040"/>
      <c r="AE98" s="2042"/>
      <c r="AF98" s="2021"/>
      <c r="AG98" s="2052"/>
      <c r="AH98" s="2528"/>
      <c r="AI98" s="1471"/>
      <c r="AJ98" s="2529"/>
      <c r="AK98" s="1459"/>
    </row>
    <row r="99" spans="1:37" ht="15" customHeight="1">
      <c r="A99" s="2503"/>
      <c r="B99" s="2479" t="s">
        <v>23</v>
      </c>
      <c r="C99" s="2067"/>
      <c r="D99" s="1471"/>
      <c r="E99" s="1471"/>
      <c r="F99" s="1471"/>
      <c r="G99" s="1471"/>
      <c r="H99" s="1471"/>
      <c r="I99" s="1471"/>
      <c r="J99" s="2045"/>
      <c r="K99" s="2051"/>
      <c r="L99" s="2051"/>
      <c r="M99" s="2051"/>
      <c r="N99" s="2051"/>
      <c r="O99" s="2051"/>
      <c r="P99" s="2040"/>
      <c r="Q99" s="2051"/>
      <c r="R99" s="2051"/>
      <c r="S99" s="2051"/>
      <c r="T99" s="2051"/>
      <c r="U99" s="2051"/>
      <c r="V99" s="2051"/>
      <c r="W99" s="2051"/>
      <c r="X99" s="2051"/>
      <c r="Y99" s="2051"/>
      <c r="Z99" s="2051"/>
      <c r="AA99" s="1491"/>
      <c r="AB99" s="2091"/>
      <c r="AC99" s="2045"/>
      <c r="AD99" s="2040"/>
      <c r="AE99" s="2042"/>
      <c r="AF99" s="2040"/>
      <c r="AG99" s="2051"/>
      <c r="AH99" s="2528"/>
      <c r="AI99" s="1471"/>
      <c r="AJ99" s="2529"/>
      <c r="AK99" s="1459"/>
    </row>
    <row r="100" spans="1:37" ht="15" customHeight="1">
      <c r="A100" s="2503"/>
      <c r="B100" s="2089" t="s">
        <v>152</v>
      </c>
      <c r="C100" s="2067"/>
      <c r="D100" s="2529"/>
      <c r="E100" s="2529"/>
      <c r="F100" s="2529"/>
      <c r="G100" s="2529"/>
      <c r="H100" s="2529"/>
      <c r="I100" s="2529"/>
      <c r="J100" s="2086"/>
      <c r="K100" s="2052"/>
      <c r="L100" s="2052"/>
      <c r="M100" s="2052"/>
      <c r="N100" s="2052"/>
      <c r="O100" s="2052"/>
      <c r="P100" s="2021"/>
      <c r="Q100" s="2052"/>
      <c r="R100" s="2052"/>
      <c r="S100" s="2052"/>
      <c r="T100" s="2052"/>
      <c r="U100" s="2052"/>
      <c r="V100" s="2052"/>
      <c r="W100" s="2052"/>
      <c r="X100" s="2052"/>
      <c r="Y100" s="2052"/>
      <c r="Z100" s="2052"/>
      <c r="AA100" s="1491"/>
      <c r="AB100" s="2091"/>
      <c r="AC100" s="3280"/>
      <c r="AD100" s="2040"/>
      <c r="AE100" s="2042"/>
      <c r="AF100" s="3643"/>
      <c r="AG100" s="2548"/>
      <c r="AH100" s="2528"/>
      <c r="AI100" s="1471"/>
      <c r="AJ100" s="2529"/>
      <c r="AK100" s="1459"/>
    </row>
    <row r="101" spans="1:37" ht="15" customHeight="1">
      <c r="A101" s="2503"/>
      <c r="B101" s="2512" t="s">
        <v>25</v>
      </c>
      <c r="C101" s="2067"/>
      <c r="D101" s="1830">
        <v>917</v>
      </c>
      <c r="E101" s="2529"/>
      <c r="F101" s="1830">
        <v>3979.7</v>
      </c>
      <c r="G101" s="2529"/>
      <c r="H101" s="1830">
        <v>2189.8000000000002</v>
      </c>
      <c r="I101" s="2529"/>
      <c r="J101" s="1830">
        <v>1611.3999999999996</v>
      </c>
      <c r="K101" s="2043"/>
      <c r="L101" s="1830">
        <v>679.30000000000109</v>
      </c>
      <c r="M101" s="2043"/>
      <c r="N101" s="1830">
        <v>2342.8999999999996</v>
      </c>
      <c r="O101" s="2043"/>
      <c r="P101" s="1830">
        <v>1082.2999999999993</v>
      </c>
      <c r="Q101" s="2043"/>
      <c r="R101" s="1830">
        <v>1741.3999999999987</v>
      </c>
      <c r="S101" s="2043"/>
      <c r="T101" s="1830">
        <v>2250.1000000000031</v>
      </c>
      <c r="U101" s="2043"/>
      <c r="V101" s="1830">
        <v>790.99999999999636</v>
      </c>
      <c r="W101" s="2043"/>
      <c r="X101" s="1830">
        <f t="shared" ref="X101:X110" si="16">$AC101-$D101-$F101-$H101-$J101-$L101-$N101-$P101-$R101-$T101-$V101</f>
        <v>836.70000000000073</v>
      </c>
      <c r="Y101" s="2043"/>
      <c r="Z101" s="1830"/>
      <c r="AA101" s="2044"/>
      <c r="AB101" s="2047"/>
      <c r="AC101" s="1846">
        <v>18421.599999999999</v>
      </c>
      <c r="AD101" s="2086"/>
      <c r="AE101" s="2047" t="s">
        <v>15</v>
      </c>
      <c r="AF101" s="1846">
        <v>18229.8</v>
      </c>
      <c r="AG101" s="2548"/>
      <c r="AH101" s="2528"/>
      <c r="AI101" s="1471">
        <f>ROUND(SUM(+AC101-AF101),1)</f>
        <v>191.8</v>
      </c>
      <c r="AJ101" s="2529"/>
      <c r="AK101" s="1466">
        <f>ROUND(IF(AF101=0,0,AI101/ABS(AF101)),3)</f>
        <v>1.0999999999999999E-2</v>
      </c>
    </row>
    <row r="102" spans="1:37" ht="15" customHeight="1">
      <c r="A102" s="2503"/>
      <c r="B102" s="2512" t="s">
        <v>26</v>
      </c>
      <c r="C102" s="2067"/>
      <c r="D102" s="1830">
        <v>0.1</v>
      </c>
      <c r="E102" s="1471"/>
      <c r="F102" s="1830">
        <v>0.1</v>
      </c>
      <c r="G102" s="1471"/>
      <c r="H102" s="1830">
        <v>9.9999999999999978E-2</v>
      </c>
      <c r="I102" s="1471"/>
      <c r="J102" s="1830">
        <v>0</v>
      </c>
      <c r="K102" s="2043"/>
      <c r="L102" s="1830">
        <v>0.20000000000000007</v>
      </c>
      <c r="M102" s="2043"/>
      <c r="N102" s="1830">
        <v>0.79999999999999982</v>
      </c>
      <c r="O102" s="2043"/>
      <c r="P102" s="1830">
        <v>0.69999999999999973</v>
      </c>
      <c r="Q102" s="2043"/>
      <c r="R102" s="1830">
        <v>0.10000000000000009</v>
      </c>
      <c r="S102" s="2043"/>
      <c r="T102" s="1830">
        <v>0.19999999999999973</v>
      </c>
      <c r="U102" s="2043"/>
      <c r="V102" s="1830">
        <v>0.20000000000000018</v>
      </c>
      <c r="W102" s="2043"/>
      <c r="X102" s="1830">
        <f t="shared" si="16"/>
        <v>0.29999999999999982</v>
      </c>
      <c r="Y102" s="2043"/>
      <c r="Z102" s="1830"/>
      <c r="AA102" s="2044"/>
      <c r="AB102" s="2047"/>
      <c r="AC102" s="1846">
        <v>2.8</v>
      </c>
      <c r="AD102" s="2086"/>
      <c r="AE102" s="2047" t="s">
        <v>15</v>
      </c>
      <c r="AF102" s="1846">
        <v>2.9</v>
      </c>
      <c r="AG102" s="2051"/>
      <c r="AH102" s="2528"/>
      <c r="AI102" s="1471">
        <f t="shared" ref="AI102:AI110" si="17">ROUND(SUM(+AC102-AF102),1)</f>
        <v>-0.1</v>
      </c>
      <c r="AJ102" s="2529"/>
      <c r="AK102" s="1466">
        <f>ROUND(IF(AF102=0,1,AI102/ABS(AF102)),3)</f>
        <v>-3.4000000000000002E-2</v>
      </c>
    </row>
    <row r="103" spans="1:37" ht="15" customHeight="1">
      <c r="A103" s="2503"/>
      <c r="B103" s="2512" t="s">
        <v>27</v>
      </c>
      <c r="C103" s="2067"/>
      <c r="D103" s="1830">
        <v>1.7</v>
      </c>
      <c r="E103" s="1471"/>
      <c r="F103" s="1830">
        <v>15.7</v>
      </c>
      <c r="G103" s="1471"/>
      <c r="H103" s="1830">
        <v>574.89999999999986</v>
      </c>
      <c r="I103" s="1471"/>
      <c r="J103" s="1830">
        <v>2.2000000000000455</v>
      </c>
      <c r="K103" s="2043"/>
      <c r="L103" s="1830">
        <v>45.5</v>
      </c>
      <c r="M103" s="2043"/>
      <c r="N103" s="1830">
        <v>48.299999999999955</v>
      </c>
      <c r="O103" s="2043"/>
      <c r="P103" s="1830">
        <v>19.100000000000023</v>
      </c>
      <c r="Q103" s="2043"/>
      <c r="R103" s="1830">
        <v>30.899999999999977</v>
      </c>
      <c r="S103" s="2043"/>
      <c r="T103" s="1830">
        <v>205.30000000000007</v>
      </c>
      <c r="U103" s="2043"/>
      <c r="V103" s="1830">
        <v>10.399999999999977</v>
      </c>
      <c r="W103" s="2043"/>
      <c r="X103" s="1830">
        <f t="shared" si="16"/>
        <v>19</v>
      </c>
      <c r="Y103" s="2043"/>
      <c r="Z103" s="1830"/>
      <c r="AA103" s="2044"/>
      <c r="AB103" s="2047"/>
      <c r="AC103" s="1846">
        <v>973</v>
      </c>
      <c r="AD103" s="2086"/>
      <c r="AE103" s="2047" t="s">
        <v>15</v>
      </c>
      <c r="AF103" s="1846">
        <v>940.6</v>
      </c>
      <c r="AG103" s="2051"/>
      <c r="AH103" s="2528"/>
      <c r="AI103" s="1471">
        <f t="shared" si="17"/>
        <v>32.4</v>
      </c>
      <c r="AJ103" s="2529"/>
      <c r="AK103" s="1466">
        <f>ROUND(IF(AF103=0,0,AI103/ABS(AF103)),3)</f>
        <v>3.4000000000000002E-2</v>
      </c>
    </row>
    <row r="104" spans="1:37" ht="15" customHeight="1">
      <c r="A104" s="2503"/>
      <c r="B104" s="2512" t="s">
        <v>28</v>
      </c>
      <c r="C104" s="2067"/>
      <c r="D104" s="1830"/>
      <c r="E104" s="1471"/>
      <c r="F104" s="1830"/>
      <c r="G104" s="1471"/>
      <c r="H104" s="1830"/>
      <c r="I104" s="1471"/>
      <c r="J104" s="1830"/>
      <c r="K104" s="2043"/>
      <c r="L104" s="1830"/>
      <c r="M104" s="2043"/>
      <c r="N104" s="1830"/>
      <c r="O104" s="2043"/>
      <c r="P104" s="1830"/>
      <c r="Q104" s="2043"/>
      <c r="R104" s="1830"/>
      <c r="S104" s="2043"/>
      <c r="T104" s="1830"/>
      <c r="U104" s="2043"/>
      <c r="V104" s="1830"/>
      <c r="W104" s="2043"/>
      <c r="X104" s="1830"/>
      <c r="Y104" s="2043"/>
      <c r="Z104" s="1830"/>
      <c r="AA104" s="2044"/>
      <c r="AB104" s="2047"/>
      <c r="AC104" s="1846"/>
      <c r="AD104" s="2086"/>
      <c r="AE104" s="2047" t="s">
        <v>15</v>
      </c>
      <c r="AF104" s="1846"/>
      <c r="AG104" s="2051"/>
      <c r="AH104" s="2528"/>
      <c r="AI104" s="1471" t="s">
        <v>15</v>
      </c>
      <c r="AJ104" s="2529"/>
      <c r="AK104" s="1459" t="s">
        <v>15</v>
      </c>
    </row>
    <row r="105" spans="1:37" ht="15" customHeight="1">
      <c r="A105" s="2503"/>
      <c r="B105" s="2549" t="s">
        <v>29</v>
      </c>
      <c r="C105" s="2067"/>
      <c r="D105" s="1830">
        <v>3296.6</v>
      </c>
      <c r="E105" s="1471"/>
      <c r="F105" s="1830">
        <v>1588.6</v>
      </c>
      <c r="G105" s="1471"/>
      <c r="H105" s="1830">
        <v>1393.9000000000005</v>
      </c>
      <c r="I105" s="1471"/>
      <c r="J105" s="1830">
        <v>1320.2000000000003</v>
      </c>
      <c r="K105" s="2043"/>
      <c r="L105" s="1830">
        <v>1073.2999999999993</v>
      </c>
      <c r="M105" s="2043"/>
      <c r="N105" s="1830">
        <v>1308.2999999999988</v>
      </c>
      <c r="O105" s="2043"/>
      <c r="P105" s="1830">
        <v>1650.5</v>
      </c>
      <c r="Q105" s="2043"/>
      <c r="R105" s="1830">
        <v>1933.4</v>
      </c>
      <c r="S105" s="2043"/>
      <c r="T105" s="1830">
        <v>1300.0999999999999</v>
      </c>
      <c r="U105" s="2043"/>
      <c r="V105" s="1830">
        <v>1662</v>
      </c>
      <c r="W105" s="2043"/>
      <c r="X105" s="1830">
        <f t="shared" si="16"/>
        <v>1194.5000000000005</v>
      </c>
      <c r="Y105" s="2043"/>
      <c r="Z105" s="1830"/>
      <c r="AA105" s="2044"/>
      <c r="AB105" s="2047"/>
      <c r="AC105" s="1846">
        <v>17721.400000000001</v>
      </c>
      <c r="AD105" s="2086"/>
      <c r="AE105" s="2047" t="s">
        <v>15</v>
      </c>
      <c r="AF105" s="1846">
        <v>15685.9</v>
      </c>
      <c r="AG105" s="2051"/>
      <c r="AH105" s="2528"/>
      <c r="AI105" s="1471">
        <f t="shared" si="17"/>
        <v>2035.5</v>
      </c>
      <c r="AJ105" s="2529"/>
      <c r="AK105" s="1466">
        <f t="shared" ref="AK105:AK109" si="18">ROUND(IF(AF105=0,0,AI105/ABS(AF105)),3)</f>
        <v>0.13</v>
      </c>
    </row>
    <row r="106" spans="1:37" ht="15" customHeight="1">
      <c r="A106" s="2503"/>
      <c r="B106" s="2512" t="s">
        <v>30</v>
      </c>
      <c r="C106" s="2067"/>
      <c r="D106" s="1830">
        <v>150.20000000000002</v>
      </c>
      <c r="E106" s="1471"/>
      <c r="F106" s="1830">
        <v>120.29999999999998</v>
      </c>
      <c r="G106" s="1471"/>
      <c r="H106" s="1830">
        <v>336</v>
      </c>
      <c r="I106" s="1471"/>
      <c r="J106" s="1830">
        <v>217.70000000000016</v>
      </c>
      <c r="K106" s="2043"/>
      <c r="L106" s="1830">
        <v>111.79999999999984</v>
      </c>
      <c r="M106" s="2043"/>
      <c r="N106" s="1830">
        <v>213</v>
      </c>
      <c r="O106" s="2043"/>
      <c r="P106" s="1830">
        <v>220.90000000000009</v>
      </c>
      <c r="Q106" s="2043"/>
      <c r="R106" s="1830">
        <v>101.49999999999977</v>
      </c>
      <c r="S106" s="2043"/>
      <c r="T106" s="1830">
        <v>282.59999999999991</v>
      </c>
      <c r="U106" s="2043"/>
      <c r="V106" s="1830">
        <v>119.8000000000003</v>
      </c>
      <c r="W106" s="2043"/>
      <c r="X106" s="1830">
        <f t="shared" si="16"/>
        <v>106.79999999999984</v>
      </c>
      <c r="Y106" s="2043"/>
      <c r="Z106" s="1830"/>
      <c r="AA106" s="2044"/>
      <c r="AB106" s="2047"/>
      <c r="AC106" s="1846">
        <v>1980.6</v>
      </c>
      <c r="AD106" s="2086"/>
      <c r="AE106" s="2047" t="s">
        <v>15</v>
      </c>
      <c r="AF106" s="1846">
        <v>2126.1</v>
      </c>
      <c r="AG106" s="2051"/>
      <c r="AH106" s="2528"/>
      <c r="AI106" s="1471">
        <f t="shared" si="17"/>
        <v>-145.5</v>
      </c>
      <c r="AJ106" s="2529"/>
      <c r="AK106" s="1466">
        <f t="shared" si="18"/>
        <v>-6.8000000000000005E-2</v>
      </c>
    </row>
    <row r="107" spans="1:37" ht="15" customHeight="1">
      <c r="A107" s="2503"/>
      <c r="B107" s="2512" t="s">
        <v>31</v>
      </c>
      <c r="C107" s="2067"/>
      <c r="D107" s="1830">
        <v>10.6</v>
      </c>
      <c r="E107" s="1471"/>
      <c r="F107" s="1830">
        <v>13.4</v>
      </c>
      <c r="G107" s="1471"/>
      <c r="H107" s="1830">
        <v>12.499999999999998</v>
      </c>
      <c r="I107" s="1471"/>
      <c r="J107" s="1830">
        <v>18.5</v>
      </c>
      <c r="K107" s="2043"/>
      <c r="L107" s="1830">
        <v>12.900000000000006</v>
      </c>
      <c r="M107" s="2043"/>
      <c r="N107" s="1830">
        <v>24.799999999999997</v>
      </c>
      <c r="O107" s="2043"/>
      <c r="P107" s="1830">
        <v>12.200000000000003</v>
      </c>
      <c r="Q107" s="2043"/>
      <c r="R107" s="1830">
        <v>10.199999999999989</v>
      </c>
      <c r="S107" s="2043"/>
      <c r="T107" s="1830">
        <v>21.800000000000011</v>
      </c>
      <c r="U107" s="2043"/>
      <c r="V107" s="1830">
        <v>6.1999999999999886</v>
      </c>
      <c r="W107" s="2043"/>
      <c r="X107" s="1830">
        <f t="shared" si="16"/>
        <v>10.700000000000017</v>
      </c>
      <c r="Y107" s="2043"/>
      <c r="Z107" s="1830"/>
      <c r="AA107" s="2044"/>
      <c r="AB107" s="2047"/>
      <c r="AC107" s="1846">
        <v>153.80000000000001</v>
      </c>
      <c r="AD107" s="2086"/>
      <c r="AE107" s="2047" t="s">
        <v>15</v>
      </c>
      <c r="AF107" s="1846">
        <v>171.7</v>
      </c>
      <c r="AG107" s="2051"/>
      <c r="AH107" s="2528" t="s">
        <v>15</v>
      </c>
      <c r="AI107" s="1471">
        <f t="shared" si="17"/>
        <v>-17.899999999999999</v>
      </c>
      <c r="AJ107" s="2529"/>
      <c r="AK107" s="1466">
        <f t="shared" si="18"/>
        <v>-0.104</v>
      </c>
    </row>
    <row r="108" spans="1:37" ht="15" customHeight="1">
      <c r="A108" s="2503"/>
      <c r="B108" s="2512" t="s">
        <v>32</v>
      </c>
      <c r="C108" s="2067"/>
      <c r="D108" s="1830">
        <v>87.800000000000011</v>
      </c>
      <c r="E108" s="1471"/>
      <c r="F108" s="1830">
        <v>84.899999999999977</v>
      </c>
      <c r="G108" s="1471"/>
      <c r="H108" s="1830">
        <v>180.5</v>
      </c>
      <c r="I108" s="1471"/>
      <c r="J108" s="1830">
        <v>128.40000000000003</v>
      </c>
      <c r="K108" s="2043"/>
      <c r="L108" s="1830">
        <v>179.7999999999999</v>
      </c>
      <c r="M108" s="2043"/>
      <c r="N108" s="1830">
        <v>170.70000000000005</v>
      </c>
      <c r="O108" s="2043"/>
      <c r="P108" s="1830">
        <v>424.40000000000009</v>
      </c>
      <c r="Q108" s="2043"/>
      <c r="R108" s="1830">
        <v>459.69999999999982</v>
      </c>
      <c r="S108" s="2043"/>
      <c r="T108" s="1830">
        <v>119.59999999999991</v>
      </c>
      <c r="U108" s="2043"/>
      <c r="V108" s="1830">
        <v>171.5</v>
      </c>
      <c r="W108" s="2043"/>
      <c r="X108" s="1830">
        <f t="shared" si="16"/>
        <v>197.29999999999973</v>
      </c>
      <c r="Y108" s="2043"/>
      <c r="Z108" s="1830"/>
      <c r="AA108" s="2044"/>
      <c r="AB108" s="2047"/>
      <c r="AC108" s="1846">
        <v>2204.6</v>
      </c>
      <c r="AD108" s="2086"/>
      <c r="AE108" s="2047" t="s">
        <v>15</v>
      </c>
      <c r="AF108" s="1846">
        <v>2081.5</v>
      </c>
      <c r="AG108" s="2051"/>
      <c r="AH108" s="2528"/>
      <c r="AI108" s="1471">
        <f t="shared" si="17"/>
        <v>123.1</v>
      </c>
      <c r="AJ108" s="2529"/>
      <c r="AK108" s="1466">
        <f t="shared" si="18"/>
        <v>5.8999999999999997E-2</v>
      </c>
    </row>
    <row r="109" spans="1:37" ht="15" customHeight="1">
      <c r="A109" s="2503"/>
      <c r="B109" s="2512" t="s">
        <v>33</v>
      </c>
      <c r="C109" s="2067"/>
      <c r="D109" s="1830">
        <v>6</v>
      </c>
      <c r="E109" s="1471"/>
      <c r="F109" s="1830">
        <v>7.6999999999999993</v>
      </c>
      <c r="G109" s="1471"/>
      <c r="H109" s="1830">
        <v>5.6999999999999993</v>
      </c>
      <c r="I109" s="1471"/>
      <c r="J109" s="1830">
        <v>22</v>
      </c>
      <c r="K109" s="2043"/>
      <c r="L109" s="1830">
        <v>21.099999999999994</v>
      </c>
      <c r="M109" s="2043"/>
      <c r="N109" s="1830">
        <v>7.2999999999999972</v>
      </c>
      <c r="O109" s="2043"/>
      <c r="P109" s="1830">
        <v>20.900000000000006</v>
      </c>
      <c r="Q109" s="2043"/>
      <c r="R109" s="1830">
        <v>7.0999999999999943</v>
      </c>
      <c r="S109" s="2043"/>
      <c r="T109" s="1830">
        <v>13.000000000000014</v>
      </c>
      <c r="U109" s="2043"/>
      <c r="V109" s="1830">
        <v>3.4999999999999858</v>
      </c>
      <c r="W109" s="2043"/>
      <c r="X109" s="1830">
        <f t="shared" si="16"/>
        <v>22.100000000000009</v>
      </c>
      <c r="Y109" s="2043"/>
      <c r="Z109" s="1830"/>
      <c r="AA109" s="2044"/>
      <c r="AB109" s="2047"/>
      <c r="AC109" s="1846">
        <v>136.4</v>
      </c>
      <c r="AD109" s="2086"/>
      <c r="AE109" s="2047" t="s">
        <v>15</v>
      </c>
      <c r="AF109" s="1846">
        <v>134.6</v>
      </c>
      <c r="AG109" s="2051"/>
      <c r="AH109" s="2528"/>
      <c r="AI109" s="1471">
        <f t="shared" si="17"/>
        <v>1.8</v>
      </c>
      <c r="AJ109" s="2529"/>
      <c r="AK109" s="1466">
        <f t="shared" si="18"/>
        <v>1.2999999999999999E-2</v>
      </c>
    </row>
    <row r="110" spans="1:37" ht="15" customHeight="1">
      <c r="A110" s="2503"/>
      <c r="B110" s="2512" t="s">
        <v>34</v>
      </c>
      <c r="C110" s="2067"/>
      <c r="D110" s="1830">
        <v>0</v>
      </c>
      <c r="E110" s="1471"/>
      <c r="F110" s="1830">
        <v>23.9</v>
      </c>
      <c r="G110" s="1471"/>
      <c r="H110" s="1830">
        <v>14.100000000000001</v>
      </c>
      <c r="I110" s="1471"/>
      <c r="J110" s="1830">
        <v>0.20000000000000284</v>
      </c>
      <c r="K110" s="2043"/>
      <c r="L110" s="1830">
        <v>23.9</v>
      </c>
      <c r="M110" s="2043"/>
      <c r="N110" s="1830">
        <v>-0.10000000000000142</v>
      </c>
      <c r="O110" s="2043"/>
      <c r="P110" s="1830">
        <v>0</v>
      </c>
      <c r="Q110" s="2043"/>
      <c r="R110" s="1830">
        <v>24.099999999999994</v>
      </c>
      <c r="S110" s="2043"/>
      <c r="T110" s="1830">
        <v>11.399999999999999</v>
      </c>
      <c r="U110" s="2043"/>
      <c r="V110" s="1830">
        <v>0</v>
      </c>
      <c r="W110" s="2043"/>
      <c r="X110" s="1830">
        <f t="shared" si="16"/>
        <v>12.500000000000007</v>
      </c>
      <c r="Y110" s="2043"/>
      <c r="Z110" s="1830"/>
      <c r="AA110" s="2044"/>
      <c r="AB110" s="2047"/>
      <c r="AC110" s="1846">
        <v>110</v>
      </c>
      <c r="AD110" s="2086"/>
      <c r="AE110" s="2047" t="s">
        <v>15</v>
      </c>
      <c r="AF110" s="1846">
        <v>303.5</v>
      </c>
      <c r="AG110" s="2083"/>
      <c r="AH110" s="2550"/>
      <c r="AI110" s="1471">
        <f t="shared" si="17"/>
        <v>-193.5</v>
      </c>
      <c r="AJ110" s="2551"/>
      <c r="AK110" s="1466">
        <f>ROUND(IF(AF110=0,1,AI110/ABS(AF110)),3)</f>
        <v>-0.63800000000000001</v>
      </c>
    </row>
    <row r="111" spans="1:37" ht="15" customHeight="1">
      <c r="A111" s="2503"/>
      <c r="B111" s="2521" t="s">
        <v>991</v>
      </c>
      <c r="C111" s="2067"/>
      <c r="D111" s="2087">
        <f>ROUND(SUM(D101:D110),1)</f>
        <v>4470</v>
      </c>
      <c r="E111" s="1489"/>
      <c r="F111" s="2087">
        <f>ROUND(SUM(F101:F110),1)</f>
        <v>5834.3</v>
      </c>
      <c r="G111" s="1489"/>
      <c r="H111" s="2087">
        <f>ROUND(SUM(H101:H110),1)</f>
        <v>4707.5</v>
      </c>
      <c r="I111" s="1472" t="s">
        <v>15</v>
      </c>
      <c r="J111" s="1488">
        <f>ROUND(SUM(J101:J110),1)</f>
        <v>3320.6</v>
      </c>
      <c r="K111" s="1472" t="s">
        <v>15</v>
      </c>
      <c r="L111" s="2087">
        <f>ROUND(SUM(L101:L110),1)</f>
        <v>2147.8000000000002</v>
      </c>
      <c r="M111" s="1472" t="s">
        <v>15</v>
      </c>
      <c r="N111" s="2087">
        <f>ROUND(SUM(N101:N110),1)</f>
        <v>4116</v>
      </c>
      <c r="O111" s="1472" t="s">
        <v>15</v>
      </c>
      <c r="P111" s="1488">
        <f>ROUND(SUM(P101:P110),1)</f>
        <v>3431</v>
      </c>
      <c r="Q111" s="1472" t="s">
        <v>15</v>
      </c>
      <c r="R111" s="2087">
        <f>ROUND(SUM(R101:R110),1)</f>
        <v>4308.3999999999996</v>
      </c>
      <c r="S111" s="1472" t="s">
        <v>15</v>
      </c>
      <c r="T111" s="2087">
        <f>ROUND(SUM(T101:T110),1)</f>
        <v>4204.1000000000004</v>
      </c>
      <c r="U111" s="1472" t="s">
        <v>15</v>
      </c>
      <c r="V111" s="2087">
        <f>ROUND(SUM(V101:V110),1)</f>
        <v>2764.6</v>
      </c>
      <c r="W111" s="1472" t="s">
        <v>15</v>
      </c>
      <c r="X111" s="2087">
        <f>ROUND(SUM(X101:X110),1)</f>
        <v>2399.9</v>
      </c>
      <c r="Y111" s="1472" t="s">
        <v>15</v>
      </c>
      <c r="Z111" s="2087">
        <f>ROUND(SUM(Z101:Z110),1)</f>
        <v>0</v>
      </c>
      <c r="AA111" s="2098" t="s">
        <v>15</v>
      </c>
      <c r="AB111" s="2094"/>
      <c r="AC111" s="1488">
        <f>SUM(AC101:AC110)</f>
        <v>41704.200000000004</v>
      </c>
      <c r="AD111" s="2095"/>
      <c r="AE111" s="3278" t="s">
        <v>15</v>
      </c>
      <c r="AF111" s="1488">
        <f>ROUND(SUM(AF101:AF110),1)</f>
        <v>39676.6</v>
      </c>
      <c r="AG111" s="1472"/>
      <c r="AH111" s="2533"/>
      <c r="AI111" s="2087">
        <f>ROUND(SUM(+AC111-AF111),1)</f>
        <v>2027.6</v>
      </c>
      <c r="AJ111" s="1472"/>
      <c r="AK111" s="2552">
        <f>ROUND(SUM(AI111/AF111),3)</f>
        <v>5.0999999999999997E-2</v>
      </c>
    </row>
    <row r="112" spans="1:37" ht="15" customHeight="1">
      <c r="A112" s="2503"/>
      <c r="B112" s="2089" t="s">
        <v>153</v>
      </c>
      <c r="C112" s="2067"/>
      <c r="D112" s="1471"/>
      <c r="E112" s="1471"/>
      <c r="F112" s="1471"/>
      <c r="G112" s="1471"/>
      <c r="H112" s="1471"/>
      <c r="I112" s="1471"/>
      <c r="J112" s="2045"/>
      <c r="K112" s="2051"/>
      <c r="L112" s="2051"/>
      <c r="M112" s="2051"/>
      <c r="N112" s="2051"/>
      <c r="O112" s="2051"/>
      <c r="P112" s="2040"/>
      <c r="Q112" s="2051"/>
      <c r="R112" s="2051"/>
      <c r="S112" s="2051"/>
      <c r="T112" s="2051"/>
      <c r="U112" s="2051"/>
      <c r="V112" s="2051"/>
      <c r="W112" s="2051"/>
      <c r="X112" s="2051"/>
      <c r="Y112" s="2051"/>
      <c r="Z112" s="2051"/>
      <c r="AA112" s="1491"/>
      <c r="AB112" s="2091"/>
      <c r="AC112" s="2045"/>
      <c r="AD112" s="2040"/>
      <c r="AE112" s="2042"/>
      <c r="AF112" s="2040"/>
      <c r="AG112" s="2051"/>
      <c r="AH112" s="2528"/>
      <c r="AI112" s="1471"/>
      <c r="AJ112" s="2529"/>
      <c r="AK112" s="1459"/>
    </row>
    <row r="113" spans="1:38" ht="15" customHeight="1">
      <c r="A113" s="2503"/>
      <c r="B113" s="2089" t="s">
        <v>154</v>
      </c>
      <c r="C113" s="2067"/>
      <c r="D113" s="1830">
        <v>688.8</v>
      </c>
      <c r="E113" s="1471"/>
      <c r="F113" s="1830">
        <v>1071.8</v>
      </c>
      <c r="G113" s="1471"/>
      <c r="H113" s="1830">
        <v>679</v>
      </c>
      <c r="I113" s="1471"/>
      <c r="J113" s="1830">
        <v>697.30000000000041</v>
      </c>
      <c r="K113" s="2043"/>
      <c r="L113" s="1830">
        <v>853.19999999999959</v>
      </c>
      <c r="M113" s="2043"/>
      <c r="N113" s="1830">
        <v>676</v>
      </c>
      <c r="O113" s="2043"/>
      <c r="P113" s="1830">
        <v>805.2</v>
      </c>
      <c r="Q113" s="2043"/>
      <c r="R113" s="1830">
        <v>684.59999999999923</v>
      </c>
      <c r="S113" s="2043"/>
      <c r="T113" s="1830">
        <v>684.20000000000073</v>
      </c>
      <c r="U113" s="2043"/>
      <c r="V113" s="1830">
        <v>794.00000000000023</v>
      </c>
      <c r="W113" s="2043"/>
      <c r="X113" s="1830">
        <f t="shared" ref="X113:X115" si="19">$AC113-$D113-$F113-$H113-$J113-$L113-$N113-$P113-$R113-$T113-$V113</f>
        <v>663.99999999999977</v>
      </c>
      <c r="Y113" s="2043"/>
      <c r="Z113" s="1830"/>
      <c r="AA113" s="2044"/>
      <c r="AB113" s="2047"/>
      <c r="AC113" s="1846">
        <v>8298.1</v>
      </c>
      <c r="AD113" s="2086"/>
      <c r="AE113" s="2047" t="s">
        <v>15</v>
      </c>
      <c r="AF113" s="1846">
        <v>8063.2999999999993</v>
      </c>
      <c r="AG113" s="2051"/>
      <c r="AH113" s="2528"/>
      <c r="AI113" s="1471">
        <f>ROUND(SUM(+AC113-AF113),1)</f>
        <v>234.8</v>
      </c>
      <c r="AJ113" s="2529"/>
      <c r="AK113" s="1466">
        <f>ROUND(IF(AF113=0,0,AI113/ABS(AF113)),3)</f>
        <v>2.9000000000000001E-2</v>
      </c>
    </row>
    <row r="114" spans="1:38" ht="15" customHeight="1">
      <c r="A114" s="2503"/>
      <c r="B114" s="2553" t="s">
        <v>155</v>
      </c>
      <c r="C114" s="2067"/>
      <c r="D114" s="1830">
        <v>159</v>
      </c>
      <c r="E114" s="1471"/>
      <c r="F114" s="1830">
        <v>249.2</v>
      </c>
      <c r="G114" s="1471"/>
      <c r="H114" s="1830">
        <v>218.90000000000003</v>
      </c>
      <c r="I114" s="1471"/>
      <c r="J114" s="1830">
        <v>200.89999999999998</v>
      </c>
      <c r="K114" s="2043"/>
      <c r="L114" s="1830">
        <v>211.2999999999999</v>
      </c>
      <c r="M114" s="2043"/>
      <c r="N114" s="1830">
        <v>188.90000000000003</v>
      </c>
      <c r="O114" s="2043"/>
      <c r="P114" s="1830">
        <v>256.5</v>
      </c>
      <c r="Q114" s="2043"/>
      <c r="R114" s="1830">
        <v>147.59999999999997</v>
      </c>
      <c r="S114" s="2043"/>
      <c r="T114" s="1830">
        <v>178.7999999999999</v>
      </c>
      <c r="U114" s="2043"/>
      <c r="V114" s="1830">
        <v>233.59999999999991</v>
      </c>
      <c r="W114" s="2043"/>
      <c r="X114" s="1830">
        <f t="shared" si="19"/>
        <v>229.70000000000033</v>
      </c>
      <c r="Y114" s="2043"/>
      <c r="Z114" s="1830"/>
      <c r="AA114" s="2044"/>
      <c r="AB114" s="2047"/>
      <c r="AC114" s="1846">
        <v>2274.4</v>
      </c>
      <c r="AD114" s="2086"/>
      <c r="AE114" s="2047" t="s">
        <v>15</v>
      </c>
      <c r="AF114" s="1846">
        <v>2372.6</v>
      </c>
      <c r="AG114" s="2051"/>
      <c r="AH114" s="2528"/>
      <c r="AI114" s="1471">
        <f>ROUND(SUM(+AC114-AF114),1)</f>
        <v>-98.2</v>
      </c>
      <c r="AJ114" s="2529"/>
      <c r="AK114" s="1466">
        <f>ROUND(IF(AF114=0,0,AI114/ABS(AF114)),3)</f>
        <v>-4.1000000000000002E-2</v>
      </c>
    </row>
    <row r="115" spans="1:38" ht="15" customHeight="1">
      <c r="A115" s="2503"/>
      <c r="B115" s="2553" t="s">
        <v>156</v>
      </c>
      <c r="C115" s="2067"/>
      <c r="D115" s="1830">
        <v>728.2</v>
      </c>
      <c r="E115" s="2537"/>
      <c r="F115" s="1830">
        <v>2349.3000000000002</v>
      </c>
      <c r="G115" s="2537"/>
      <c r="H115" s="1830">
        <v>364.89999999999964</v>
      </c>
      <c r="I115" s="1471"/>
      <c r="J115" s="1830">
        <v>384.80000000000018</v>
      </c>
      <c r="K115" s="2043"/>
      <c r="L115" s="1830">
        <v>422.60000000000036</v>
      </c>
      <c r="M115" s="2043"/>
      <c r="N115" s="1830">
        <v>477</v>
      </c>
      <c r="O115" s="2043"/>
      <c r="P115" s="1830">
        <v>573.39999999999964</v>
      </c>
      <c r="Q115" s="2043"/>
      <c r="R115" s="1830">
        <v>409.80000000000018</v>
      </c>
      <c r="S115" s="2043"/>
      <c r="T115" s="1830">
        <v>408.69999999999982</v>
      </c>
      <c r="U115" s="2043"/>
      <c r="V115" s="1830">
        <v>447.40000000000055</v>
      </c>
      <c r="W115" s="2043"/>
      <c r="X115" s="1830">
        <f t="shared" si="19"/>
        <v>415</v>
      </c>
      <c r="Y115" s="2043"/>
      <c r="Z115" s="1830"/>
      <c r="AA115" s="2044"/>
      <c r="AB115" s="2047"/>
      <c r="AC115" s="1846">
        <v>6981.1</v>
      </c>
      <c r="AD115" s="2086"/>
      <c r="AE115" s="2047" t="s">
        <v>15</v>
      </c>
      <c r="AF115" s="1846">
        <v>6727.9</v>
      </c>
      <c r="AG115" s="2052"/>
      <c r="AH115" s="2528"/>
      <c r="AI115" s="2544">
        <f>ROUND(SUM(+AC115-AF115),1)</f>
        <v>253.2</v>
      </c>
      <c r="AJ115" s="2529"/>
      <c r="AK115" s="1469">
        <f>ROUND(IF(AF115=0,0,AI115/ABS(AF115)),3)</f>
        <v>3.7999999999999999E-2</v>
      </c>
    </row>
    <row r="116" spans="1:38" ht="7.5" customHeight="1">
      <c r="A116" s="2503"/>
      <c r="B116" s="2089"/>
      <c r="C116" s="2067"/>
      <c r="D116" s="2546"/>
      <c r="E116" s="1471"/>
      <c r="F116" s="2546"/>
      <c r="G116" s="1471"/>
      <c r="H116" s="2546"/>
      <c r="I116" s="1471"/>
      <c r="J116" s="2547"/>
      <c r="K116" s="2051"/>
      <c r="L116" s="2050"/>
      <c r="M116" s="2051"/>
      <c r="N116" s="2050"/>
      <c r="O116" s="2051"/>
      <c r="P116" s="2096"/>
      <c r="Q116" s="2051"/>
      <c r="R116" s="2197"/>
      <c r="S116" s="2051"/>
      <c r="T116" s="2050"/>
      <c r="U116" s="2051"/>
      <c r="V116" s="2050"/>
      <c r="W116" s="2051"/>
      <c r="X116" s="2050"/>
      <c r="Y116" s="2051"/>
      <c r="Z116" s="2050"/>
      <c r="AA116" s="2058"/>
      <c r="AB116" s="2091"/>
      <c r="AC116" s="3279"/>
      <c r="AD116" s="2040"/>
      <c r="AE116" s="2042"/>
      <c r="AF116" s="2096"/>
      <c r="AG116" s="2052"/>
      <c r="AH116" s="2528"/>
      <c r="AI116" s="1471"/>
      <c r="AJ116" s="2529"/>
      <c r="AK116" s="1459"/>
    </row>
    <row r="117" spans="1:38" ht="15" customHeight="1">
      <c r="A117" s="2503"/>
      <c r="B117" s="2479" t="s">
        <v>157</v>
      </c>
      <c r="C117" s="2067"/>
      <c r="D117" s="1489">
        <f>ROUND(SUM(D113:D115)+D111,1)</f>
        <v>6046</v>
      </c>
      <c r="E117" s="1489"/>
      <c r="F117" s="1489">
        <f>ROUND(SUM(F111:F115),1)</f>
        <v>9504.6</v>
      </c>
      <c r="G117" s="1489"/>
      <c r="H117" s="1489">
        <f>ROUND(SUM(H111:H115),1)</f>
        <v>5970.3</v>
      </c>
      <c r="I117" s="1489"/>
      <c r="J117" s="2095">
        <f>ROUND(SUM(J111:J115),1)</f>
        <v>4603.6000000000004</v>
      </c>
      <c r="K117" s="1489"/>
      <c r="L117" s="1489">
        <f>ROUND(SUM(L111:L115),1)</f>
        <v>3634.9</v>
      </c>
      <c r="M117" s="1489"/>
      <c r="N117" s="1489">
        <f>ROUND(SUM(N111:N115),1)</f>
        <v>5457.9</v>
      </c>
      <c r="O117" s="1489"/>
      <c r="P117" s="2095">
        <f>ROUND(SUM(P111:P115),1)</f>
        <v>5066.1000000000004</v>
      </c>
      <c r="Q117" s="1489"/>
      <c r="R117" s="1489">
        <f>ROUND(SUM(R111:R115),1)</f>
        <v>5550.4</v>
      </c>
      <c r="S117" s="1489"/>
      <c r="T117" s="1489">
        <f>ROUND(SUM(T111:T115),1)</f>
        <v>5475.8</v>
      </c>
      <c r="U117" s="1489"/>
      <c r="V117" s="1489">
        <f>ROUND(SUM(V111:V115),1)</f>
        <v>4239.6000000000004</v>
      </c>
      <c r="W117" s="1489"/>
      <c r="X117" s="1489">
        <f>ROUND(SUM(X111:X115),1)</f>
        <v>3708.6</v>
      </c>
      <c r="Y117" s="1489"/>
      <c r="Z117" s="1489">
        <f>ROUND(SUM(Z111:Z115),1)</f>
        <v>0</v>
      </c>
      <c r="AA117" s="2098"/>
      <c r="AB117" s="2094"/>
      <c r="AC117" s="2095">
        <f>ROUND(SUM(AC111:AC115),1)</f>
        <v>59257.8</v>
      </c>
      <c r="AD117" s="2095"/>
      <c r="AE117" s="3278"/>
      <c r="AF117" s="2095">
        <f>ROUND(SUM(AF111:AF115),1)</f>
        <v>56840.4</v>
      </c>
      <c r="AG117" s="1472"/>
      <c r="AH117" s="2533"/>
      <c r="AI117" s="1597">
        <f>ROUND(SUM(AI111:AI115),1)</f>
        <v>2417.4</v>
      </c>
      <c r="AJ117" s="1472"/>
      <c r="AK117" s="2554">
        <f>ROUND(SUM(AI117/AF117),3)</f>
        <v>4.2999999999999997E-2</v>
      </c>
    </row>
    <row r="118" spans="1:38" ht="15" customHeight="1">
      <c r="A118" s="2503"/>
      <c r="B118" s="2089"/>
      <c r="C118" s="2067"/>
      <c r="D118" s="2546"/>
      <c r="E118" s="1471"/>
      <c r="F118" s="2546"/>
      <c r="G118" s="1471"/>
      <c r="H118" s="2546"/>
      <c r="I118" s="1471"/>
      <c r="J118" s="2547"/>
      <c r="K118" s="2051"/>
      <c r="L118" s="2050"/>
      <c r="M118" s="2051"/>
      <c r="N118" s="2050"/>
      <c r="O118" s="2051"/>
      <c r="P118" s="2096"/>
      <c r="Q118" s="2051"/>
      <c r="R118" s="2050"/>
      <c r="S118" s="2051"/>
      <c r="T118" s="2050"/>
      <c r="U118" s="2051"/>
      <c r="V118" s="2050"/>
      <c r="W118" s="2051"/>
      <c r="X118" s="2050"/>
      <c r="Y118" s="2051"/>
      <c r="Z118" s="2050"/>
      <c r="AA118" s="2058"/>
      <c r="AB118" s="2091"/>
      <c r="AC118" s="3279"/>
      <c r="AD118" s="2040"/>
      <c r="AE118" s="2042"/>
      <c r="AF118" s="2096"/>
      <c r="AG118" s="2052"/>
      <c r="AH118" s="2528"/>
      <c r="AI118" s="1471"/>
      <c r="AJ118" s="2529"/>
      <c r="AK118" s="1459"/>
    </row>
    <row r="119" spans="1:38" ht="15" customHeight="1">
      <c r="A119" s="2503"/>
      <c r="B119" s="2479" t="s">
        <v>158</v>
      </c>
      <c r="C119" s="2067"/>
      <c r="D119" s="1471"/>
      <c r="E119" s="1471"/>
      <c r="F119" s="1471"/>
      <c r="G119" s="1471"/>
      <c r="H119" s="1471"/>
      <c r="I119" s="1471"/>
      <c r="J119" s="2045"/>
      <c r="K119" s="2051"/>
      <c r="L119" s="2051"/>
      <c r="M119" s="2051"/>
      <c r="N119" s="2051"/>
      <c r="O119" s="2051"/>
      <c r="P119" s="2040"/>
      <c r="Q119" s="2051"/>
      <c r="R119" s="2051"/>
      <c r="S119" s="2051"/>
      <c r="T119" s="2051"/>
      <c r="U119" s="2051"/>
      <c r="V119" s="2051"/>
      <c r="W119" s="2051"/>
      <c r="X119" s="2051"/>
      <c r="Y119" s="2051"/>
      <c r="Z119" s="2051"/>
      <c r="AA119" s="1491"/>
      <c r="AB119" s="2091"/>
      <c r="AC119" s="2045"/>
      <c r="AD119" s="2040"/>
      <c r="AE119" s="2042"/>
      <c r="AF119" s="2040"/>
      <c r="AG119" s="2051"/>
      <c r="AH119" s="2528"/>
      <c r="AI119" s="1471"/>
      <c r="AJ119" s="2529"/>
      <c r="AK119" s="1459"/>
    </row>
    <row r="120" spans="1:38" ht="15" customHeight="1">
      <c r="A120" s="2503"/>
      <c r="B120" s="2479" t="s">
        <v>45</v>
      </c>
      <c r="C120" s="2067"/>
      <c r="D120" s="1489">
        <f>ROUND(SUM(D97-D117),1)</f>
        <v>512.1</v>
      </c>
      <c r="E120" s="1489"/>
      <c r="F120" s="1489">
        <f>ROUND(SUM(F97-F117),1)</f>
        <v>-7507.9</v>
      </c>
      <c r="G120" s="1489"/>
      <c r="H120" s="1489">
        <f>ROUND(SUM(H97-H117),1)</f>
        <v>-1203.3</v>
      </c>
      <c r="I120" s="1489"/>
      <c r="J120" s="2095">
        <f>ROUND(SUM(J97-J117),1)</f>
        <v>-1927.2</v>
      </c>
      <c r="K120" s="1489"/>
      <c r="L120" s="1489">
        <f>ROUND(SUM(L97-L117),1)</f>
        <v>-1358.8</v>
      </c>
      <c r="M120" s="1489"/>
      <c r="N120" s="1489">
        <f>ROUND(SUM(N97-N117),1)</f>
        <v>-610.1</v>
      </c>
      <c r="O120" s="1489"/>
      <c r="P120" s="2095">
        <f>ROUND(SUM(P97-P117),1)</f>
        <v>-2666.8</v>
      </c>
      <c r="Q120" s="1489"/>
      <c r="R120" s="1489">
        <f>ROUND(SUM(R97-R117),1)</f>
        <v>-3207</v>
      </c>
      <c r="S120" s="1489"/>
      <c r="T120" s="1489">
        <f>ROUND(SUM(T97-T117),1)</f>
        <v>-856.6</v>
      </c>
      <c r="U120" s="1489"/>
      <c r="V120" s="1489">
        <f>ROUND(SUM(V97-V117),1)</f>
        <v>-891.8</v>
      </c>
      <c r="W120" s="1489"/>
      <c r="X120" s="1489">
        <f>ROUND(SUM(X97-X117),1)</f>
        <v>-1081.2</v>
      </c>
      <c r="Y120" s="1489"/>
      <c r="Z120" s="1489">
        <f>ROUND(SUM(Z97-Z117),1)</f>
        <v>0</v>
      </c>
      <c r="AA120" s="2098"/>
      <c r="AB120" s="2094"/>
      <c r="AC120" s="2095">
        <f>ROUND(SUM(AC97-AC117),1)</f>
        <v>-20798.599999999999</v>
      </c>
      <c r="AD120" s="2095"/>
      <c r="AE120" s="3278"/>
      <c r="AF120" s="2095">
        <f>ROUND(SUM(AF97-AF117),1)</f>
        <v>-21939.7</v>
      </c>
      <c r="AG120" s="1489"/>
      <c r="AH120" s="2533"/>
      <c r="AI120" s="2097">
        <f>ROUND(SUM(+AC120-AF120),1)</f>
        <v>1141.0999999999999</v>
      </c>
      <c r="AJ120" s="1472"/>
      <c r="AK120" s="2560">
        <f>-ROUND(AI120/AF120,3)</f>
        <v>5.1999999999999998E-2</v>
      </c>
    </row>
    <row r="121" spans="1:38" ht="15" customHeight="1">
      <c r="A121" s="2503"/>
      <c r="B121" s="2089"/>
      <c r="C121" s="2067"/>
      <c r="D121" s="2546"/>
      <c r="E121" s="1471"/>
      <c r="F121" s="2546"/>
      <c r="G121" s="1471"/>
      <c r="H121" s="2546"/>
      <c r="I121" s="1471"/>
      <c r="J121" s="2547"/>
      <c r="K121" s="2051"/>
      <c r="L121" s="2050"/>
      <c r="M121" s="2051"/>
      <c r="N121" s="2050"/>
      <c r="O121" s="2051"/>
      <c r="P121" s="2096"/>
      <c r="Q121" s="2051"/>
      <c r="R121" s="2050"/>
      <c r="S121" s="2051"/>
      <c r="T121" s="2050"/>
      <c r="U121" s="2051"/>
      <c r="V121" s="2050"/>
      <c r="W121" s="2051"/>
      <c r="X121" s="2050"/>
      <c r="Y121" s="2051"/>
      <c r="Z121" s="2050"/>
      <c r="AA121" s="2058"/>
      <c r="AB121" s="2091"/>
      <c r="AC121" s="3279"/>
      <c r="AD121" s="2040"/>
      <c r="AE121" s="2042"/>
      <c r="AF121" s="2096"/>
      <c r="AG121" s="2050"/>
      <c r="AH121" s="2528"/>
      <c r="AI121" s="1471"/>
      <c r="AJ121" s="2529"/>
      <c r="AK121" s="1459"/>
    </row>
    <row r="122" spans="1:38" ht="15" customHeight="1">
      <c r="A122" s="2503"/>
      <c r="B122" s="2479" t="s">
        <v>46</v>
      </c>
      <c r="C122" s="2067"/>
      <c r="D122" s="1471"/>
      <c r="E122" s="1471"/>
      <c r="F122" s="1471"/>
      <c r="G122" s="1471"/>
      <c r="H122" s="1471"/>
      <c r="I122" s="1471"/>
      <c r="J122" s="2045"/>
      <c r="K122" s="2051"/>
      <c r="L122" s="2051"/>
      <c r="M122" s="2051"/>
      <c r="N122" s="2051"/>
      <c r="O122" s="2051"/>
      <c r="P122" s="2040"/>
      <c r="Q122" s="2051"/>
      <c r="R122" s="2051"/>
      <c r="S122" s="2051"/>
      <c r="T122" s="2051"/>
      <c r="U122" s="2051"/>
      <c r="V122" s="2051"/>
      <c r="W122" s="2051"/>
      <c r="X122" s="2051"/>
      <c r="Y122" s="2051"/>
      <c r="Z122" s="2051"/>
      <c r="AA122" s="1491"/>
      <c r="AB122" s="2091"/>
      <c r="AC122" s="2045"/>
      <c r="AD122" s="2040"/>
      <c r="AE122" s="2042"/>
      <c r="AF122" s="2040"/>
      <c r="AG122" s="2051"/>
      <c r="AH122" s="2528"/>
      <c r="AI122" s="1471"/>
      <c r="AJ122" s="2529"/>
      <c r="AK122" s="1459"/>
    </row>
    <row r="123" spans="1:38" ht="15" customHeight="1">
      <c r="A123" s="2503"/>
      <c r="B123" s="2479"/>
      <c r="C123" s="2067"/>
      <c r="D123" s="1471"/>
      <c r="E123" s="1471"/>
      <c r="F123" s="1471"/>
      <c r="G123" s="1471"/>
      <c r="H123" s="1471"/>
      <c r="I123" s="1471"/>
      <c r="J123" s="2045"/>
      <c r="K123" s="2051"/>
      <c r="L123" s="2051"/>
      <c r="M123" s="2051"/>
      <c r="N123" s="2051"/>
      <c r="O123" s="2051"/>
      <c r="P123" s="2040"/>
      <c r="Q123" s="2051"/>
      <c r="R123" s="2051"/>
      <c r="S123" s="2051"/>
      <c r="T123" s="2051"/>
      <c r="U123" s="2051"/>
      <c r="V123" s="2051"/>
      <c r="W123" s="2051"/>
      <c r="X123" s="2051"/>
      <c r="Y123" s="2051"/>
      <c r="Z123" s="2051"/>
      <c r="AA123" s="1491"/>
      <c r="AB123" s="2091"/>
      <c r="AC123" s="2045"/>
      <c r="AD123" s="2040"/>
      <c r="AE123" s="2042"/>
      <c r="AF123" s="2040"/>
      <c r="AG123" s="2051"/>
      <c r="AH123" s="2528"/>
      <c r="AI123" s="1471"/>
      <c r="AJ123" s="2529"/>
      <c r="AK123" s="1459"/>
    </row>
    <row r="124" spans="1:38" ht="15" customHeight="1">
      <c r="A124" s="2503"/>
      <c r="B124" s="2555" t="s">
        <v>1002</v>
      </c>
      <c r="C124" s="2235"/>
      <c r="D124" s="1830">
        <v>4607.3</v>
      </c>
      <c r="E124" s="2045"/>
      <c r="F124" s="1830">
        <v>1126.1999999999998</v>
      </c>
      <c r="G124" s="2045"/>
      <c r="H124" s="1830">
        <v>2606</v>
      </c>
      <c r="I124" s="2045"/>
      <c r="J124" s="1830">
        <v>1658.2999999999993</v>
      </c>
      <c r="K124" s="2043"/>
      <c r="L124" s="1830">
        <v>1476.3000000000011</v>
      </c>
      <c r="M124" s="2043"/>
      <c r="N124" s="1830">
        <v>2682.7999999999975</v>
      </c>
      <c r="O124" s="2043"/>
      <c r="P124" s="1830">
        <v>1288.8000000000029</v>
      </c>
      <c r="Q124" s="2043"/>
      <c r="R124" s="1830">
        <v>960.29999999999927</v>
      </c>
      <c r="S124" s="2043"/>
      <c r="T124" s="1830">
        <v>2147.2999999999993</v>
      </c>
      <c r="U124" s="2043"/>
      <c r="V124" s="1830">
        <v>2950.2999999999993</v>
      </c>
      <c r="W124" s="2043"/>
      <c r="X124" s="1830">
        <f t="shared" ref="X124:X131" si="20">$AC124-$D124-$F124-$H124-$J124-$L124-$N124-$P124-$R124-$T124-$V124</f>
        <v>1048.6000000000022</v>
      </c>
      <c r="Y124" s="2043"/>
      <c r="Z124" s="1830"/>
      <c r="AA124" s="2044"/>
      <c r="AB124" s="2047"/>
      <c r="AC124" s="1846">
        <v>22552.2</v>
      </c>
      <c r="AD124" s="2086"/>
      <c r="AE124" s="2047" t="s">
        <v>15</v>
      </c>
      <c r="AF124" s="1846">
        <v>19459.2</v>
      </c>
      <c r="AG124" s="2040"/>
      <c r="AH124" s="2528"/>
      <c r="AI124" s="1471">
        <f>ROUND(SUM(+AC124-AF124),1)</f>
        <v>3093</v>
      </c>
      <c r="AJ124" s="2529"/>
      <c r="AK124" s="1466">
        <f t="shared" ref="AK124:AK128" si="21">ROUND(IF(AF124=0,0,AI124/ABS(AF124)),3)</f>
        <v>0.159</v>
      </c>
    </row>
    <row r="125" spans="1:38" s="2471" customFormat="1" ht="15" customHeight="1">
      <c r="A125" s="2516"/>
      <c r="B125" s="2555" t="s">
        <v>1022</v>
      </c>
      <c r="C125" s="2235"/>
      <c r="D125" s="1830">
        <v>452</v>
      </c>
      <c r="E125" s="2045"/>
      <c r="F125" s="1830">
        <v>302.70000000000005</v>
      </c>
      <c r="G125" s="2045"/>
      <c r="H125" s="1830">
        <v>835.59999999999991</v>
      </c>
      <c r="I125" s="2045"/>
      <c r="J125" s="1830">
        <v>501.50000000000023</v>
      </c>
      <c r="K125" s="2043"/>
      <c r="L125" s="1830">
        <v>490.19999999999982</v>
      </c>
      <c r="M125" s="2043"/>
      <c r="N125" s="1830">
        <v>747.80000000000041</v>
      </c>
      <c r="O125" s="2043"/>
      <c r="P125" s="1830">
        <v>493.89999999999964</v>
      </c>
      <c r="Q125" s="2043"/>
      <c r="R125" s="1830">
        <v>494.10000000000014</v>
      </c>
      <c r="S125" s="2043"/>
      <c r="T125" s="1830">
        <v>654.19999999999982</v>
      </c>
      <c r="U125" s="2043"/>
      <c r="V125" s="1830">
        <v>572.40000000000077</v>
      </c>
      <c r="W125" s="2043"/>
      <c r="X125" s="1830">
        <f t="shared" si="20"/>
        <v>163.29999999999927</v>
      </c>
      <c r="Y125" s="2043"/>
      <c r="Z125" s="1830"/>
      <c r="AA125" s="2044"/>
      <c r="AB125" s="2047"/>
      <c r="AC125" s="1846">
        <v>5707.7</v>
      </c>
      <c r="AD125" s="2086"/>
      <c r="AE125" s="2047" t="s">
        <v>15</v>
      </c>
      <c r="AF125" s="1846">
        <v>5117.5</v>
      </c>
      <c r="AG125" s="2040"/>
      <c r="AH125" s="2556"/>
      <c r="AI125" s="2045">
        <f>ROUND(SUM(+AC125-AF125),1)</f>
        <v>590.20000000000005</v>
      </c>
      <c r="AJ125" s="2086"/>
      <c r="AK125" s="1765">
        <f t="shared" si="21"/>
        <v>0.115</v>
      </c>
      <c r="AL125" s="2469"/>
    </row>
    <row r="126" spans="1:38" s="2471" customFormat="1" ht="15" customHeight="1">
      <c r="A126" s="2516"/>
      <c r="B126" s="2555" t="s">
        <v>1003</v>
      </c>
      <c r="C126" s="2235"/>
      <c r="D126" s="1830">
        <v>70.3</v>
      </c>
      <c r="E126" s="2045"/>
      <c r="F126" s="1830">
        <v>86.000000000000014</v>
      </c>
      <c r="G126" s="2045"/>
      <c r="H126" s="1830">
        <v>85.399999999999963</v>
      </c>
      <c r="I126" s="2045"/>
      <c r="J126" s="1830">
        <v>114.30000000000003</v>
      </c>
      <c r="K126" s="2043"/>
      <c r="L126" s="1830">
        <v>74.100000000000009</v>
      </c>
      <c r="M126" s="2043"/>
      <c r="N126" s="1830">
        <v>80.7</v>
      </c>
      <c r="O126" s="2043"/>
      <c r="P126" s="1830">
        <v>68.599999999999952</v>
      </c>
      <c r="Q126" s="2043"/>
      <c r="R126" s="1830">
        <v>83.100000000000094</v>
      </c>
      <c r="S126" s="2043"/>
      <c r="T126" s="1830">
        <v>69.600000000000009</v>
      </c>
      <c r="U126" s="2043"/>
      <c r="V126" s="1830">
        <v>78.199999999999946</v>
      </c>
      <c r="W126" s="2043"/>
      <c r="X126" s="1830">
        <f t="shared" si="20"/>
        <v>67.699999999999974</v>
      </c>
      <c r="Y126" s="2043"/>
      <c r="Z126" s="1830"/>
      <c r="AA126" s="2044"/>
      <c r="AB126" s="2047"/>
      <c r="AC126" s="1846">
        <v>878</v>
      </c>
      <c r="AD126" s="2086"/>
      <c r="AE126" s="2047" t="s">
        <v>15</v>
      </c>
      <c r="AF126" s="1846">
        <v>907.2</v>
      </c>
      <c r="AG126" s="2040"/>
      <c r="AH126" s="2556"/>
      <c r="AI126" s="2045">
        <f>ROUND(SUM(+AC126-AF126),1)</f>
        <v>-29.2</v>
      </c>
      <c r="AJ126" s="2086"/>
      <c r="AK126" s="1765">
        <f t="shared" si="21"/>
        <v>-3.2000000000000001E-2</v>
      </c>
      <c r="AL126" s="2469"/>
    </row>
    <row r="127" spans="1:38" s="2471" customFormat="1" ht="15" customHeight="1">
      <c r="A127" s="2516"/>
      <c r="B127" s="2557" t="s">
        <v>160</v>
      </c>
      <c r="C127" s="2235"/>
      <c r="D127" s="1830">
        <v>49.400000000000183</v>
      </c>
      <c r="E127" s="2045"/>
      <c r="F127" s="1830">
        <v>110.19999999999959</v>
      </c>
      <c r="G127" s="2045"/>
      <c r="H127" s="1830">
        <v>118.6</v>
      </c>
      <c r="I127" s="2045"/>
      <c r="J127" s="1830">
        <v>248.40000000000148</v>
      </c>
      <c r="K127" s="2043"/>
      <c r="L127" s="1830">
        <v>118.39999999999904</v>
      </c>
      <c r="M127" s="2043"/>
      <c r="N127" s="1830">
        <v>70.299999999999159</v>
      </c>
      <c r="O127" s="2043"/>
      <c r="P127" s="1830">
        <v>84.199999999999278</v>
      </c>
      <c r="Q127" s="2043"/>
      <c r="R127" s="1830">
        <v>67.100000000002524</v>
      </c>
      <c r="S127" s="2043"/>
      <c r="T127" s="1830">
        <v>154.59999999999795</v>
      </c>
      <c r="U127" s="2043"/>
      <c r="V127" s="1830">
        <v>520.30000000000121</v>
      </c>
      <c r="W127" s="2043"/>
      <c r="X127" s="1830">
        <f t="shared" si="20"/>
        <v>362.60000000000036</v>
      </c>
      <c r="Y127" s="2043"/>
      <c r="Z127" s="1830"/>
      <c r="AA127" s="2044"/>
      <c r="AB127" s="2047"/>
      <c r="AC127" s="1846">
        <v>1904.1000000000008</v>
      </c>
      <c r="AD127" s="2086"/>
      <c r="AE127" s="2047" t="s">
        <v>15</v>
      </c>
      <c r="AF127" s="1846">
        <v>1352.5999999999992</v>
      </c>
      <c r="AG127" s="2040"/>
      <c r="AH127" s="2556"/>
      <c r="AI127" s="2045">
        <f>ROUND(SUM(+AC127-AF127),1)</f>
        <v>551.5</v>
      </c>
      <c r="AJ127" s="2086"/>
      <c r="AK127" s="1770">
        <f t="shared" si="21"/>
        <v>0.40799999999999997</v>
      </c>
      <c r="AL127" s="2469"/>
    </row>
    <row r="128" spans="1:38" ht="15" customHeight="1">
      <c r="A128" s="2503" t="s">
        <v>15</v>
      </c>
      <c r="B128" s="2089" t="s">
        <v>161</v>
      </c>
      <c r="C128" s="2067"/>
      <c r="D128" s="1830">
        <v>-248.8</v>
      </c>
      <c r="E128" s="1471"/>
      <c r="F128" s="1830">
        <v>-406.3</v>
      </c>
      <c r="G128" s="1471"/>
      <c r="H128" s="1830">
        <v>-393.80000000000013</v>
      </c>
      <c r="I128" s="1471"/>
      <c r="J128" s="1830">
        <v>-201.8</v>
      </c>
      <c r="K128" s="2043"/>
      <c r="L128" s="1830">
        <v>-402.7999999999999</v>
      </c>
      <c r="M128" s="2043"/>
      <c r="N128" s="1830">
        <v>-586.90000000000009</v>
      </c>
      <c r="O128" s="2043"/>
      <c r="P128" s="1830">
        <v>812.10000000000014</v>
      </c>
      <c r="Q128" s="2043"/>
      <c r="R128" s="1830">
        <v>-394.2000000000001</v>
      </c>
      <c r="S128" s="2043"/>
      <c r="T128" s="1830">
        <v>-285.99999999999994</v>
      </c>
      <c r="U128" s="2043"/>
      <c r="V128" s="1830">
        <v>-208.59999999999968</v>
      </c>
      <c r="W128" s="2043"/>
      <c r="X128" s="1830">
        <f>$AC128-$D128-$F128-$H128-$J128-$L128-$N128-$P128-$R128-$T128-$V128</f>
        <v>-310</v>
      </c>
      <c r="Y128" s="2043"/>
      <c r="Z128" s="1830"/>
      <c r="AA128" s="2044"/>
      <c r="AB128" s="2047"/>
      <c r="AC128" s="1846">
        <v>-2627.1</v>
      </c>
      <c r="AD128" s="2086"/>
      <c r="AE128" s="2047" t="s">
        <v>15</v>
      </c>
      <c r="AF128" s="1846">
        <v>-916.3</v>
      </c>
      <c r="AG128" s="2051"/>
      <c r="AH128" s="2528"/>
      <c r="AI128" s="1471">
        <f>ROUND(SUM(+AC128-AF128)*-1,1)</f>
        <v>1710.8</v>
      </c>
      <c r="AJ128" s="2529"/>
      <c r="AK128" s="1509">
        <f t="shared" si="21"/>
        <v>1.867</v>
      </c>
    </row>
    <row r="129" spans="1:38" s="2471" customFormat="1" ht="15" customHeight="1">
      <c r="A129" s="2516"/>
      <c r="B129" s="2558" t="s">
        <v>1249</v>
      </c>
      <c r="C129" s="2235"/>
      <c r="D129" s="1830">
        <v>-250</v>
      </c>
      <c r="E129" s="2045"/>
      <c r="F129" s="1830">
        <v>0</v>
      </c>
      <c r="G129" s="2045"/>
      <c r="H129" s="1830">
        <v>-216.5</v>
      </c>
      <c r="I129" s="2045"/>
      <c r="J129" s="1830">
        <v>-50</v>
      </c>
      <c r="K129" s="2043"/>
      <c r="L129" s="1830">
        <v>-70</v>
      </c>
      <c r="M129" s="2043"/>
      <c r="N129" s="1830">
        <v>-116.5</v>
      </c>
      <c r="O129" s="2043"/>
      <c r="P129" s="1830">
        <v>-100</v>
      </c>
      <c r="Q129" s="2043"/>
      <c r="R129" s="1830">
        <v>-98</v>
      </c>
      <c r="S129" s="2043"/>
      <c r="T129" s="1830">
        <v>-186.5</v>
      </c>
      <c r="U129" s="2043"/>
      <c r="V129" s="1830">
        <v>-100</v>
      </c>
      <c r="W129" s="2043"/>
      <c r="X129" s="1830">
        <f t="shared" si="20"/>
        <v>-50</v>
      </c>
      <c r="Y129" s="2043"/>
      <c r="Z129" s="1830"/>
      <c r="AA129" s="2044"/>
      <c r="AB129" s="2047"/>
      <c r="AC129" s="1846">
        <v>-1237.5</v>
      </c>
      <c r="AD129" s="2086"/>
      <c r="AE129" s="2047" t="s">
        <v>15</v>
      </c>
      <c r="AF129" s="1846">
        <v>-1244.5</v>
      </c>
      <c r="AG129" s="2040"/>
      <c r="AH129" s="2556"/>
      <c r="AI129" s="2045">
        <f>ROUND(SUM(+AC129-AF129)*-1,1)</f>
        <v>-7</v>
      </c>
      <c r="AJ129" s="2086"/>
      <c r="AK129" s="1770">
        <f>ROUND(IF(AF129=0,1,AI129/ABS(AF129)),3)</f>
        <v>-6.0000000000000001E-3</v>
      </c>
      <c r="AL129" s="2469"/>
    </row>
    <row r="130" spans="1:38" s="2471" customFormat="1" ht="15" customHeight="1">
      <c r="A130" s="2516"/>
      <c r="B130" s="2517" t="s">
        <v>162</v>
      </c>
      <c r="C130" s="2235"/>
      <c r="D130" s="1830">
        <v>-134.69999999999999</v>
      </c>
      <c r="E130" s="1471"/>
      <c r="F130" s="1830">
        <v>-10.700000000000017</v>
      </c>
      <c r="G130" s="1471"/>
      <c r="H130" s="1830">
        <v>7</v>
      </c>
      <c r="I130" s="1471"/>
      <c r="J130" s="1830">
        <v>-132.1</v>
      </c>
      <c r="K130" s="2043"/>
      <c r="L130" s="1830">
        <v>16.599999999999994</v>
      </c>
      <c r="M130" s="2043"/>
      <c r="N130" s="1830">
        <v>28.200000000000017</v>
      </c>
      <c r="O130" s="2043"/>
      <c r="P130" s="1830">
        <v>-129.90000000000003</v>
      </c>
      <c r="Q130" s="2043"/>
      <c r="R130" s="1830">
        <v>20.200000000000045</v>
      </c>
      <c r="S130" s="2043"/>
      <c r="T130" s="1830">
        <v>-5.2000000000000455</v>
      </c>
      <c r="U130" s="2043"/>
      <c r="V130" s="1830">
        <v>-213.40000000000003</v>
      </c>
      <c r="W130" s="2043"/>
      <c r="X130" s="1830">
        <f t="shared" si="20"/>
        <v>29</v>
      </c>
      <c r="Y130" s="2043"/>
      <c r="Z130" s="1830"/>
      <c r="AA130" s="2044"/>
      <c r="AB130" s="2047"/>
      <c r="AC130" s="1846">
        <v>-525</v>
      </c>
      <c r="AD130" s="2086"/>
      <c r="AE130" s="2047" t="s">
        <v>15</v>
      </c>
      <c r="AF130" s="1846">
        <v>-767.8</v>
      </c>
      <c r="AG130" s="2040"/>
      <c r="AH130" s="2556"/>
      <c r="AI130" s="2045">
        <f>ROUND(SUM(+AC130-AF130)*-1,1)</f>
        <v>-242.8</v>
      </c>
      <c r="AJ130" s="2086"/>
      <c r="AK130" s="1765">
        <f>ROUND(IF(AF130=0,0,AI130/ABS(AF130)),3)</f>
        <v>-0.316</v>
      </c>
      <c r="AL130" s="2469"/>
    </row>
    <row r="131" spans="1:38" s="2471" customFormat="1" ht="15" customHeight="1">
      <c r="A131" s="2516"/>
      <c r="B131" s="2517" t="s">
        <v>163</v>
      </c>
      <c r="C131" s="2235"/>
      <c r="D131" s="1830">
        <v>-294.60000000000002</v>
      </c>
      <c r="E131" s="2045"/>
      <c r="F131" s="1830">
        <v>-447.30000000000007</v>
      </c>
      <c r="G131" s="2045"/>
      <c r="H131" s="1830">
        <v>-467.59999999999991</v>
      </c>
      <c r="I131" s="2045"/>
      <c r="J131" s="1830">
        <v>-190.10000000000002</v>
      </c>
      <c r="K131" s="2043"/>
      <c r="L131" s="1830">
        <v>-71.900000000000091</v>
      </c>
      <c r="M131" s="2043"/>
      <c r="N131" s="1830">
        <v>-132.90000000000055</v>
      </c>
      <c r="O131" s="2043"/>
      <c r="P131" s="1830">
        <v>-85.499999999999545</v>
      </c>
      <c r="Q131" s="2043"/>
      <c r="R131" s="1830">
        <v>-169.39999999999952</v>
      </c>
      <c r="S131" s="2043"/>
      <c r="T131" s="1830">
        <v>-83.100000000000364</v>
      </c>
      <c r="U131" s="2043"/>
      <c r="V131" s="1830">
        <v>-69.100000000000364</v>
      </c>
      <c r="W131" s="2043"/>
      <c r="X131" s="1830">
        <f t="shared" si="20"/>
        <v>-84.699999999999363</v>
      </c>
      <c r="Y131" s="2043"/>
      <c r="Z131" s="1830"/>
      <c r="AA131" s="2044"/>
      <c r="AB131" s="2047"/>
      <c r="AC131" s="1846">
        <v>-2096.1999999999998</v>
      </c>
      <c r="AD131" s="2086"/>
      <c r="AE131" s="2047" t="s">
        <v>15</v>
      </c>
      <c r="AF131" s="1846">
        <v>-1731.9000000000003</v>
      </c>
      <c r="AG131" s="2021"/>
      <c r="AH131" s="2556"/>
      <c r="AI131" s="2559">
        <f>ROUND(SUM(+AC131-AF131)*-1,1)</f>
        <v>364.3</v>
      </c>
      <c r="AJ131" s="2086"/>
      <c r="AK131" s="1853">
        <f>ROUND(IF(AF131=0,0,AI131/ABS(AF131)),3)</f>
        <v>0.21</v>
      </c>
      <c r="AL131" s="2469"/>
    </row>
    <row r="132" spans="1:38" ht="5.0999999999999996" customHeight="1">
      <c r="A132" s="2503"/>
      <c r="B132" s="2517"/>
      <c r="C132" s="2235"/>
      <c r="D132" s="2096"/>
      <c r="E132" s="2040"/>
      <c r="F132" s="2096"/>
      <c r="G132" s="2040"/>
      <c r="H132" s="2096" t="s">
        <v>15</v>
      </c>
      <c r="I132" s="2040"/>
      <c r="J132" s="2096"/>
      <c r="K132" s="2040"/>
      <c r="L132" s="2096"/>
      <c r="M132" s="2040"/>
      <c r="N132" s="2096"/>
      <c r="O132" s="2040"/>
      <c r="P132" s="2096"/>
      <c r="Q132" s="2040"/>
      <c r="R132" s="2096"/>
      <c r="S132" s="2040"/>
      <c r="T132" s="2096"/>
      <c r="U132" s="2040"/>
      <c r="V132" s="2096"/>
      <c r="W132" s="2040"/>
      <c r="X132" s="2096"/>
      <c r="Y132" s="2040"/>
      <c r="Z132" s="2096"/>
      <c r="AA132" s="2063"/>
      <c r="AB132" s="2092"/>
      <c r="AC132" s="3279"/>
      <c r="AD132" s="2040"/>
      <c r="AE132" s="2042"/>
      <c r="AF132" s="2096"/>
      <c r="AG132" s="2021"/>
      <c r="AH132" s="2528"/>
      <c r="AI132" s="1471"/>
      <c r="AJ132" s="2529"/>
      <c r="AK132" s="1459"/>
    </row>
    <row r="133" spans="1:38" ht="15" customHeight="1">
      <c r="A133" s="2503"/>
      <c r="B133" s="2479" t="s">
        <v>164</v>
      </c>
      <c r="C133" s="2067"/>
      <c r="D133" s="2051"/>
      <c r="E133" s="2051"/>
      <c r="F133" s="2051"/>
      <c r="G133" s="2051"/>
      <c r="H133" s="2051"/>
      <c r="I133" s="2051"/>
      <c r="J133" s="2040"/>
      <c r="K133" s="2051"/>
      <c r="L133" s="2051"/>
      <c r="M133" s="2051"/>
      <c r="N133" s="2051"/>
      <c r="O133" s="2051"/>
      <c r="P133" s="2040"/>
      <c r="Q133" s="2051"/>
      <c r="R133" s="2051"/>
      <c r="S133" s="2051"/>
      <c r="T133" s="2051"/>
      <c r="U133" s="2051"/>
      <c r="V133" s="2051"/>
      <c r="W133" s="2051"/>
      <c r="X133" s="2051"/>
      <c r="Y133" s="1491"/>
      <c r="Z133" s="1491"/>
      <c r="AA133" s="1491"/>
      <c r="AB133" s="2091"/>
      <c r="AC133" s="2045"/>
      <c r="AD133" s="2040"/>
      <c r="AE133" s="2042"/>
      <c r="AF133" s="2040"/>
      <c r="AG133" s="2051"/>
      <c r="AH133" s="2528"/>
      <c r="AI133" s="1471"/>
      <c r="AJ133" s="2529"/>
      <c r="AK133" s="1459"/>
    </row>
    <row r="134" spans="1:38" ht="15" customHeight="1">
      <c r="A134" s="2503"/>
      <c r="B134" s="2479" t="s">
        <v>165</v>
      </c>
      <c r="C134" s="2067"/>
      <c r="D134" s="1489">
        <f>ROUND(SUM(D124:D132),1)</f>
        <v>4250.8999999999996</v>
      </c>
      <c r="E134" s="1489"/>
      <c r="F134" s="1489">
        <f>ROUND(SUM(F124:F132),1)</f>
        <v>760.8</v>
      </c>
      <c r="G134" s="1489"/>
      <c r="H134" s="1489">
        <f>ROUND(SUM(H124:H132),1)</f>
        <v>2574.6999999999998</v>
      </c>
      <c r="I134" s="1489"/>
      <c r="J134" s="2095">
        <f>ROUND(SUM(J124:J131),1)</f>
        <v>1948.5</v>
      </c>
      <c r="K134" s="1489"/>
      <c r="L134" s="1489">
        <f>ROUND(SUM(L124:L131),1)</f>
        <v>1630.9</v>
      </c>
      <c r="M134" s="1489"/>
      <c r="N134" s="1489">
        <f>ROUND(SUM(N124:N131),1)</f>
        <v>2773.5</v>
      </c>
      <c r="O134" s="1489"/>
      <c r="P134" s="2095">
        <f>ROUND(SUM(P124:P131),1)</f>
        <v>2432.1999999999998</v>
      </c>
      <c r="Q134" s="1489"/>
      <c r="R134" s="1489">
        <f>ROUND(SUM(R124:R131),1)</f>
        <v>963.2</v>
      </c>
      <c r="S134" s="1489"/>
      <c r="T134" s="1489">
        <f>ROUND(SUM(T124:T131),1)</f>
        <v>2464.9</v>
      </c>
      <c r="U134" s="1489"/>
      <c r="V134" s="1489">
        <f>ROUND(SUM(V124:V131),1)</f>
        <v>3530.1</v>
      </c>
      <c r="W134" s="1489"/>
      <c r="X134" s="1489">
        <f>ROUND(SUM(X124:X131),1)</f>
        <v>1226.5</v>
      </c>
      <c r="Y134" s="2055"/>
      <c r="Z134" s="1489">
        <f>ROUND(SUM(Z124:Z131),1)</f>
        <v>0</v>
      </c>
      <c r="AA134" s="2098"/>
      <c r="AB134" s="2094"/>
      <c r="AC134" s="2095">
        <f>ROUND(SUM(AC124:AC131),1)</f>
        <v>24556.2</v>
      </c>
      <c r="AD134" s="2095"/>
      <c r="AE134" s="3278"/>
      <c r="AF134" s="2095">
        <f>ROUND(SUM(AF124:AF131),1)</f>
        <v>22176</v>
      </c>
      <c r="AG134" s="1472"/>
      <c r="AH134" s="2533"/>
      <c r="AI134" s="2097">
        <f>ROUND(SUM(+AC134-AF134),1)</f>
        <v>2380.1999999999998</v>
      </c>
      <c r="AJ134" s="1472"/>
      <c r="AK134" s="2560">
        <f>ROUND(SUM(+AI134/AF134),3)</f>
        <v>0.107</v>
      </c>
    </row>
    <row r="135" spans="1:38" ht="15" customHeight="1">
      <c r="A135" s="2503"/>
      <c r="B135" s="2089"/>
      <c r="C135" s="2067"/>
      <c r="D135" s="2050"/>
      <c r="E135" s="2051"/>
      <c r="F135" s="2050"/>
      <c r="G135" s="2051"/>
      <c r="H135" s="2050"/>
      <c r="I135" s="2051"/>
      <c r="J135" s="2096"/>
      <c r="K135" s="2051"/>
      <c r="L135" s="2050"/>
      <c r="M135" s="2051"/>
      <c r="N135" s="2050"/>
      <c r="O135" s="2051"/>
      <c r="P135" s="2096"/>
      <c r="Q135" s="2051"/>
      <c r="R135" s="2050"/>
      <c r="S135" s="2051"/>
      <c r="T135" s="2050"/>
      <c r="U135" s="2051"/>
      <c r="V135" s="2050"/>
      <c r="W135" s="2051"/>
      <c r="X135" s="2050"/>
      <c r="Y135" s="1491"/>
      <c r="Z135" s="1496"/>
      <c r="AA135" s="2058"/>
      <c r="AB135" s="2091"/>
      <c r="AC135" s="3279"/>
      <c r="AD135" s="2040"/>
      <c r="AE135" s="2042"/>
      <c r="AF135" s="2096"/>
      <c r="AG135" s="2052"/>
      <c r="AH135" s="2528"/>
      <c r="AI135" s="2561"/>
      <c r="AJ135" s="2562"/>
      <c r="AK135" s="1477"/>
    </row>
    <row r="136" spans="1:38" ht="15" customHeight="1">
      <c r="A136" s="2503"/>
      <c r="B136" s="2479" t="s">
        <v>166</v>
      </c>
      <c r="C136" s="2067"/>
      <c r="D136" s="2051"/>
      <c r="E136" s="2051"/>
      <c r="F136" s="2051"/>
      <c r="G136" s="2051"/>
      <c r="H136" s="2051"/>
      <c r="I136" s="2051"/>
      <c r="J136" s="2040"/>
      <c r="K136" s="2051"/>
      <c r="L136" s="2051"/>
      <c r="M136" s="2051"/>
      <c r="N136" s="2051"/>
      <c r="O136" s="2051"/>
      <c r="P136" s="2040"/>
      <c r="Q136" s="2051"/>
      <c r="R136" s="2051"/>
      <c r="S136" s="2051"/>
      <c r="T136" s="2051"/>
      <c r="U136" s="2051"/>
      <c r="V136" s="2051"/>
      <c r="W136" s="2051"/>
      <c r="X136" s="2051"/>
      <c r="Y136" s="1491"/>
      <c r="Z136" s="1491"/>
      <c r="AA136" s="1491"/>
      <c r="AB136" s="2091"/>
      <c r="AC136" s="2045"/>
      <c r="AD136" s="2040"/>
      <c r="AE136" s="2042"/>
      <c r="AF136" s="2040"/>
      <c r="AG136" s="2051"/>
      <c r="AH136" s="2528"/>
      <c r="AI136" s="2561"/>
      <c r="AJ136" s="2562"/>
      <c r="AK136" s="1477"/>
    </row>
    <row r="137" spans="1:38" ht="15" customHeight="1">
      <c r="A137" s="2503"/>
      <c r="B137" s="2479" t="s">
        <v>167</v>
      </c>
      <c r="C137" s="2067"/>
      <c r="D137" s="2051"/>
      <c r="E137" s="2051"/>
      <c r="F137" s="2051"/>
      <c r="G137" s="2051"/>
      <c r="H137" s="2051"/>
      <c r="I137" s="2051"/>
      <c r="J137" s="2040"/>
      <c r="K137" s="2051"/>
      <c r="L137" s="2051"/>
      <c r="M137" s="2051"/>
      <c r="N137" s="2051"/>
      <c r="O137" s="2051"/>
      <c r="P137" s="2040"/>
      <c r="Q137" s="2051"/>
      <c r="R137" s="2051"/>
      <c r="S137" s="2051"/>
      <c r="T137" s="2051"/>
      <c r="U137" s="2051"/>
      <c r="V137" s="2051"/>
      <c r="W137" s="2051"/>
      <c r="X137" s="2051"/>
      <c r="Y137" s="1491"/>
      <c r="Z137" s="1491"/>
      <c r="AA137" s="1491"/>
      <c r="AB137" s="2091"/>
      <c r="AC137" s="2045"/>
      <c r="AD137" s="2040"/>
      <c r="AE137" s="2042"/>
      <c r="AF137" s="2040"/>
      <c r="AG137" s="2051"/>
      <c r="AH137" s="2528"/>
      <c r="AI137" s="2561"/>
      <c r="AJ137" s="2562"/>
      <c r="AK137" s="1477"/>
    </row>
    <row r="138" spans="1:38" ht="15" customHeight="1">
      <c r="A138" s="2503"/>
      <c r="B138" s="2479" t="s">
        <v>168</v>
      </c>
      <c r="C138" s="2067"/>
      <c r="D138" s="1489">
        <f>ROUND(SUM(D120+D134),1)</f>
        <v>4763</v>
      </c>
      <c r="E138" s="1489"/>
      <c r="F138" s="1489">
        <f>ROUND(SUM(F120+F134),1)</f>
        <v>-6747.1</v>
      </c>
      <c r="G138" s="1489"/>
      <c r="H138" s="1489">
        <f>ROUND(SUM(H120+H134),1)</f>
        <v>1371.4</v>
      </c>
      <c r="I138" s="1489"/>
      <c r="J138" s="2095">
        <f>ROUND(SUM(J120+J134),1)</f>
        <v>21.3</v>
      </c>
      <c r="K138" s="1489"/>
      <c r="L138" s="1489">
        <f>ROUND(SUM(L120+L134),1)</f>
        <v>272.10000000000002</v>
      </c>
      <c r="M138" s="1489"/>
      <c r="N138" s="1489">
        <f>ROUND(SUM(N120+N134),1)</f>
        <v>2163.4</v>
      </c>
      <c r="O138" s="1489"/>
      <c r="P138" s="2095">
        <f>ROUND(SUM(P120+P134),1)</f>
        <v>-234.6</v>
      </c>
      <c r="Q138" s="1489"/>
      <c r="R138" s="1489">
        <f>ROUND(SUM(R120+R134),1)</f>
        <v>-2243.8000000000002</v>
      </c>
      <c r="S138" s="2051"/>
      <c r="T138" s="1489">
        <f>ROUND(SUM(T120+T134),1)</f>
        <v>1608.3</v>
      </c>
      <c r="U138" s="2051"/>
      <c r="V138" s="1489">
        <f>ROUND(SUM(V120+V134),1)</f>
        <v>2638.3</v>
      </c>
      <c r="W138" s="2051"/>
      <c r="X138" s="1489">
        <f>ROUND(SUM(X120+X134),1)</f>
        <v>145.30000000000001</v>
      </c>
      <c r="Y138" s="1491"/>
      <c r="Z138" s="2097">
        <f>ROUND(SUM(Z120+Z134),1)</f>
        <v>0</v>
      </c>
      <c r="AA138" s="2058"/>
      <c r="AB138" s="2091"/>
      <c r="AC138" s="2095">
        <f>ROUND(SUM(AC120+AC134),1)</f>
        <v>3757.6</v>
      </c>
      <c r="AD138" s="2095"/>
      <c r="AE138" s="3278"/>
      <c r="AF138" s="2095">
        <f>ROUND(SUM(AF120+AF134),1)</f>
        <v>236.3</v>
      </c>
      <c r="AG138" s="1472"/>
      <c r="AH138" s="2533"/>
      <c r="AI138" s="2097">
        <f>ROUND(SUM(+AC138-AF138),1)</f>
        <v>3521.3</v>
      </c>
      <c r="AJ138" s="2563"/>
      <c r="AK138" s="2564">
        <f>ROUND(SUM(AI138/AF138),3)</f>
        <v>14.901999999999999</v>
      </c>
    </row>
    <row r="139" spans="1:38" ht="9" customHeight="1">
      <c r="A139" s="2503"/>
      <c r="B139" s="2089"/>
      <c r="C139" s="2067"/>
      <c r="D139" s="1496"/>
      <c r="E139" s="2089"/>
      <c r="F139" s="2501"/>
      <c r="G139" s="2089"/>
      <c r="H139" s="2500"/>
      <c r="I139" s="2089"/>
      <c r="J139" s="2096"/>
      <c r="K139" s="2089"/>
      <c r="L139" s="2500"/>
      <c r="M139" s="2089"/>
      <c r="N139" s="2500"/>
      <c r="O139" s="2089"/>
      <c r="P139" s="3174"/>
      <c r="Q139" s="2089"/>
      <c r="R139" s="2500"/>
      <c r="S139" s="2089"/>
      <c r="T139" s="2500"/>
      <c r="U139" s="2089"/>
      <c r="V139" s="2500"/>
      <c r="W139" s="2089"/>
      <c r="X139" s="2500"/>
      <c r="Y139" s="2089"/>
      <c r="Z139" s="2066"/>
      <c r="AA139" s="2066"/>
      <c r="AB139" s="2091"/>
      <c r="AC139" s="3279"/>
      <c r="AD139" s="2040"/>
      <c r="AE139" s="2042"/>
      <c r="AF139" s="2096"/>
      <c r="AG139" s="2052"/>
      <c r="AH139" s="2528"/>
      <c r="AI139" s="2546"/>
      <c r="AJ139" s="2562"/>
      <c r="AK139" s="2565"/>
    </row>
    <row r="140" spans="1:38" ht="15" customHeight="1" thickBot="1">
      <c r="A140" s="2503"/>
      <c r="B140" s="2514" t="s">
        <v>142</v>
      </c>
      <c r="C140" s="2235"/>
      <c r="D140" s="2566">
        <f>ROUND(SUM(D12+D138),1)</f>
        <v>11968.7</v>
      </c>
      <c r="E140" s="2567"/>
      <c r="F140" s="2566">
        <f>ROUND(SUM(F12+F138),1)</f>
        <v>5221.6000000000004</v>
      </c>
      <c r="G140" s="2509"/>
      <c r="H140" s="2566">
        <f>ROUND(SUM(H12+H138),1)</f>
        <v>6593</v>
      </c>
      <c r="I140" s="2509"/>
      <c r="J140" s="2566">
        <f>ROUND(SUM(J12+J138),1)</f>
        <v>6614.3</v>
      </c>
      <c r="K140" s="2509"/>
      <c r="L140" s="2566">
        <f>ROUND(SUM(L12+L138),1)</f>
        <v>6886.4</v>
      </c>
      <c r="M140" s="2509"/>
      <c r="N140" s="2566">
        <f>ROUND(SUM(N12+N138),1)</f>
        <v>9049.7999999999993</v>
      </c>
      <c r="O140" s="2509"/>
      <c r="P140" s="2566">
        <f>ROUND(SUM(P12+P138),1)</f>
        <v>8815.2000000000007</v>
      </c>
      <c r="Q140" s="2509"/>
      <c r="R140" s="2566">
        <f>ROUND(SUM(R12+R138),1)</f>
        <v>6571.4</v>
      </c>
      <c r="S140" s="2509"/>
      <c r="T140" s="2566">
        <f>ROUND(SUM(T12+T138),1)</f>
        <v>8179.7</v>
      </c>
      <c r="U140" s="2509"/>
      <c r="V140" s="2566">
        <f>ROUND(SUM(V12+V138),1)</f>
        <v>10818</v>
      </c>
      <c r="W140" s="2509"/>
      <c r="X140" s="2566">
        <f>ROUND(SUM(X12+X138),1)</f>
        <v>10963.3</v>
      </c>
      <c r="Y140" s="2509"/>
      <c r="Z140" s="2566">
        <f>ROUND(SUM(Z12+Z138),1)</f>
        <v>0</v>
      </c>
      <c r="AA140" s="2567"/>
      <c r="AB140" s="2568"/>
      <c r="AC140" s="2239">
        <f>ROUND(SUM(AC12+AC138),1)</f>
        <v>10963.3</v>
      </c>
      <c r="AD140" s="2095"/>
      <c r="AE140" s="3278"/>
      <c r="AF140" s="2566">
        <f>ROUND(SUM(AF12+AF138),1)</f>
        <v>9681.2999999999993</v>
      </c>
      <c r="AG140" s="2569"/>
      <c r="AH140" s="2510"/>
      <c r="AI140" s="2570">
        <f>ROUND(SUM(+AC140-AF140),1)</f>
        <v>1282</v>
      </c>
      <c r="AJ140" s="2563"/>
      <c r="AK140" s="2571">
        <f>ROUND(SUM(+AI140/AF140),3)</f>
        <v>0.13200000000000001</v>
      </c>
    </row>
    <row r="141" spans="1:38" ht="15" customHeight="1" thickTop="1">
      <c r="A141" s="2503"/>
      <c r="B141" s="2089"/>
      <c r="C141" s="2067"/>
      <c r="D141" s="2066"/>
      <c r="E141" s="2572"/>
      <c r="F141" s="2573"/>
      <c r="G141" s="2572"/>
      <c r="H141" s="2066"/>
      <c r="I141" s="2572"/>
      <c r="J141" s="2021"/>
      <c r="K141" s="2572"/>
      <c r="L141" s="2066"/>
      <c r="M141" s="2572"/>
      <c r="N141" s="2066"/>
      <c r="O141" s="2572"/>
      <c r="P141" s="2234"/>
      <c r="Q141" s="2572"/>
      <c r="R141" s="2066"/>
      <c r="S141" s="2572"/>
      <c r="T141" s="2066"/>
      <c r="U141" s="2572"/>
      <c r="V141" s="2066"/>
      <c r="W141" s="2572"/>
      <c r="X141" s="2066"/>
      <c r="Y141" s="2572"/>
      <c r="Z141" s="2066"/>
      <c r="AA141" s="2066"/>
      <c r="AB141" s="2572"/>
      <c r="AC141" s="2021"/>
      <c r="AD141" s="2021"/>
      <c r="AE141" s="2021"/>
      <c r="AF141" s="2021"/>
      <c r="AG141" s="2052"/>
      <c r="AH141" s="2574"/>
      <c r="AI141" s="2561"/>
      <c r="AJ141" s="2562"/>
      <c r="AK141" s="1477"/>
    </row>
    <row r="142" spans="1:38" ht="15" customHeight="1">
      <c r="A142" s="2503"/>
      <c r="B142" s="2089" t="s">
        <v>15</v>
      </c>
      <c r="C142" s="2067"/>
      <c r="D142" s="2066"/>
      <c r="E142" s="2089"/>
      <c r="F142" s="2573"/>
      <c r="G142" s="2089"/>
      <c r="H142" s="2066"/>
      <c r="I142" s="2089"/>
      <c r="J142" s="2021"/>
      <c r="K142" s="2089"/>
      <c r="L142" s="2066"/>
      <c r="M142" s="2089"/>
      <c r="N142" s="2066"/>
      <c r="O142" s="2089"/>
      <c r="P142" s="2234"/>
      <c r="Q142" s="2089"/>
      <c r="R142" s="2066"/>
      <c r="S142" s="2089"/>
      <c r="T142" s="2066"/>
      <c r="U142" s="2089"/>
      <c r="V142" s="2066"/>
      <c r="W142" s="2089"/>
      <c r="X142" s="2066"/>
      <c r="Y142" s="2089"/>
      <c r="Z142" s="2066"/>
      <c r="AA142" s="2066"/>
      <c r="AB142" s="2089"/>
      <c r="AC142" s="2021"/>
      <c r="AD142" s="2040"/>
      <c r="AE142" s="2040"/>
      <c r="AF142" s="2021"/>
      <c r="AG142" s="2052"/>
      <c r="AH142" s="2575"/>
      <c r="AI142" s="2561"/>
      <c r="AJ142" s="2562"/>
      <c r="AK142" s="1477"/>
    </row>
    <row r="143" spans="1:38" ht="15" customHeight="1">
      <c r="A143" s="2503"/>
      <c r="B143" s="2089"/>
      <c r="C143" s="2067"/>
      <c r="D143" s="2066"/>
      <c r="E143" s="2089"/>
      <c r="F143" s="2573"/>
      <c r="G143" s="2089"/>
      <c r="H143" s="2066"/>
      <c r="I143" s="2089"/>
      <c r="J143" s="2021"/>
      <c r="K143" s="2089"/>
      <c r="L143" s="2066"/>
      <c r="M143" s="2089"/>
      <c r="N143" s="2066"/>
      <c r="O143" s="2089"/>
      <c r="P143" s="2234"/>
      <c r="Q143" s="2089"/>
      <c r="R143" s="2066"/>
      <c r="S143" s="2089"/>
      <c r="T143" s="2066"/>
      <c r="U143" s="2089"/>
      <c r="V143" s="2066"/>
      <c r="W143" s="2089"/>
      <c r="X143" s="2066"/>
      <c r="Y143" s="2089"/>
      <c r="Z143" s="2066"/>
      <c r="AA143" s="2066"/>
      <c r="AB143" s="2089"/>
      <c r="AC143" s="22"/>
      <c r="AD143" s="2040"/>
      <c r="AE143" s="2040"/>
      <c r="AF143" s="2021"/>
      <c r="AG143" s="2052"/>
      <c r="AH143" s="2575"/>
      <c r="AI143" s="2561"/>
      <c r="AJ143" s="2562"/>
      <c r="AK143" s="1477"/>
    </row>
    <row r="144" spans="1:38" ht="15" customHeight="1">
      <c r="A144" s="2474"/>
      <c r="B144" s="2576"/>
      <c r="C144" s="2577"/>
      <c r="D144" s="2577"/>
      <c r="E144" s="2578"/>
      <c r="F144" s="2578"/>
      <c r="G144" s="2578"/>
      <c r="H144" s="2067"/>
      <c r="I144" s="2067"/>
      <c r="J144" s="2040"/>
      <c r="K144" s="2067"/>
      <c r="L144" s="2067"/>
      <c r="M144" s="2067"/>
      <c r="N144" s="2067"/>
      <c r="O144" s="2067"/>
      <c r="P144" s="2235"/>
      <c r="Q144" s="2067"/>
      <c r="R144" s="2067"/>
      <c r="S144" s="2067"/>
      <c r="T144" s="2067"/>
      <c r="U144" s="2067"/>
      <c r="V144" s="2067"/>
      <c r="W144" s="2067"/>
      <c r="X144" s="2067"/>
      <c r="Y144" s="2067"/>
      <c r="Z144" s="2067"/>
      <c r="AA144" s="2067"/>
      <c r="AB144" s="2067"/>
      <c r="AC144" s="2040"/>
      <c r="AD144" s="2040"/>
      <c r="AE144" s="2040"/>
      <c r="AF144" s="2040"/>
      <c r="AG144" s="2051"/>
      <c r="AH144" s="2579"/>
      <c r="AI144" s="1471"/>
      <c r="AJ144" s="2529"/>
      <c r="AK144" s="1459"/>
    </row>
    <row r="145" spans="1:37" ht="14.1" customHeight="1">
      <c r="A145" s="2474"/>
      <c r="B145" s="2576"/>
      <c r="C145" s="2577"/>
      <c r="D145" s="2577"/>
      <c r="E145" s="2578"/>
      <c r="F145" s="2578"/>
      <c r="G145" s="2578"/>
      <c r="H145" s="2067"/>
      <c r="I145" s="2067"/>
      <c r="J145" s="2040"/>
      <c r="K145" s="2067"/>
      <c r="L145" s="2067"/>
      <c r="M145" s="2067"/>
      <c r="N145" s="2067"/>
      <c r="O145" s="2067"/>
      <c r="P145" s="2235"/>
      <c r="Q145" s="2067"/>
      <c r="R145" s="2067"/>
      <c r="S145" s="2067"/>
      <c r="T145" s="2067"/>
      <c r="U145" s="2067"/>
      <c r="V145" s="2067"/>
      <c r="W145" s="2067"/>
      <c r="X145" s="2067"/>
      <c r="Y145" s="2067"/>
      <c r="Z145" s="2067"/>
      <c r="AA145" s="2067"/>
      <c r="AB145" s="2067"/>
      <c r="AC145" s="2040"/>
      <c r="AD145" s="2040"/>
      <c r="AE145" s="2040"/>
      <c r="AF145" s="2040"/>
      <c r="AG145" s="2051"/>
      <c r="AH145" s="2579"/>
      <c r="AI145" s="1471"/>
      <c r="AJ145" s="2529"/>
      <c r="AK145" s="1459"/>
    </row>
    <row r="146" spans="1:37" ht="15" customHeight="1">
      <c r="A146" s="2474"/>
      <c r="B146" s="2576"/>
      <c r="C146" s="2577"/>
      <c r="D146" s="2577"/>
      <c r="E146" s="2578"/>
      <c r="F146" s="2578"/>
      <c r="G146" s="2578"/>
      <c r="H146" s="2067"/>
      <c r="I146" s="2067"/>
      <c r="J146" s="2040"/>
      <c r="K146" s="2067"/>
      <c r="L146" s="2067"/>
      <c r="M146" s="2067"/>
      <c r="N146" s="2067"/>
      <c r="O146" s="2067"/>
      <c r="P146" s="2235"/>
      <c r="Q146" s="2067"/>
      <c r="R146" s="2067"/>
      <c r="S146" s="2067"/>
      <c r="T146" s="2067"/>
      <c r="U146" s="2067"/>
      <c r="V146" s="2067"/>
      <c r="W146" s="2067"/>
      <c r="X146" s="2067"/>
      <c r="Y146" s="2067"/>
      <c r="Z146" s="2067"/>
      <c r="AA146" s="2067"/>
      <c r="AB146" s="2067"/>
      <c r="AC146" s="2040"/>
      <c r="AD146" s="2040"/>
      <c r="AE146" s="2040"/>
      <c r="AF146" s="2040"/>
      <c r="AG146" s="2051"/>
      <c r="AH146" s="2579"/>
      <c r="AI146" s="1471"/>
      <c r="AJ146" s="2529"/>
      <c r="AK146" s="1459"/>
    </row>
    <row r="147" spans="1:37" ht="15.75" customHeight="1">
      <c r="A147" s="2474"/>
      <c r="B147" s="2576"/>
      <c r="C147" s="2577"/>
      <c r="D147" s="2577"/>
      <c r="E147" s="2578"/>
      <c r="F147" s="2578"/>
      <c r="G147" s="2578"/>
      <c r="H147" s="2067"/>
      <c r="I147" s="2067"/>
      <c r="J147" s="2040"/>
      <c r="K147" s="2067"/>
      <c r="L147" s="2067"/>
      <c r="M147" s="2067"/>
      <c r="N147" s="2067"/>
      <c r="O147" s="2067"/>
      <c r="P147" s="2235"/>
      <c r="Q147" s="2067"/>
      <c r="R147" s="2067"/>
      <c r="S147" s="2067"/>
      <c r="T147" s="2067"/>
      <c r="U147" s="2067"/>
      <c r="V147" s="2067"/>
      <c r="W147" s="2067"/>
      <c r="X147" s="2067"/>
      <c r="Y147" s="2067"/>
      <c r="Z147" s="2067"/>
      <c r="AA147" s="2067"/>
      <c r="AB147" s="2067"/>
      <c r="AC147" s="2040"/>
      <c r="AD147" s="2040"/>
      <c r="AE147" s="2040"/>
      <c r="AF147" s="2040"/>
      <c r="AG147" s="2051"/>
      <c r="AH147" s="2579"/>
      <c r="AI147" s="1471"/>
      <c r="AJ147" s="2529"/>
      <c r="AK147" s="1459"/>
    </row>
    <row r="148" spans="1:37" ht="14.25" customHeight="1">
      <c r="A148" s="2474"/>
      <c r="B148" s="2576"/>
      <c r="C148" s="2577"/>
      <c r="D148" s="2577"/>
      <c r="E148" s="2578"/>
      <c r="F148" s="2578"/>
      <c r="G148" s="2578"/>
      <c r="H148" s="2067"/>
      <c r="I148" s="2067"/>
      <c r="J148" s="2040"/>
      <c r="K148" s="2067"/>
      <c r="L148" s="2067"/>
      <c r="M148" s="2067"/>
      <c r="N148" s="2067"/>
      <c r="O148" s="2067"/>
      <c r="P148" s="2235"/>
      <c r="Q148" s="2067"/>
      <c r="R148" s="2067"/>
      <c r="S148" s="2067"/>
      <c r="T148" s="2067"/>
      <c r="U148" s="2067"/>
      <c r="V148" s="2067"/>
      <c r="W148" s="2067"/>
      <c r="X148" s="2067"/>
      <c r="Y148" s="2067"/>
      <c r="Z148" s="2067"/>
      <c r="AA148" s="2067"/>
      <c r="AB148" s="2067"/>
      <c r="AC148" s="2040"/>
      <c r="AD148" s="2040"/>
      <c r="AE148" s="2040"/>
      <c r="AF148" s="2040"/>
      <c r="AG148" s="2051"/>
      <c r="AH148" s="2579"/>
      <c r="AI148" s="1471"/>
      <c r="AJ148" s="2529"/>
      <c r="AK148" s="1459"/>
    </row>
    <row r="149" spans="1:37" ht="14.25" customHeight="1">
      <c r="A149" s="2474"/>
      <c r="B149" s="2576"/>
      <c r="C149" s="2577"/>
      <c r="D149" s="2577"/>
      <c r="E149" s="2578"/>
      <c r="F149" s="2578"/>
      <c r="G149" s="2578"/>
      <c r="H149" s="2067"/>
      <c r="I149" s="2067"/>
      <c r="J149" s="2040"/>
      <c r="K149" s="2067"/>
      <c r="L149" s="2067"/>
      <c r="M149" s="2067"/>
      <c r="N149" s="2067"/>
      <c r="O149" s="2067"/>
      <c r="P149" s="2235"/>
      <c r="Q149" s="2067"/>
      <c r="R149" s="2067"/>
      <c r="S149" s="2067"/>
      <c r="T149" s="2067"/>
      <c r="U149" s="2067"/>
      <c r="V149" s="2067"/>
      <c r="W149" s="2067"/>
      <c r="X149" s="2067"/>
      <c r="Y149" s="2067"/>
      <c r="Z149" s="2067"/>
      <c r="AA149" s="2067"/>
      <c r="AB149" s="2067"/>
      <c r="AC149" s="2040"/>
      <c r="AD149" s="2040"/>
      <c r="AE149" s="2040"/>
      <c r="AF149" s="2040"/>
      <c r="AG149" s="2051"/>
      <c r="AH149" s="2579"/>
      <c r="AI149" s="1471"/>
      <c r="AJ149" s="2529"/>
      <c r="AK149" s="1459"/>
    </row>
    <row r="150" spans="1:37" ht="14.25" customHeight="1">
      <c r="A150" s="2474"/>
      <c r="B150" s="2576"/>
      <c r="C150" s="2577"/>
      <c r="D150" s="2577"/>
      <c r="E150" s="2578"/>
      <c r="F150" s="2578"/>
      <c r="G150" s="2578"/>
      <c r="H150" s="2067"/>
      <c r="I150" s="2067"/>
      <c r="J150" s="2040"/>
      <c r="K150" s="2067"/>
      <c r="L150" s="2067"/>
      <c r="M150" s="2067"/>
      <c r="N150" s="2067"/>
      <c r="O150" s="2067"/>
      <c r="P150" s="2235"/>
      <c r="Q150" s="2067"/>
      <c r="R150" s="2067"/>
      <c r="S150" s="2067"/>
      <c r="T150" s="2067"/>
      <c r="U150" s="2067"/>
      <c r="V150" s="2067"/>
      <c r="W150" s="2067"/>
      <c r="X150" s="2067"/>
      <c r="Y150" s="2067"/>
      <c r="Z150" s="2067"/>
      <c r="AA150" s="2067"/>
      <c r="AB150" s="2067"/>
      <c r="AC150" s="2040"/>
      <c r="AD150" s="2040"/>
      <c r="AE150" s="2040"/>
      <c r="AF150" s="2040"/>
      <c r="AG150" s="2051"/>
      <c r="AH150" s="2579"/>
      <c r="AI150" s="1471"/>
      <c r="AJ150" s="2529"/>
      <c r="AK150" s="1459"/>
    </row>
    <row r="151" spans="1:37" ht="14.25" customHeight="1">
      <c r="A151" s="2474"/>
      <c r="B151" s="2576"/>
      <c r="C151" s="2577"/>
      <c r="D151" s="2577"/>
      <c r="E151" s="2578"/>
      <c r="F151" s="2578"/>
      <c r="G151" s="2578"/>
      <c r="H151" s="2067"/>
      <c r="I151" s="2067"/>
      <c r="J151" s="2040"/>
      <c r="K151" s="2067"/>
      <c r="L151" s="2067"/>
      <c r="M151" s="2067"/>
      <c r="N151" s="2067"/>
      <c r="O151" s="2067"/>
      <c r="P151" s="2235"/>
      <c r="Q151" s="2067"/>
      <c r="R151" s="2067"/>
      <c r="S151" s="2067"/>
      <c r="T151" s="2067"/>
      <c r="U151" s="2067"/>
      <c r="V151" s="2067"/>
      <c r="W151" s="2067"/>
      <c r="X151" s="2067"/>
      <c r="Y151" s="2067"/>
      <c r="Z151" s="2067"/>
      <c r="AA151" s="2067"/>
      <c r="AB151" s="2067"/>
      <c r="AC151" s="2040"/>
      <c r="AD151" s="2040"/>
      <c r="AE151" s="2040"/>
      <c r="AF151" s="2040"/>
      <c r="AG151" s="2051"/>
      <c r="AH151" s="2579"/>
      <c r="AI151" s="1471"/>
      <c r="AJ151" s="2529"/>
      <c r="AK151" s="1459"/>
    </row>
    <row r="152" spans="1:37" ht="14.25" customHeight="1">
      <c r="A152" s="2474"/>
      <c r="B152" s="2576"/>
      <c r="C152" s="2577"/>
      <c r="D152" s="2577"/>
      <c r="E152" s="2578"/>
      <c r="F152" s="2578"/>
      <c r="G152" s="2578"/>
      <c r="H152" s="2067"/>
      <c r="I152" s="2067"/>
      <c r="J152" s="2040"/>
      <c r="K152" s="2067"/>
      <c r="L152" s="2067"/>
      <c r="M152" s="2067"/>
      <c r="N152" s="2067"/>
      <c r="O152" s="2067"/>
      <c r="P152" s="2235"/>
      <c r="Q152" s="2067"/>
      <c r="R152" s="2067"/>
      <c r="S152" s="2067"/>
      <c r="T152" s="2067"/>
      <c r="U152" s="2067"/>
      <c r="V152" s="2067"/>
      <c r="W152" s="2067"/>
      <c r="X152" s="2067"/>
      <c r="Y152" s="2067"/>
      <c r="Z152" s="2067"/>
      <c r="AA152" s="2067"/>
      <c r="AB152" s="2067"/>
      <c r="AC152" s="2040"/>
      <c r="AD152" s="2040"/>
      <c r="AE152" s="2040"/>
      <c r="AF152" s="2040"/>
      <c r="AG152" s="2051"/>
      <c r="AH152" s="2579"/>
      <c r="AI152" s="1471"/>
      <c r="AJ152" s="2529"/>
      <c r="AK152" s="1459"/>
    </row>
    <row r="153" spans="1:37" ht="14.25" customHeight="1">
      <c r="A153" s="2474"/>
      <c r="B153" s="2576"/>
      <c r="C153" s="2577"/>
      <c r="D153" s="2577"/>
      <c r="E153" s="2578"/>
      <c r="F153" s="2578"/>
      <c r="G153" s="2578"/>
      <c r="H153" s="2067"/>
      <c r="I153" s="2067"/>
      <c r="J153" s="2040"/>
      <c r="K153" s="2067"/>
      <c r="L153" s="2067"/>
      <c r="M153" s="2067"/>
      <c r="N153" s="2067"/>
      <c r="O153" s="2067"/>
      <c r="P153" s="2235"/>
      <c r="Q153" s="2067"/>
      <c r="R153" s="2067"/>
      <c r="S153" s="2067"/>
      <c r="T153" s="2067"/>
      <c r="U153" s="2067"/>
      <c r="V153" s="2067"/>
      <c r="W153" s="2067"/>
      <c r="X153" s="2067"/>
      <c r="Y153" s="2067"/>
      <c r="Z153" s="2067"/>
      <c r="AA153" s="2067"/>
      <c r="AB153" s="2067"/>
      <c r="AC153" s="2040"/>
      <c r="AD153" s="2040"/>
      <c r="AE153" s="2040"/>
      <c r="AF153" s="2040"/>
      <c r="AG153" s="2051"/>
      <c r="AH153" s="2579"/>
      <c r="AI153" s="1471"/>
      <c r="AJ153" s="2529"/>
      <c r="AK153" s="1459"/>
    </row>
    <row r="154" spans="1:37" ht="14.25" customHeight="1">
      <c r="A154" s="2474"/>
      <c r="B154" s="2576"/>
      <c r="C154" s="2577"/>
      <c r="D154" s="2577"/>
      <c r="E154" s="2578"/>
      <c r="F154" s="2578"/>
      <c r="G154" s="2578"/>
      <c r="H154" s="2067"/>
      <c r="I154" s="2067"/>
      <c r="J154" s="2040"/>
      <c r="K154" s="2067"/>
      <c r="L154" s="2067"/>
      <c r="M154" s="2067"/>
      <c r="N154" s="2067"/>
      <c r="O154" s="2067"/>
      <c r="P154" s="2235"/>
      <c r="Q154" s="2067"/>
      <c r="R154" s="2067"/>
      <c r="S154" s="2067"/>
      <c r="T154" s="2067"/>
      <c r="U154" s="2067"/>
      <c r="V154" s="2067"/>
      <c r="W154" s="2067"/>
      <c r="X154" s="2067"/>
      <c r="Y154" s="2067"/>
      <c r="Z154" s="2067"/>
      <c r="AA154" s="2067"/>
      <c r="AB154" s="2067"/>
      <c r="AC154" s="2040"/>
      <c r="AD154" s="2040"/>
      <c r="AE154" s="2040"/>
      <c r="AF154" s="2040"/>
      <c r="AG154" s="2051"/>
      <c r="AH154" s="2579"/>
      <c r="AI154" s="1471"/>
      <c r="AJ154" s="2529"/>
      <c r="AK154" s="1459"/>
    </row>
    <row r="155" spans="1:37" ht="14.25" customHeight="1">
      <c r="A155" s="2474"/>
      <c r="B155" s="2576"/>
      <c r="C155" s="2577"/>
      <c r="D155" s="2577"/>
      <c r="E155" s="2578"/>
      <c r="F155" s="2578"/>
      <c r="G155" s="2578"/>
      <c r="H155" s="2067"/>
      <c r="I155" s="2067"/>
      <c r="J155" s="2040"/>
      <c r="K155" s="2067"/>
      <c r="L155" s="2067"/>
      <c r="M155" s="2067"/>
      <c r="N155" s="2067"/>
      <c r="O155" s="2067"/>
      <c r="P155" s="2235"/>
      <c r="Q155" s="2067"/>
      <c r="R155" s="2067"/>
      <c r="S155" s="2067"/>
      <c r="T155" s="2067"/>
      <c r="U155" s="2067"/>
      <c r="V155" s="2067"/>
      <c r="W155" s="2067"/>
      <c r="X155" s="2067"/>
      <c r="Y155" s="2067"/>
      <c r="Z155" s="2067"/>
      <c r="AA155" s="2067"/>
      <c r="AB155" s="2067"/>
      <c r="AC155" s="2235"/>
      <c r="AD155" s="2235"/>
      <c r="AE155" s="2235"/>
      <c r="AF155" s="2235"/>
      <c r="AG155" s="2067"/>
      <c r="AH155" s="2580"/>
      <c r="AI155" s="1461"/>
      <c r="AJ155" s="2581"/>
      <c r="AK155" s="1459"/>
    </row>
    <row r="156" spans="1:37" ht="14.25" customHeight="1">
      <c r="A156" s="2474"/>
      <c r="B156" s="2576"/>
      <c r="C156" s="2577"/>
      <c r="D156" s="2577"/>
      <c r="E156" s="2578"/>
      <c r="F156" s="2578"/>
      <c r="G156" s="2578"/>
      <c r="H156" s="2067"/>
      <c r="I156" s="2067"/>
      <c r="J156" s="2040"/>
      <c r="K156" s="2067"/>
      <c r="L156" s="2067"/>
      <c r="M156" s="2067"/>
      <c r="N156" s="2067"/>
      <c r="O156" s="2067"/>
      <c r="P156" s="2235"/>
      <c r="Q156" s="2067"/>
      <c r="R156" s="2067"/>
      <c r="S156" s="2067"/>
      <c r="T156" s="2067"/>
      <c r="U156" s="2067"/>
      <c r="V156" s="2067"/>
      <c r="W156" s="2067"/>
      <c r="X156" s="2067"/>
      <c r="Y156" s="2067"/>
      <c r="Z156" s="2067"/>
      <c r="AA156" s="2067"/>
      <c r="AB156" s="2067"/>
      <c r="AC156" s="2235"/>
      <c r="AD156" s="2235"/>
      <c r="AE156" s="2235"/>
      <c r="AF156" s="2235"/>
      <c r="AG156" s="2067"/>
      <c r="AH156" s="2580"/>
      <c r="AI156" s="1461"/>
      <c r="AJ156" s="2581"/>
      <c r="AK156" s="1459"/>
    </row>
    <row r="157" spans="1:37" ht="14.25" customHeight="1">
      <c r="A157" s="2474"/>
      <c r="B157" s="2576"/>
      <c r="C157" s="2577"/>
      <c r="D157" s="2577"/>
      <c r="E157" s="2578"/>
      <c r="F157" s="2578"/>
      <c r="G157" s="2578"/>
      <c r="H157" s="2067"/>
      <c r="I157" s="2067"/>
      <c r="J157" s="2040"/>
      <c r="K157" s="2067"/>
      <c r="L157" s="2067"/>
      <c r="M157" s="2067"/>
      <c r="N157" s="2067"/>
      <c r="O157" s="2067"/>
      <c r="P157" s="2235"/>
      <c r="Q157" s="2067"/>
      <c r="R157" s="2067"/>
      <c r="S157" s="2067"/>
      <c r="T157" s="2067"/>
      <c r="U157" s="2067"/>
      <c r="V157" s="2067"/>
      <c r="W157" s="2067"/>
      <c r="X157" s="2067"/>
      <c r="Y157" s="2067"/>
      <c r="Z157" s="2067"/>
      <c r="AA157" s="2067"/>
      <c r="AB157" s="2067"/>
      <c r="AC157" s="2235"/>
      <c r="AD157" s="2235"/>
      <c r="AE157" s="2235"/>
      <c r="AF157" s="2235"/>
      <c r="AG157" s="2067"/>
      <c r="AH157" s="2580"/>
      <c r="AI157" s="1461"/>
      <c r="AJ157" s="2581"/>
      <c r="AK157" s="1459"/>
    </row>
    <row r="158" spans="1:37" ht="14.25" customHeight="1">
      <c r="A158" s="2474"/>
      <c r="B158" s="2576"/>
      <c r="C158" s="2577"/>
      <c r="D158" s="2577"/>
      <c r="E158" s="2578"/>
      <c r="F158" s="2578"/>
      <c r="G158" s="2578"/>
      <c r="H158" s="2067"/>
      <c r="I158" s="2067"/>
      <c r="J158" s="2040"/>
      <c r="K158" s="2067"/>
      <c r="L158" s="2067"/>
      <c r="M158" s="2067"/>
      <c r="N158" s="2067"/>
      <c r="O158" s="2067"/>
      <c r="P158" s="2235"/>
      <c r="Q158" s="2067"/>
      <c r="R158" s="2067"/>
      <c r="S158" s="2067"/>
      <c r="T158" s="2067"/>
      <c r="U158" s="2067"/>
      <c r="V158" s="2067"/>
      <c r="W158" s="2067"/>
      <c r="X158" s="2067"/>
      <c r="Y158" s="2067"/>
      <c r="Z158" s="2067"/>
      <c r="AA158" s="2067"/>
      <c r="AB158" s="2067"/>
      <c r="AC158" s="2235"/>
      <c r="AD158" s="2235"/>
      <c r="AE158" s="2235"/>
      <c r="AF158" s="2235"/>
      <c r="AG158" s="2067"/>
      <c r="AH158" s="2580"/>
      <c r="AI158" s="1461"/>
      <c r="AJ158" s="2581"/>
      <c r="AK158" s="1459"/>
    </row>
    <row r="159" spans="1:37" ht="14.25" customHeight="1">
      <c r="A159" s="2474"/>
      <c r="B159" s="2576"/>
      <c r="C159" s="2577"/>
      <c r="D159" s="2577"/>
      <c r="E159" s="2578"/>
      <c r="F159" s="2578"/>
      <c r="G159" s="2578"/>
      <c r="H159" s="2067"/>
      <c r="I159" s="2067"/>
      <c r="J159" s="2040"/>
      <c r="K159" s="2067"/>
      <c r="L159" s="2067"/>
      <c r="M159" s="2067"/>
      <c r="N159" s="2067"/>
      <c r="O159" s="2067"/>
      <c r="P159" s="2235"/>
      <c r="Q159" s="2067"/>
      <c r="R159" s="2067"/>
      <c r="S159" s="2067"/>
      <c r="T159" s="2067"/>
      <c r="U159" s="2067"/>
      <c r="V159" s="2067"/>
      <c r="W159" s="2067"/>
      <c r="X159" s="2067"/>
      <c r="Y159" s="2067"/>
      <c r="Z159" s="2067"/>
      <c r="AA159" s="2067"/>
      <c r="AB159" s="2067"/>
      <c r="AC159" s="2235"/>
      <c r="AD159" s="2235"/>
      <c r="AE159" s="2235"/>
      <c r="AF159" s="2235"/>
      <c r="AG159" s="2067"/>
      <c r="AH159" s="2580"/>
      <c r="AI159" s="1461"/>
      <c r="AJ159" s="2581"/>
      <c r="AK159" s="1459"/>
    </row>
    <row r="160" spans="1:37" ht="14.25" customHeight="1">
      <c r="A160" s="2474"/>
      <c r="B160" s="2576"/>
      <c r="C160" s="2577"/>
      <c r="D160" s="2577"/>
      <c r="E160" s="2578"/>
      <c r="F160" s="2578"/>
      <c r="G160" s="2578"/>
      <c r="H160" s="2067"/>
      <c r="I160" s="2067"/>
      <c r="J160" s="2040"/>
      <c r="K160" s="2067"/>
      <c r="L160" s="2067"/>
      <c r="M160" s="2067"/>
      <c r="N160" s="2067"/>
      <c r="O160" s="2067"/>
      <c r="P160" s="2235"/>
      <c r="Q160" s="2067"/>
      <c r="R160" s="2067"/>
      <c r="S160" s="2067"/>
      <c r="T160" s="2067"/>
      <c r="U160" s="2067"/>
      <c r="V160" s="2067"/>
      <c r="W160" s="2067"/>
      <c r="X160" s="2067"/>
      <c r="Y160" s="2067"/>
      <c r="Z160" s="2067"/>
      <c r="AA160" s="2067"/>
      <c r="AB160" s="2067"/>
      <c r="AC160" s="2235"/>
      <c r="AD160" s="2235"/>
      <c r="AE160" s="2235"/>
      <c r="AF160" s="2235"/>
      <c r="AG160" s="2067"/>
      <c r="AH160" s="2580"/>
      <c r="AI160" s="1461"/>
      <c r="AJ160" s="2581"/>
      <c r="AK160" s="1459"/>
    </row>
    <row r="161" spans="1:38" ht="14.25" customHeight="1">
      <c r="A161" s="2474"/>
      <c r="B161" s="2576"/>
      <c r="C161" s="2577"/>
      <c r="D161" s="2577"/>
      <c r="E161" s="2578"/>
      <c r="F161" s="2578"/>
      <c r="G161" s="2578"/>
      <c r="H161" s="2067"/>
      <c r="I161" s="2067"/>
      <c r="J161" s="2040"/>
      <c r="K161" s="2067"/>
      <c r="L161" s="2067"/>
      <c r="M161" s="2067"/>
      <c r="N161" s="2067"/>
      <c r="O161" s="2067"/>
      <c r="P161" s="2235"/>
      <c r="Q161" s="2067"/>
      <c r="R161" s="2067"/>
      <c r="S161" s="2067"/>
      <c r="T161" s="2067"/>
      <c r="U161" s="2067"/>
      <c r="V161" s="2067"/>
      <c r="W161" s="2067"/>
      <c r="X161" s="2067"/>
      <c r="Y161" s="2067"/>
      <c r="Z161" s="2067"/>
      <c r="AA161" s="2067"/>
      <c r="AB161" s="2067"/>
      <c r="AC161" s="2235"/>
      <c r="AD161" s="2235"/>
      <c r="AE161" s="2235"/>
      <c r="AF161" s="2235"/>
      <c r="AG161" s="2067"/>
      <c r="AH161" s="2580"/>
      <c r="AI161" s="1461"/>
      <c r="AJ161" s="2581"/>
      <c r="AK161" s="1459"/>
    </row>
    <row r="162" spans="1:38" ht="14.25" customHeight="1">
      <c r="A162" s="2474"/>
      <c r="B162" s="2576"/>
      <c r="C162" s="2577"/>
      <c r="D162" s="2577"/>
      <c r="E162" s="2578"/>
      <c r="F162" s="2578"/>
      <c r="G162" s="2578"/>
      <c r="H162" s="2067"/>
      <c r="I162" s="2067"/>
      <c r="J162" s="2040"/>
      <c r="K162" s="2067"/>
      <c r="L162" s="2067"/>
      <c r="M162" s="2067"/>
      <c r="N162" s="2067"/>
      <c r="O162" s="2067"/>
      <c r="P162" s="2235"/>
      <c r="Q162" s="2067"/>
      <c r="R162" s="2067"/>
      <c r="S162" s="2067"/>
      <c r="T162" s="2067"/>
      <c r="U162" s="2067"/>
      <c r="V162" s="2067"/>
      <c r="W162" s="2067"/>
      <c r="X162" s="2067"/>
      <c r="Y162" s="2067"/>
      <c r="Z162" s="2067"/>
      <c r="AA162" s="2067"/>
      <c r="AB162" s="2067"/>
      <c r="AC162" s="2235"/>
      <c r="AD162" s="2235"/>
      <c r="AE162" s="2235"/>
      <c r="AF162" s="2235"/>
      <c r="AG162" s="2067"/>
      <c r="AH162" s="2580"/>
      <c r="AI162" s="1461"/>
      <c r="AJ162" s="2581"/>
      <c r="AK162" s="1459"/>
    </row>
    <row r="163" spans="1:38" ht="14.25" customHeight="1">
      <c r="A163" s="2474"/>
      <c r="B163" s="2576"/>
      <c r="C163" s="2577"/>
      <c r="D163" s="2577"/>
      <c r="E163" s="2578"/>
      <c r="F163" s="2578"/>
      <c r="G163" s="2578"/>
      <c r="H163" s="2067"/>
      <c r="I163" s="2067"/>
      <c r="J163" s="2040"/>
      <c r="K163" s="2067"/>
      <c r="L163" s="2067"/>
      <c r="M163" s="2067"/>
      <c r="N163" s="2067"/>
      <c r="O163" s="2067"/>
      <c r="P163" s="2235"/>
      <c r="Q163" s="2067"/>
      <c r="R163" s="2067"/>
      <c r="S163" s="2067"/>
      <c r="T163" s="2067"/>
      <c r="U163" s="2067"/>
      <c r="V163" s="2067"/>
      <c r="W163" s="2067"/>
      <c r="X163" s="2067"/>
      <c r="Y163" s="2067"/>
      <c r="Z163" s="2067"/>
      <c r="AA163" s="2067"/>
      <c r="AB163" s="2067"/>
      <c r="AC163" s="2235"/>
      <c r="AD163" s="2235"/>
      <c r="AE163" s="2235"/>
      <c r="AF163" s="2235"/>
      <c r="AG163" s="2067"/>
      <c r="AH163" s="2580"/>
      <c r="AI163" s="1461"/>
      <c r="AJ163" s="2581"/>
      <c r="AK163" s="1459"/>
    </row>
    <row r="164" spans="1:38" ht="20.100000000000001" customHeight="1">
      <c r="A164" s="2474"/>
      <c r="B164" s="2553"/>
      <c r="C164" s="2067"/>
      <c r="D164" s="2067"/>
      <c r="E164" s="2067"/>
      <c r="F164" s="2067"/>
      <c r="G164" s="2067"/>
      <c r="H164" s="2067"/>
      <c r="I164" s="2067"/>
      <c r="J164" s="2040"/>
      <c r="K164" s="2067"/>
      <c r="L164" s="2067"/>
      <c r="M164" s="2067"/>
      <c r="N164" s="2067"/>
      <c r="O164" s="2067"/>
      <c r="P164" s="2235"/>
      <c r="Q164" s="2067"/>
      <c r="R164" s="2067"/>
      <c r="S164" s="2067"/>
      <c r="T164" s="2067"/>
      <c r="U164" s="2067"/>
      <c r="V164" s="2067"/>
      <c r="W164" s="2067"/>
      <c r="X164" s="2067"/>
      <c r="Y164" s="2067"/>
      <c r="Z164" s="2067"/>
      <c r="AA164" s="2067"/>
      <c r="AB164" s="2067"/>
      <c r="AC164" s="2235"/>
      <c r="AD164" s="2235"/>
      <c r="AE164" s="2235"/>
      <c r="AF164" s="2235"/>
      <c r="AG164" s="2067"/>
      <c r="AH164" s="2580"/>
      <c r="AI164" s="1461"/>
      <c r="AJ164" s="2581"/>
      <c r="AK164" s="1459"/>
    </row>
    <row r="165" spans="1:38" ht="20.100000000000001" customHeight="1">
      <c r="A165" s="2474"/>
      <c r="B165" s="2553"/>
      <c r="C165" s="2067"/>
      <c r="D165" s="2067"/>
      <c r="E165" s="2067"/>
      <c r="F165" s="2067"/>
      <c r="G165" s="2067"/>
      <c r="H165" s="2067"/>
      <c r="I165" s="2067"/>
      <c r="J165" s="2040"/>
      <c r="K165" s="2067"/>
      <c r="L165" s="2067"/>
      <c r="M165" s="2067"/>
      <c r="N165" s="2067"/>
      <c r="O165" s="2067"/>
      <c r="P165" s="2235"/>
      <c r="Q165" s="2067"/>
      <c r="R165" s="2067"/>
      <c r="S165" s="2067"/>
      <c r="T165" s="2067"/>
      <c r="U165" s="2067"/>
      <c r="V165" s="2067"/>
      <c r="W165" s="2067"/>
      <c r="X165" s="2067"/>
      <c r="Y165" s="2067"/>
      <c r="Z165" s="2067"/>
      <c r="AA165" s="2067"/>
      <c r="AB165" s="2067"/>
      <c r="AC165" s="2235"/>
      <c r="AD165" s="2235"/>
      <c r="AE165" s="2235"/>
      <c r="AF165" s="2235"/>
      <c r="AG165" s="2067"/>
      <c r="AH165" s="2580"/>
      <c r="AI165" s="1461"/>
      <c r="AJ165" s="2581"/>
      <c r="AK165" s="1459"/>
      <c r="AL165" s="2067"/>
    </row>
    <row r="166" spans="1:38" ht="20.100000000000001" customHeight="1">
      <c r="A166" s="2474"/>
      <c r="B166" s="2553"/>
      <c r="C166" s="2067"/>
      <c r="D166" s="2067"/>
      <c r="E166" s="2067"/>
      <c r="F166" s="2067"/>
      <c r="G166" s="2067"/>
      <c r="H166" s="2067"/>
      <c r="I166" s="2067"/>
      <c r="J166" s="2040"/>
      <c r="K166" s="2067"/>
      <c r="L166" s="2067"/>
      <c r="M166" s="2067"/>
      <c r="N166" s="2067"/>
      <c r="O166" s="2067"/>
      <c r="P166" s="2235"/>
      <c r="Q166" s="2067"/>
      <c r="R166" s="2067"/>
      <c r="S166" s="2067"/>
      <c r="T166" s="2067"/>
      <c r="U166" s="2067"/>
      <c r="V166" s="2067"/>
      <c r="W166" s="2067"/>
      <c r="X166" s="2067"/>
      <c r="Y166" s="2067"/>
      <c r="Z166" s="2067"/>
      <c r="AA166" s="2067"/>
      <c r="AB166" s="2067"/>
      <c r="AC166" s="2235"/>
      <c r="AD166" s="2235"/>
      <c r="AE166" s="2235"/>
      <c r="AF166" s="2235"/>
      <c r="AG166" s="2067"/>
      <c r="AH166" s="2580"/>
      <c r="AI166" s="1461"/>
      <c r="AJ166" s="2581"/>
      <c r="AK166" s="1459"/>
      <c r="AL166" s="2067"/>
    </row>
    <row r="167" spans="1:38" ht="20.100000000000001" customHeight="1">
      <c r="B167" s="2553"/>
      <c r="C167" s="2067"/>
      <c r="D167" s="2067"/>
      <c r="E167" s="2067"/>
      <c r="F167" s="2067"/>
      <c r="G167" s="2067"/>
      <c r="H167" s="2067"/>
      <c r="I167" s="2067"/>
      <c r="J167" s="2040"/>
      <c r="K167" s="2067"/>
      <c r="L167" s="2067"/>
      <c r="M167" s="2067"/>
      <c r="N167" s="2067"/>
      <c r="O167" s="2067"/>
      <c r="P167" s="2235"/>
      <c r="Q167" s="2067"/>
      <c r="R167" s="2067"/>
      <c r="S167" s="2067"/>
      <c r="T167" s="2067"/>
      <c r="U167" s="2067"/>
      <c r="V167" s="2067"/>
      <c r="W167" s="2067"/>
      <c r="X167" s="2067"/>
      <c r="Y167" s="2067"/>
      <c r="Z167" s="2067"/>
      <c r="AA167" s="2067"/>
      <c r="AB167" s="2067"/>
      <c r="AC167" s="2235"/>
      <c r="AD167" s="2235"/>
      <c r="AE167" s="2235"/>
      <c r="AF167" s="2235"/>
      <c r="AG167" s="2067"/>
      <c r="AH167" s="2067"/>
      <c r="AI167" s="1461"/>
      <c r="AJ167" s="2581"/>
      <c r="AK167" s="1459"/>
      <c r="AL167" s="2067"/>
    </row>
    <row r="168" spans="1:38" ht="20.100000000000001" customHeight="1">
      <c r="B168" s="2067"/>
      <c r="C168" s="2067"/>
      <c r="D168" s="2067"/>
      <c r="E168" s="2067"/>
      <c r="F168" s="2067"/>
      <c r="G168" s="2067"/>
      <c r="H168" s="2067"/>
      <c r="I168" s="2067"/>
      <c r="J168" s="2040"/>
      <c r="K168" s="2067"/>
      <c r="L168" s="2067"/>
      <c r="M168" s="2067"/>
      <c r="N168" s="2067"/>
      <c r="O168" s="2067"/>
      <c r="P168" s="2235"/>
      <c r="Q168" s="2067"/>
      <c r="R168" s="2067"/>
      <c r="S168" s="2067"/>
      <c r="T168" s="2067"/>
      <c r="U168" s="2067"/>
      <c r="V168" s="2067"/>
      <c r="W168" s="2067"/>
      <c r="X168" s="2067"/>
      <c r="Y168" s="2067"/>
      <c r="Z168" s="2067"/>
      <c r="AA168" s="2067"/>
      <c r="AB168" s="2067"/>
      <c r="AC168" s="2235"/>
      <c r="AD168" s="2235"/>
      <c r="AE168" s="2235"/>
      <c r="AF168" s="2235"/>
      <c r="AG168" s="2067"/>
      <c r="AH168" s="2067"/>
      <c r="AI168" s="1461"/>
      <c r="AJ168" s="2581"/>
      <c r="AK168" s="1459"/>
      <c r="AL168" s="2067"/>
    </row>
    <row r="169" spans="1:38" ht="20.100000000000001" customHeight="1">
      <c r="B169" s="2582"/>
      <c r="C169" s="2067"/>
      <c r="D169" s="2067"/>
      <c r="E169" s="2067"/>
      <c r="F169" s="2067"/>
      <c r="G169" s="2067"/>
      <c r="H169" s="2067"/>
      <c r="I169" s="2067"/>
      <c r="J169" s="2040"/>
      <c r="K169" s="2067"/>
      <c r="L169" s="2067"/>
      <c r="M169" s="2067"/>
      <c r="N169" s="2067"/>
      <c r="O169" s="2067"/>
      <c r="P169" s="2235"/>
      <c r="Q169" s="2067"/>
      <c r="R169" s="2067"/>
      <c r="S169" s="2067"/>
      <c r="T169" s="2067"/>
      <c r="U169" s="2067"/>
      <c r="V169" s="2067"/>
      <c r="W169" s="2067"/>
      <c r="X169" s="2067"/>
      <c r="Y169" s="2067"/>
      <c r="Z169" s="2067"/>
      <c r="AA169" s="2067"/>
      <c r="AB169" s="2067"/>
      <c r="AC169" s="2235"/>
      <c r="AD169" s="2235"/>
      <c r="AE169" s="2235"/>
      <c r="AF169" s="2235"/>
      <c r="AG169" s="2067"/>
      <c r="AI169" s="2070"/>
      <c r="AJ169" s="2513"/>
      <c r="AK169" s="1477"/>
      <c r="AL169" s="2067"/>
    </row>
    <row r="170" spans="1:38" ht="20.100000000000001" customHeight="1">
      <c r="B170" s="2067"/>
      <c r="C170" s="2067"/>
      <c r="D170" s="2067"/>
      <c r="E170" s="2067"/>
      <c r="F170" s="2067"/>
      <c r="G170" s="2067"/>
      <c r="H170" s="2067"/>
      <c r="I170" s="2067"/>
      <c r="J170" s="2040"/>
      <c r="K170" s="2067"/>
      <c r="L170" s="2067"/>
      <c r="M170" s="2067"/>
      <c r="N170" s="2067"/>
      <c r="O170" s="2067"/>
      <c r="P170" s="2235"/>
      <c r="Q170" s="2067"/>
      <c r="R170" s="2067"/>
      <c r="S170" s="2067"/>
      <c r="T170" s="2067"/>
      <c r="U170" s="2067"/>
      <c r="V170" s="2067"/>
      <c r="W170" s="2067"/>
      <c r="X170" s="2067"/>
      <c r="Y170" s="2067"/>
      <c r="Z170" s="2067"/>
      <c r="AA170" s="2067"/>
      <c r="AB170" s="2067"/>
      <c r="AC170" s="2235"/>
      <c r="AD170" s="2235"/>
      <c r="AE170" s="2235"/>
      <c r="AF170" s="2235"/>
      <c r="AG170" s="2067"/>
      <c r="AI170" s="2070"/>
      <c r="AJ170" s="2513"/>
      <c r="AK170" s="1477"/>
      <c r="AL170" s="2067"/>
    </row>
    <row r="171" spans="1:38" ht="20.100000000000001" customHeight="1">
      <c r="B171" s="2067"/>
      <c r="C171" s="2067"/>
      <c r="D171" s="2067"/>
      <c r="E171" s="2067"/>
      <c r="F171" s="2067"/>
      <c r="G171" s="2067"/>
      <c r="H171" s="2067"/>
      <c r="I171" s="2067"/>
      <c r="J171" s="2040"/>
      <c r="K171" s="2067"/>
      <c r="L171" s="2067"/>
      <c r="M171" s="2067"/>
      <c r="N171" s="2067"/>
      <c r="O171" s="2067"/>
      <c r="P171" s="2235"/>
      <c r="Q171" s="2067"/>
      <c r="R171" s="2067"/>
      <c r="S171" s="2067"/>
      <c r="T171" s="2067"/>
      <c r="U171" s="2067"/>
      <c r="V171" s="2067"/>
      <c r="W171" s="2067"/>
      <c r="X171" s="2067"/>
      <c r="Y171" s="2067"/>
      <c r="Z171" s="2067"/>
      <c r="AA171" s="2067"/>
      <c r="AB171" s="2067"/>
      <c r="AC171" s="2235"/>
      <c r="AD171" s="2235"/>
      <c r="AE171" s="2235"/>
      <c r="AF171" s="2235"/>
      <c r="AG171" s="2067"/>
      <c r="AI171" s="2070"/>
      <c r="AJ171" s="2513"/>
      <c r="AK171" s="1477"/>
      <c r="AL171" s="2067"/>
    </row>
    <row r="172" spans="1:38" ht="20.100000000000001" customHeight="1">
      <c r="B172" s="2070"/>
      <c r="C172" s="2070"/>
      <c r="D172" s="2070"/>
      <c r="E172" s="2070"/>
      <c r="F172" s="2070"/>
      <c r="G172" s="2070"/>
      <c r="H172" s="2070"/>
      <c r="I172" s="2070"/>
      <c r="J172" s="2475"/>
      <c r="K172" s="2070"/>
      <c r="L172" s="2070"/>
      <c r="M172" s="2070"/>
      <c r="N172" s="2070"/>
      <c r="O172" s="2070"/>
      <c r="P172" s="2242"/>
      <c r="Q172" s="2070"/>
      <c r="R172" s="2070"/>
      <c r="S172" s="2070"/>
      <c r="T172" s="2070"/>
      <c r="U172" s="2070"/>
      <c r="V172" s="2070"/>
      <c r="W172" s="2070"/>
      <c r="X172" s="2070"/>
      <c r="Y172" s="2070"/>
      <c r="Z172" s="2070"/>
      <c r="AA172" s="2070"/>
      <c r="AB172" s="2070"/>
      <c r="AC172" s="2242"/>
      <c r="AD172" s="2242"/>
      <c r="AE172" s="2242"/>
      <c r="AF172" s="2242"/>
      <c r="AG172" s="2070"/>
      <c r="AI172" s="2070"/>
      <c r="AJ172" s="2513"/>
      <c r="AK172" s="1477"/>
      <c r="AL172" s="2067"/>
    </row>
    <row r="173" spans="1:38" ht="20.100000000000001" customHeight="1">
      <c r="B173" s="2070"/>
      <c r="C173" s="2070"/>
      <c r="D173" s="2070"/>
      <c r="E173" s="2070"/>
      <c r="F173" s="2070"/>
      <c r="G173" s="2070"/>
      <c r="H173" s="2070"/>
      <c r="I173" s="2070"/>
      <c r="J173" s="2475"/>
      <c r="K173" s="2070"/>
      <c r="L173" s="2070"/>
      <c r="M173" s="2070"/>
      <c r="N173" s="2070"/>
      <c r="O173" s="2070"/>
      <c r="P173" s="2242"/>
      <c r="Q173" s="2070"/>
      <c r="R173" s="2070"/>
      <c r="S173" s="2070"/>
      <c r="T173" s="2070"/>
      <c r="U173" s="2070"/>
      <c r="V173" s="2070"/>
      <c r="W173" s="2070"/>
      <c r="X173" s="2070"/>
      <c r="Y173" s="2070"/>
      <c r="Z173" s="2070"/>
      <c r="AA173" s="2070"/>
      <c r="AB173" s="2070"/>
      <c r="AC173" s="2242"/>
      <c r="AD173" s="2242"/>
      <c r="AE173" s="2242"/>
      <c r="AF173" s="2242"/>
      <c r="AG173" s="2070"/>
    </row>
    <row r="174" spans="1:38" ht="20.100000000000001" customHeight="1">
      <c r="B174" s="2070"/>
      <c r="C174" s="2070"/>
      <c r="D174" s="2070"/>
      <c r="E174" s="2070"/>
      <c r="F174" s="2070"/>
      <c r="G174" s="2070"/>
      <c r="H174" s="2070"/>
      <c r="I174" s="2070"/>
      <c r="J174" s="2475"/>
      <c r="K174" s="2070"/>
      <c r="L174" s="2070"/>
      <c r="M174" s="2070"/>
      <c r="N174" s="2070"/>
      <c r="O174" s="2070"/>
      <c r="P174" s="2242"/>
      <c r="Q174" s="2070"/>
      <c r="R174" s="2070"/>
      <c r="S174" s="2070"/>
      <c r="T174" s="2070"/>
      <c r="U174" s="2070"/>
      <c r="V174" s="2070"/>
      <c r="W174" s="2070"/>
      <c r="X174" s="2070"/>
      <c r="Y174" s="2070"/>
      <c r="Z174" s="2070"/>
      <c r="AA174" s="2070"/>
      <c r="AB174" s="2070"/>
      <c r="AC174" s="2242"/>
      <c r="AD174" s="2242"/>
      <c r="AE174" s="2242"/>
      <c r="AF174" s="2242"/>
      <c r="AG174" s="2070"/>
    </row>
    <row r="175" spans="1:38" ht="20.100000000000001" customHeight="1">
      <c r="B175" s="2070"/>
      <c r="C175" s="2070"/>
      <c r="D175" s="2070"/>
      <c r="E175" s="2070"/>
      <c r="F175" s="2070"/>
      <c r="G175" s="2070"/>
      <c r="H175" s="2070"/>
      <c r="I175" s="2070"/>
      <c r="J175" s="2475"/>
      <c r="K175" s="2070"/>
      <c r="L175" s="2070"/>
      <c r="M175" s="2070"/>
      <c r="N175" s="2070"/>
      <c r="O175" s="2070"/>
      <c r="P175" s="2242"/>
      <c r="Q175" s="2070"/>
      <c r="R175" s="2070"/>
      <c r="S175" s="2070"/>
      <c r="T175" s="2070"/>
      <c r="U175" s="2070"/>
      <c r="V175" s="2070"/>
      <c r="W175" s="2070"/>
      <c r="X175" s="2070"/>
      <c r="Y175" s="2070"/>
      <c r="Z175" s="2070"/>
      <c r="AA175" s="2070"/>
      <c r="AB175" s="2070"/>
      <c r="AC175" s="2242"/>
      <c r="AD175" s="2242"/>
      <c r="AE175" s="2242"/>
      <c r="AF175" s="2242"/>
      <c r="AG175" s="2070"/>
    </row>
    <row r="176" spans="1:38" ht="20.100000000000001" customHeight="1">
      <c r="B176" s="2070"/>
      <c r="C176" s="2070"/>
      <c r="D176" s="2070"/>
      <c r="E176" s="2070"/>
      <c r="F176" s="2070"/>
      <c r="G176" s="2070"/>
      <c r="H176" s="2070"/>
      <c r="I176" s="2070"/>
      <c r="J176" s="2475"/>
      <c r="K176" s="2070"/>
      <c r="L176" s="2070"/>
      <c r="M176" s="2070"/>
      <c r="N176" s="2070"/>
      <c r="O176" s="2070"/>
      <c r="P176" s="2242"/>
      <c r="Q176" s="2070"/>
      <c r="R176" s="2070"/>
      <c r="S176" s="2070"/>
      <c r="T176" s="2070"/>
      <c r="U176" s="2070"/>
      <c r="V176" s="2070"/>
      <c r="W176" s="2070"/>
      <c r="X176" s="2070"/>
      <c r="Y176" s="2070"/>
      <c r="Z176" s="2070"/>
      <c r="AA176" s="2070"/>
      <c r="AB176" s="2070"/>
      <c r="AC176" s="2242"/>
      <c r="AD176" s="2242"/>
      <c r="AE176" s="2242"/>
      <c r="AF176" s="2242"/>
      <c r="AG176" s="2070"/>
    </row>
    <row r="177" spans="2:33">
      <c r="B177" s="2070"/>
      <c r="C177" s="2070"/>
      <c r="D177" s="2070"/>
      <c r="E177" s="2070"/>
      <c r="F177" s="2070"/>
      <c r="G177" s="2070"/>
      <c r="H177" s="2070"/>
      <c r="I177" s="2070"/>
      <c r="J177" s="2475"/>
      <c r="K177" s="2070"/>
      <c r="L177" s="2070"/>
      <c r="M177" s="2070"/>
      <c r="N177" s="2070"/>
      <c r="O177" s="2070"/>
      <c r="P177" s="2242"/>
      <c r="Q177" s="2070"/>
      <c r="R177" s="2070"/>
      <c r="S177" s="2070"/>
      <c r="T177" s="2070"/>
      <c r="U177" s="2070"/>
      <c r="V177" s="2070"/>
      <c r="W177" s="2070"/>
      <c r="X177" s="2070"/>
      <c r="Y177" s="2070"/>
      <c r="Z177" s="2070"/>
      <c r="AA177" s="2070"/>
      <c r="AB177" s="2070"/>
      <c r="AC177" s="2242"/>
      <c r="AD177" s="2242"/>
      <c r="AE177" s="2242"/>
      <c r="AF177" s="2242"/>
      <c r="AG177" s="2070"/>
    </row>
    <row r="178" spans="2:33">
      <c r="B178" s="2070"/>
      <c r="C178" s="2070"/>
      <c r="D178" s="2070"/>
      <c r="E178" s="2070"/>
      <c r="F178" s="2070"/>
      <c r="G178" s="2070"/>
      <c r="H178" s="2070"/>
      <c r="I178" s="2070"/>
      <c r="J178" s="2475"/>
      <c r="K178" s="2070"/>
      <c r="L178" s="2070"/>
      <c r="M178" s="2070"/>
      <c r="N178" s="2070"/>
      <c r="O178" s="2070"/>
      <c r="P178" s="2242"/>
      <c r="Q178" s="2070"/>
      <c r="R178" s="2070"/>
      <c r="S178" s="2070"/>
      <c r="T178" s="2070"/>
      <c r="U178" s="2070"/>
      <c r="V178" s="2070"/>
      <c r="W178" s="2070"/>
      <c r="X178" s="2070"/>
      <c r="Y178" s="2070"/>
      <c r="Z178" s="2070"/>
      <c r="AA178" s="2070"/>
      <c r="AB178" s="2070"/>
      <c r="AC178" s="2242"/>
      <c r="AD178" s="2242"/>
      <c r="AE178" s="2242"/>
      <c r="AF178" s="2242"/>
      <c r="AG178" s="2070"/>
    </row>
    <row r="179" spans="2:33">
      <c r="B179" s="2070"/>
      <c r="C179" s="2070"/>
      <c r="D179" s="2070"/>
      <c r="E179" s="2070"/>
      <c r="F179" s="2070"/>
      <c r="G179" s="2070"/>
      <c r="H179" s="2070"/>
      <c r="I179" s="2070"/>
      <c r="J179" s="2475"/>
      <c r="K179" s="2070"/>
      <c r="L179" s="2070"/>
      <c r="M179" s="2070"/>
      <c r="N179" s="2070"/>
      <c r="O179" s="2070"/>
      <c r="P179" s="2242"/>
      <c r="Q179" s="2070"/>
      <c r="R179" s="2070"/>
      <c r="S179" s="2070"/>
      <c r="T179" s="2070"/>
      <c r="U179" s="2070"/>
      <c r="V179" s="2070"/>
      <c r="W179" s="2070"/>
      <c r="X179" s="2070"/>
      <c r="Y179" s="2070"/>
      <c r="Z179" s="2070"/>
      <c r="AA179" s="2070"/>
      <c r="AB179" s="2070"/>
      <c r="AC179" s="2242"/>
      <c r="AD179" s="2242"/>
      <c r="AE179" s="2242"/>
      <c r="AF179" s="2242"/>
      <c r="AG179" s="2070"/>
    </row>
    <row r="180" spans="2:33">
      <c r="B180" s="2070"/>
      <c r="C180" s="2070"/>
      <c r="D180" s="2070"/>
      <c r="E180" s="2070"/>
      <c r="F180" s="2070"/>
      <c r="G180" s="2070"/>
      <c r="H180" s="2070"/>
      <c r="I180" s="2070"/>
      <c r="J180" s="2475"/>
      <c r="K180" s="2070"/>
      <c r="L180" s="2070"/>
      <c r="M180" s="2070"/>
      <c r="N180" s="2070"/>
      <c r="O180" s="2070"/>
      <c r="P180" s="2242"/>
      <c r="Q180" s="2070"/>
      <c r="R180" s="2070"/>
      <c r="S180" s="2070"/>
      <c r="T180" s="2070"/>
      <c r="U180" s="2070"/>
      <c r="V180" s="2070"/>
      <c r="W180" s="2070"/>
      <c r="X180" s="2070"/>
      <c r="Y180" s="2070"/>
      <c r="Z180" s="2070"/>
      <c r="AA180" s="2070"/>
      <c r="AB180" s="2070"/>
      <c r="AC180" s="2242"/>
      <c r="AD180" s="2242"/>
      <c r="AE180" s="2242"/>
      <c r="AF180" s="2242"/>
      <c r="AG180" s="2070"/>
    </row>
    <row r="181" spans="2:33">
      <c r="B181" s="2070"/>
      <c r="C181" s="2070"/>
      <c r="D181" s="2070"/>
      <c r="E181" s="2070"/>
      <c r="F181" s="2070"/>
      <c r="G181" s="2070"/>
      <c r="H181" s="2070"/>
      <c r="I181" s="2070"/>
      <c r="J181" s="2475"/>
      <c r="K181" s="2070"/>
      <c r="L181" s="2070"/>
      <c r="M181" s="2070"/>
      <c r="N181" s="2070"/>
      <c r="O181" s="2070"/>
      <c r="P181" s="2242"/>
      <c r="Q181" s="2070"/>
      <c r="R181" s="2070"/>
      <c r="S181" s="2070"/>
      <c r="T181" s="2070"/>
      <c r="U181" s="2070"/>
      <c r="V181" s="2070"/>
      <c r="W181" s="2070"/>
      <c r="X181" s="2070"/>
      <c r="Y181" s="2070"/>
      <c r="Z181" s="2070"/>
      <c r="AA181" s="2070"/>
      <c r="AB181" s="2070"/>
      <c r="AC181" s="2242"/>
      <c r="AD181" s="2242"/>
      <c r="AE181" s="2242"/>
      <c r="AF181" s="2242"/>
      <c r="AG181" s="2070"/>
    </row>
    <row r="182" spans="2:33">
      <c r="B182" s="2070"/>
      <c r="C182" s="2070"/>
      <c r="D182" s="2070"/>
      <c r="E182" s="2070"/>
      <c r="F182" s="2070"/>
      <c r="G182" s="2070"/>
      <c r="H182" s="2070"/>
      <c r="I182" s="2070"/>
      <c r="J182" s="2475"/>
      <c r="K182" s="2070"/>
      <c r="L182" s="2070"/>
      <c r="M182" s="2070"/>
      <c r="N182" s="2070"/>
      <c r="O182" s="2070"/>
      <c r="P182" s="2242"/>
      <c r="Q182" s="2070"/>
      <c r="R182" s="2070"/>
      <c r="S182" s="2070"/>
      <c r="T182" s="2070"/>
      <c r="U182" s="2070"/>
      <c r="V182" s="2070"/>
      <c r="W182" s="2070"/>
      <c r="X182" s="2070"/>
      <c r="Y182" s="2070"/>
      <c r="Z182" s="2070"/>
      <c r="AA182" s="2070"/>
      <c r="AB182" s="2070"/>
      <c r="AC182" s="2242"/>
      <c r="AD182" s="2242"/>
      <c r="AE182" s="2242"/>
      <c r="AF182" s="2242"/>
      <c r="AG182" s="2070"/>
    </row>
    <row r="183" spans="2:33">
      <c r="B183" s="2070"/>
      <c r="C183" s="2070"/>
      <c r="D183" s="2070"/>
      <c r="E183" s="2070"/>
      <c r="F183" s="2070"/>
      <c r="G183" s="2070"/>
      <c r="H183" s="2070"/>
      <c r="I183" s="2070"/>
      <c r="J183" s="2475"/>
      <c r="K183" s="2070"/>
      <c r="L183" s="2070"/>
      <c r="M183" s="2070"/>
      <c r="N183" s="2070"/>
      <c r="O183" s="2070"/>
      <c r="P183" s="2242"/>
      <c r="Q183" s="2070"/>
      <c r="R183" s="2070"/>
      <c r="S183" s="2070"/>
      <c r="T183" s="2070"/>
      <c r="U183" s="2070"/>
      <c r="V183" s="2070"/>
      <c r="W183" s="2070"/>
      <c r="X183" s="2070"/>
      <c r="Y183" s="2070"/>
      <c r="Z183" s="2070"/>
      <c r="AA183" s="2070"/>
      <c r="AB183" s="2070"/>
      <c r="AC183" s="2242"/>
      <c r="AD183" s="2242"/>
      <c r="AE183" s="2242"/>
      <c r="AF183" s="2242"/>
      <c r="AG183" s="2070"/>
    </row>
    <row r="184" spans="2:33">
      <c r="B184" s="2070"/>
      <c r="C184" s="2070"/>
      <c r="D184" s="2070"/>
      <c r="E184" s="2070"/>
      <c r="F184" s="2070"/>
      <c r="G184" s="2070"/>
      <c r="H184" s="2070"/>
      <c r="I184" s="2070"/>
      <c r="J184" s="2475"/>
      <c r="K184" s="2070"/>
      <c r="L184" s="2070"/>
      <c r="M184" s="2070"/>
      <c r="N184" s="2070"/>
      <c r="O184" s="2070"/>
      <c r="P184" s="2242"/>
      <c r="Q184" s="2070"/>
      <c r="R184" s="2070"/>
      <c r="S184" s="2070"/>
      <c r="T184" s="2070"/>
      <c r="U184" s="2070"/>
      <c r="V184" s="2070"/>
      <c r="W184" s="2070"/>
      <c r="X184" s="2070"/>
      <c r="Y184" s="2070"/>
      <c r="Z184" s="2070"/>
      <c r="AA184" s="2070"/>
      <c r="AB184" s="2070"/>
      <c r="AC184" s="2242"/>
      <c r="AD184" s="2242"/>
      <c r="AE184" s="2242"/>
      <c r="AF184" s="2242"/>
      <c r="AG184" s="2070"/>
    </row>
    <row r="185" spans="2:33">
      <c r="B185" s="2070"/>
      <c r="C185" s="2070"/>
      <c r="D185" s="2070"/>
      <c r="E185" s="2070"/>
      <c r="F185" s="2070"/>
      <c r="G185" s="2070"/>
      <c r="H185" s="2070"/>
      <c r="I185" s="2070"/>
      <c r="J185" s="2475"/>
      <c r="K185" s="2070"/>
      <c r="L185" s="2070"/>
      <c r="M185" s="2070"/>
      <c r="N185" s="2070"/>
      <c r="O185" s="2070"/>
      <c r="P185" s="2242"/>
      <c r="Q185" s="2070"/>
      <c r="R185" s="2070"/>
      <c r="S185" s="2070"/>
      <c r="T185" s="2070"/>
      <c r="U185" s="2070"/>
      <c r="V185" s="2070"/>
      <c r="W185" s="2070"/>
      <c r="X185" s="2070"/>
      <c r="Y185" s="2070"/>
      <c r="Z185" s="2070"/>
      <c r="AA185" s="2070"/>
      <c r="AB185" s="2070"/>
      <c r="AC185" s="2242"/>
      <c r="AD185" s="2242"/>
      <c r="AE185" s="2242"/>
      <c r="AF185" s="2242"/>
      <c r="AG185" s="2070"/>
    </row>
    <row r="186" spans="2:33">
      <c r="B186" s="2070"/>
      <c r="C186" s="2070"/>
      <c r="D186" s="2070"/>
      <c r="E186" s="2070"/>
      <c r="F186" s="2070"/>
      <c r="G186" s="2070"/>
      <c r="H186" s="2070"/>
      <c r="I186" s="2070"/>
      <c r="J186" s="2475"/>
      <c r="K186" s="2070"/>
      <c r="L186" s="2070"/>
      <c r="M186" s="2070"/>
      <c r="N186" s="2070"/>
      <c r="O186" s="2070"/>
      <c r="P186" s="2242"/>
      <c r="Q186" s="2070"/>
      <c r="R186" s="2070"/>
      <c r="S186" s="2070"/>
      <c r="T186" s="2070"/>
      <c r="U186" s="2070"/>
      <c r="V186" s="2070"/>
      <c r="W186" s="2070"/>
      <c r="X186" s="2070"/>
      <c r="Y186" s="2070"/>
      <c r="Z186" s="2070"/>
      <c r="AA186" s="2070"/>
      <c r="AB186" s="2070"/>
      <c r="AC186" s="2242"/>
      <c r="AD186" s="2242"/>
      <c r="AE186" s="2242"/>
      <c r="AF186" s="2242"/>
      <c r="AG186" s="2070"/>
    </row>
    <row r="187" spans="2:33">
      <c r="B187" s="2070"/>
      <c r="C187" s="2070"/>
      <c r="D187" s="2070"/>
      <c r="E187" s="2070"/>
      <c r="F187" s="2070"/>
      <c r="G187" s="2070"/>
      <c r="H187" s="2070"/>
      <c r="I187" s="2070"/>
      <c r="J187" s="2475"/>
      <c r="K187" s="2070"/>
      <c r="L187" s="2070"/>
      <c r="M187" s="2070"/>
      <c r="N187" s="2070"/>
      <c r="O187" s="2070"/>
      <c r="P187" s="2242"/>
      <c r="Q187" s="2070"/>
      <c r="R187" s="2070"/>
      <c r="S187" s="2070"/>
      <c r="T187" s="2070"/>
      <c r="U187" s="2070"/>
      <c r="V187" s="2070"/>
      <c r="W187" s="2070"/>
      <c r="X187" s="2070"/>
      <c r="Y187" s="2070"/>
      <c r="Z187" s="2070"/>
      <c r="AA187" s="2070"/>
      <c r="AB187" s="2070"/>
      <c r="AC187" s="2242"/>
      <c r="AD187" s="2242"/>
      <c r="AE187" s="2242"/>
      <c r="AF187" s="2242"/>
      <c r="AG187" s="2070"/>
    </row>
    <row r="188" spans="2:33">
      <c r="B188" s="2070"/>
      <c r="C188" s="2070"/>
      <c r="D188" s="2070"/>
      <c r="E188" s="2070"/>
      <c r="F188" s="2070"/>
      <c r="G188" s="2070"/>
      <c r="H188" s="2070"/>
      <c r="I188" s="2070"/>
      <c r="J188" s="2475"/>
      <c r="K188" s="2070"/>
      <c r="L188" s="2070"/>
      <c r="M188" s="2070"/>
      <c r="N188" s="2070"/>
      <c r="O188" s="2070"/>
      <c r="P188" s="2242"/>
      <c r="Q188" s="2070"/>
      <c r="R188" s="2070"/>
      <c r="S188" s="2070"/>
      <c r="T188" s="2070"/>
      <c r="U188" s="2070"/>
      <c r="V188" s="2070"/>
      <c r="W188" s="2070"/>
      <c r="X188" s="2070"/>
      <c r="Y188" s="2070"/>
      <c r="Z188" s="2070"/>
      <c r="AA188" s="2070"/>
      <c r="AB188" s="2070"/>
      <c r="AC188" s="2242"/>
      <c r="AD188" s="2242"/>
      <c r="AE188" s="2242"/>
      <c r="AF188" s="2242"/>
      <c r="AG188" s="2070"/>
    </row>
    <row r="189" spans="2:33">
      <c r="B189" s="2070"/>
      <c r="C189" s="2070"/>
      <c r="D189" s="2070"/>
      <c r="E189" s="2070"/>
      <c r="F189" s="2070"/>
      <c r="G189" s="2070"/>
      <c r="H189" s="2070"/>
      <c r="I189" s="2070"/>
      <c r="J189" s="2475"/>
      <c r="K189" s="2070"/>
      <c r="L189" s="2070"/>
      <c r="M189" s="2070"/>
      <c r="N189" s="2070"/>
      <c r="O189" s="2070"/>
      <c r="P189" s="2242"/>
      <c r="Q189" s="2070"/>
      <c r="R189" s="2070"/>
      <c r="S189" s="2070"/>
      <c r="T189" s="2070"/>
      <c r="U189" s="2070"/>
      <c r="V189" s="2070"/>
      <c r="W189" s="2070"/>
      <c r="X189" s="2070"/>
      <c r="Y189" s="2070"/>
      <c r="Z189" s="2070"/>
      <c r="AA189" s="2070"/>
      <c r="AB189" s="2070"/>
      <c r="AC189" s="2242"/>
      <c r="AD189" s="2242"/>
      <c r="AE189" s="2242"/>
      <c r="AF189" s="2242"/>
      <c r="AG189" s="2070"/>
    </row>
    <row r="190" spans="2:33">
      <c r="B190" s="2070"/>
      <c r="C190" s="2070"/>
      <c r="D190" s="2070"/>
      <c r="E190" s="2070"/>
      <c r="F190" s="2070"/>
      <c r="G190" s="2070"/>
      <c r="H190" s="2070"/>
      <c r="I190" s="2070"/>
      <c r="J190" s="2475"/>
      <c r="K190" s="2070"/>
      <c r="L190" s="2070"/>
      <c r="M190" s="2070"/>
      <c r="N190" s="2070"/>
      <c r="O190" s="2070"/>
      <c r="P190" s="2242"/>
      <c r="Q190" s="2070"/>
      <c r="R190" s="2070"/>
      <c r="S190" s="2070"/>
      <c r="T190" s="2070"/>
      <c r="U190" s="2070"/>
      <c r="V190" s="2070"/>
      <c r="W190" s="2070"/>
      <c r="X190" s="2070"/>
      <c r="Y190" s="2070"/>
      <c r="Z190" s="2070"/>
      <c r="AA190" s="2070"/>
      <c r="AB190" s="2070"/>
      <c r="AC190" s="2242"/>
      <c r="AD190" s="2242"/>
      <c r="AE190" s="2242"/>
      <c r="AF190" s="2242"/>
      <c r="AG190" s="2070"/>
    </row>
    <row r="191" spans="2:33">
      <c r="B191" s="2070"/>
      <c r="C191" s="2070"/>
      <c r="D191" s="2070"/>
      <c r="E191" s="2070"/>
      <c r="F191" s="2070"/>
      <c r="G191" s="2070"/>
      <c r="H191" s="2070"/>
      <c r="I191" s="2070"/>
      <c r="J191" s="2475"/>
      <c r="K191" s="2070"/>
      <c r="L191" s="2070"/>
      <c r="M191" s="2070"/>
      <c r="N191" s="2070"/>
      <c r="O191" s="2070"/>
      <c r="P191" s="2242"/>
      <c r="Q191" s="2070"/>
      <c r="R191" s="2070"/>
      <c r="S191" s="2070"/>
      <c r="T191" s="2070"/>
      <c r="U191" s="2070"/>
      <c r="V191" s="2070"/>
      <c r="W191" s="2070"/>
      <c r="X191" s="2070"/>
      <c r="Y191" s="2070"/>
      <c r="Z191" s="2070"/>
      <c r="AA191" s="2070"/>
      <c r="AB191" s="2070"/>
      <c r="AC191" s="2242"/>
      <c r="AD191" s="2242"/>
      <c r="AE191" s="2242"/>
      <c r="AF191" s="2242"/>
      <c r="AG191" s="2070"/>
    </row>
    <row r="192" spans="2:33">
      <c r="B192" s="2070"/>
      <c r="C192" s="2070"/>
      <c r="D192" s="2070"/>
      <c r="E192" s="2070"/>
      <c r="F192" s="2070"/>
      <c r="G192" s="2070"/>
      <c r="H192" s="2070"/>
      <c r="I192" s="2070"/>
      <c r="J192" s="2475"/>
      <c r="K192" s="2070"/>
      <c r="L192" s="2070"/>
      <c r="M192" s="2070"/>
      <c r="N192" s="2070"/>
      <c r="O192" s="2070"/>
      <c r="P192" s="2242"/>
      <c r="Q192" s="2070"/>
      <c r="R192" s="2070"/>
      <c r="S192" s="2070"/>
      <c r="T192" s="2070"/>
      <c r="U192" s="2070"/>
      <c r="V192" s="2070"/>
      <c r="W192" s="2070"/>
      <c r="X192" s="2070"/>
      <c r="Y192" s="2070"/>
      <c r="Z192" s="2070"/>
      <c r="AA192" s="2070"/>
      <c r="AB192" s="2070"/>
      <c r="AC192" s="2242"/>
      <c r="AD192" s="2242"/>
      <c r="AE192" s="2242"/>
      <c r="AF192" s="2242"/>
      <c r="AG192" s="2070"/>
    </row>
    <row r="193" spans="2:33">
      <c r="B193" s="2070"/>
      <c r="C193" s="2070"/>
      <c r="D193" s="2070"/>
      <c r="E193" s="2070"/>
      <c r="F193" s="2070"/>
      <c r="G193" s="2070"/>
      <c r="H193" s="2070"/>
      <c r="I193" s="2070"/>
      <c r="J193" s="2475"/>
      <c r="K193" s="2070"/>
      <c r="L193" s="2070"/>
      <c r="M193" s="2070"/>
      <c r="N193" s="2070"/>
      <c r="O193" s="2070"/>
      <c r="P193" s="2242"/>
      <c r="Q193" s="2070"/>
      <c r="R193" s="2070"/>
      <c r="S193" s="2070"/>
      <c r="T193" s="2070"/>
      <c r="U193" s="2070"/>
      <c r="V193" s="2070"/>
      <c r="W193" s="2070"/>
      <c r="X193" s="2070"/>
      <c r="Y193" s="2070"/>
      <c r="Z193" s="2070"/>
      <c r="AA193" s="2070"/>
      <c r="AB193" s="2070"/>
      <c r="AC193" s="2242"/>
      <c r="AD193" s="2242"/>
      <c r="AE193" s="2242"/>
      <c r="AF193" s="2242"/>
      <c r="AG193" s="2070"/>
    </row>
    <row r="194" spans="2:33">
      <c r="B194" s="2070"/>
      <c r="C194" s="2070"/>
      <c r="D194" s="2070"/>
      <c r="E194" s="2070"/>
      <c r="F194" s="2070"/>
      <c r="G194" s="2070"/>
      <c r="H194" s="2070"/>
      <c r="I194" s="2070"/>
      <c r="J194" s="2475"/>
      <c r="K194" s="2070"/>
      <c r="L194" s="2070"/>
      <c r="M194" s="2070"/>
      <c r="N194" s="2070"/>
      <c r="O194" s="2070"/>
      <c r="P194" s="2242"/>
      <c r="Q194" s="2070"/>
      <c r="R194" s="2070"/>
      <c r="S194" s="2070"/>
      <c r="T194" s="2070"/>
      <c r="U194" s="2070"/>
      <c r="V194" s="2070"/>
      <c r="W194" s="2070"/>
      <c r="X194" s="2070"/>
      <c r="Y194" s="2070"/>
      <c r="Z194" s="2070"/>
      <c r="AA194" s="2070"/>
      <c r="AB194" s="2070"/>
      <c r="AC194" s="2242"/>
      <c r="AD194" s="2242"/>
      <c r="AE194" s="2242"/>
      <c r="AF194" s="2242"/>
      <c r="AG194" s="2070"/>
    </row>
    <row r="195" spans="2:33">
      <c r="B195" s="2070"/>
      <c r="C195" s="2070"/>
      <c r="D195" s="2070"/>
      <c r="E195" s="2070"/>
      <c r="F195" s="2070"/>
      <c r="G195" s="2070"/>
      <c r="H195" s="2070"/>
      <c r="I195" s="2070"/>
      <c r="J195" s="2475"/>
      <c r="K195" s="2070"/>
      <c r="L195" s="2070"/>
      <c r="M195" s="2070"/>
      <c r="N195" s="2070"/>
      <c r="O195" s="2070"/>
      <c r="P195" s="2242"/>
      <c r="Q195" s="2070"/>
      <c r="R195" s="2070"/>
      <c r="S195" s="2070"/>
      <c r="T195" s="2070"/>
      <c r="U195" s="2070"/>
      <c r="V195" s="2070"/>
      <c r="W195" s="2070"/>
      <c r="X195" s="2070"/>
      <c r="Y195" s="2070"/>
      <c r="Z195" s="2070"/>
      <c r="AA195" s="2070"/>
      <c r="AB195" s="2070"/>
      <c r="AC195" s="2242"/>
      <c r="AD195" s="2242"/>
      <c r="AE195" s="2242"/>
      <c r="AF195" s="2242"/>
      <c r="AG195" s="2070"/>
    </row>
    <row r="196" spans="2:33">
      <c r="B196" s="2070"/>
      <c r="C196" s="2070"/>
      <c r="D196" s="2070"/>
      <c r="E196" s="2070"/>
      <c r="F196" s="2070"/>
      <c r="G196" s="2070"/>
      <c r="H196" s="2070"/>
      <c r="I196" s="2070"/>
      <c r="J196" s="2475"/>
      <c r="K196" s="2070"/>
      <c r="L196" s="2070"/>
      <c r="M196" s="2070"/>
      <c r="N196" s="2070"/>
      <c r="O196" s="2070"/>
      <c r="P196" s="2242"/>
      <c r="Q196" s="2070"/>
      <c r="R196" s="2070"/>
      <c r="S196" s="2070"/>
      <c r="T196" s="2070"/>
      <c r="U196" s="2070"/>
      <c r="V196" s="2070"/>
      <c r="W196" s="2070"/>
      <c r="X196" s="2070"/>
      <c r="Y196" s="2070"/>
      <c r="Z196" s="2070"/>
      <c r="AA196" s="2070"/>
      <c r="AB196" s="2070"/>
      <c r="AC196" s="2242"/>
      <c r="AD196" s="2242"/>
      <c r="AE196" s="2242"/>
      <c r="AF196" s="2242"/>
      <c r="AG196" s="2070"/>
    </row>
    <row r="197" spans="2:33">
      <c r="B197" s="2070"/>
      <c r="C197" s="2070"/>
      <c r="D197" s="2070"/>
      <c r="E197" s="2070"/>
      <c r="F197" s="2070"/>
      <c r="G197" s="2070"/>
      <c r="H197" s="2070"/>
      <c r="I197" s="2070"/>
      <c r="J197" s="2475"/>
      <c r="K197" s="2070"/>
      <c r="L197" s="2070"/>
      <c r="M197" s="2070"/>
      <c r="N197" s="2070"/>
      <c r="O197" s="2070"/>
      <c r="P197" s="2242"/>
      <c r="Q197" s="2070"/>
      <c r="R197" s="2070"/>
      <c r="S197" s="2070"/>
      <c r="T197" s="2070"/>
      <c r="U197" s="2070"/>
      <c r="V197" s="2070"/>
      <c r="W197" s="2070"/>
      <c r="X197" s="2070"/>
      <c r="Y197" s="2070"/>
      <c r="Z197" s="2070"/>
      <c r="AA197" s="2070"/>
      <c r="AB197" s="2070"/>
      <c r="AC197" s="2242"/>
      <c r="AD197" s="2242"/>
      <c r="AE197" s="2242"/>
      <c r="AF197" s="2242"/>
      <c r="AG197" s="2070"/>
    </row>
    <row r="198" spans="2:33">
      <c r="B198" s="2070"/>
      <c r="C198" s="2070"/>
      <c r="D198" s="2070"/>
      <c r="E198" s="2070"/>
      <c r="F198" s="2070"/>
      <c r="G198" s="2070"/>
      <c r="H198" s="2070"/>
      <c r="I198" s="2070"/>
      <c r="J198" s="2475"/>
      <c r="K198" s="2070"/>
      <c r="L198" s="2070"/>
      <c r="M198" s="2070"/>
      <c r="N198" s="2070"/>
      <c r="O198" s="2070"/>
      <c r="P198" s="2242"/>
      <c r="Q198" s="2070"/>
      <c r="R198" s="2070"/>
      <c r="S198" s="2070"/>
      <c r="T198" s="2070"/>
      <c r="U198" s="2070"/>
      <c r="V198" s="2070"/>
      <c r="W198" s="2070"/>
      <c r="X198" s="2070"/>
      <c r="Y198" s="2070"/>
      <c r="Z198" s="2070"/>
      <c r="AA198" s="2070"/>
      <c r="AB198" s="2070"/>
      <c r="AC198" s="2242"/>
      <c r="AD198" s="2242"/>
      <c r="AE198" s="2242"/>
      <c r="AF198" s="2242"/>
      <c r="AG198" s="2070"/>
    </row>
    <row r="199" spans="2:33">
      <c r="B199" s="2070"/>
      <c r="C199" s="2070"/>
      <c r="D199" s="2070"/>
      <c r="E199" s="2070"/>
      <c r="F199" s="2070"/>
      <c r="G199" s="2070"/>
      <c r="H199" s="2070"/>
      <c r="I199" s="2070"/>
      <c r="J199" s="2475"/>
      <c r="K199" s="2070"/>
      <c r="L199" s="2070"/>
      <c r="M199" s="2070"/>
      <c r="N199" s="2070"/>
      <c r="O199" s="2070"/>
      <c r="P199" s="2242"/>
      <c r="Q199" s="2070"/>
      <c r="R199" s="2070"/>
      <c r="S199" s="2070"/>
      <c r="T199" s="2070"/>
      <c r="U199" s="2070"/>
      <c r="V199" s="2070"/>
      <c r="W199" s="2070"/>
      <c r="X199" s="2070"/>
      <c r="Y199" s="2070"/>
      <c r="Z199" s="2070"/>
      <c r="AA199" s="2070"/>
      <c r="AB199" s="2070"/>
      <c r="AC199" s="2242"/>
      <c r="AD199" s="2242"/>
      <c r="AE199" s="2242"/>
      <c r="AF199" s="2242"/>
      <c r="AG199" s="2070"/>
    </row>
    <row r="200" spans="2:33">
      <c r="B200" s="2070"/>
      <c r="C200" s="2070"/>
      <c r="D200" s="2070"/>
      <c r="E200" s="2070"/>
      <c r="F200" s="2070"/>
      <c r="G200" s="2070"/>
      <c r="H200" s="2070"/>
      <c r="I200" s="2070"/>
      <c r="J200" s="2475"/>
      <c r="K200" s="2070"/>
      <c r="L200" s="2070"/>
      <c r="M200" s="2070"/>
      <c r="N200" s="2070"/>
      <c r="O200" s="2070"/>
      <c r="P200" s="2242"/>
      <c r="Q200" s="2070"/>
      <c r="R200" s="2070"/>
      <c r="S200" s="2070"/>
      <c r="T200" s="2070"/>
      <c r="U200" s="2070"/>
      <c r="V200" s="2070"/>
      <c r="W200" s="2070"/>
      <c r="X200" s="2070"/>
      <c r="Y200" s="2070"/>
      <c r="Z200" s="2070"/>
      <c r="AA200" s="2070"/>
      <c r="AB200" s="2070"/>
      <c r="AC200" s="2242"/>
      <c r="AD200" s="2242"/>
      <c r="AE200" s="2242"/>
      <c r="AF200" s="2242"/>
      <c r="AG200" s="2070"/>
    </row>
    <row r="201" spans="2:33">
      <c r="B201" s="2070"/>
      <c r="C201" s="2070"/>
      <c r="D201" s="2070"/>
      <c r="E201" s="2070"/>
      <c r="F201" s="2070"/>
      <c r="G201" s="2070"/>
      <c r="H201" s="2070"/>
      <c r="I201" s="2070"/>
      <c r="J201" s="2475"/>
      <c r="K201" s="2070"/>
      <c r="L201" s="2070"/>
      <c r="M201" s="2070"/>
      <c r="N201" s="2070"/>
      <c r="O201" s="2070"/>
      <c r="P201" s="2242"/>
      <c r="Q201" s="2070"/>
      <c r="R201" s="2070"/>
      <c r="S201" s="2070"/>
      <c r="T201" s="2070"/>
      <c r="U201" s="2070"/>
      <c r="V201" s="2070"/>
      <c r="W201" s="2070"/>
      <c r="X201" s="2070"/>
      <c r="Y201" s="2070"/>
      <c r="Z201" s="2070"/>
      <c r="AA201" s="2070"/>
      <c r="AB201" s="2070"/>
      <c r="AC201" s="2242"/>
      <c r="AD201" s="2242"/>
      <c r="AE201" s="2242"/>
      <c r="AF201" s="2242"/>
      <c r="AG201" s="2070"/>
    </row>
    <row r="202" spans="2:33">
      <c r="B202" s="2070"/>
      <c r="C202" s="2070"/>
      <c r="D202" s="2070"/>
      <c r="E202" s="2070"/>
      <c r="F202" s="2070"/>
      <c r="G202" s="2070"/>
      <c r="H202" s="2070"/>
      <c r="I202" s="2070"/>
      <c r="J202" s="2475"/>
      <c r="K202" s="2070"/>
      <c r="L202" s="2070"/>
      <c r="M202" s="2070"/>
      <c r="N202" s="2070"/>
      <c r="O202" s="2070"/>
      <c r="P202" s="2242"/>
      <c r="Q202" s="2070"/>
      <c r="R202" s="2070"/>
      <c r="S202" s="2070"/>
      <c r="T202" s="2070"/>
      <c r="U202" s="2070"/>
      <c r="V202" s="2070"/>
      <c r="W202" s="2070"/>
      <c r="X202" s="2070"/>
      <c r="Y202" s="2070"/>
      <c r="Z202" s="2070"/>
      <c r="AA202" s="2070"/>
      <c r="AB202" s="2070"/>
      <c r="AC202" s="2242"/>
      <c r="AD202" s="2242"/>
      <c r="AE202" s="2242"/>
      <c r="AF202" s="2242"/>
      <c r="AG202" s="2070"/>
    </row>
    <row r="203" spans="2:33">
      <c r="B203" s="2070"/>
      <c r="C203" s="2070"/>
      <c r="D203" s="2070"/>
      <c r="E203" s="2070"/>
      <c r="F203" s="2070"/>
      <c r="G203" s="2070"/>
      <c r="H203" s="2070"/>
      <c r="I203" s="2070"/>
      <c r="J203" s="2475"/>
      <c r="K203" s="2070"/>
      <c r="L203" s="2070"/>
      <c r="M203" s="2070"/>
      <c r="N203" s="2070"/>
      <c r="O203" s="2070"/>
      <c r="P203" s="2242"/>
      <c r="Q203" s="2070"/>
      <c r="R203" s="2070"/>
      <c r="S203" s="2070"/>
      <c r="T203" s="2070"/>
      <c r="U203" s="2070"/>
      <c r="V203" s="2070"/>
      <c r="W203" s="2070"/>
      <c r="X203" s="2070"/>
      <c r="Y203" s="2070"/>
      <c r="Z203" s="2070"/>
      <c r="AA203" s="2070"/>
      <c r="AB203" s="2070"/>
      <c r="AC203" s="2242"/>
      <c r="AD203" s="2242"/>
      <c r="AE203" s="2242"/>
      <c r="AF203" s="2242"/>
      <c r="AG203" s="2070"/>
    </row>
    <row r="204" spans="2:33">
      <c r="B204" s="2070"/>
      <c r="C204" s="2070"/>
      <c r="D204" s="2070"/>
      <c r="E204" s="2070"/>
      <c r="F204" s="2070"/>
      <c r="G204" s="2070"/>
      <c r="H204" s="2070"/>
      <c r="I204" s="2070"/>
      <c r="J204" s="2475"/>
      <c r="K204" s="2070"/>
      <c r="L204" s="2070"/>
      <c r="M204" s="2070"/>
      <c r="N204" s="2070"/>
      <c r="O204" s="2070"/>
      <c r="P204" s="2242"/>
      <c r="Q204" s="2070"/>
      <c r="R204" s="2070"/>
      <c r="S204" s="2070"/>
      <c r="T204" s="2070"/>
      <c r="U204" s="2070"/>
      <c r="V204" s="2070"/>
      <c r="W204" s="2070"/>
      <c r="X204" s="2070"/>
      <c r="Y204" s="2070"/>
      <c r="Z204" s="2070"/>
      <c r="AA204" s="2070"/>
      <c r="AB204" s="2070"/>
      <c r="AC204" s="2242"/>
      <c r="AD204" s="2242"/>
      <c r="AE204" s="2242"/>
      <c r="AF204" s="2242"/>
      <c r="AG204" s="2070"/>
    </row>
    <row r="205" spans="2:33">
      <c r="B205" s="2070"/>
      <c r="C205" s="2070"/>
      <c r="D205" s="2070"/>
      <c r="E205" s="2070"/>
      <c r="F205" s="2070"/>
      <c r="G205" s="2070"/>
      <c r="H205" s="2070"/>
      <c r="I205" s="2070"/>
      <c r="J205" s="2475"/>
      <c r="K205" s="2070"/>
      <c r="L205" s="2070"/>
      <c r="M205" s="2070"/>
      <c r="N205" s="2070"/>
      <c r="O205" s="2070"/>
      <c r="P205" s="2242"/>
      <c r="Q205" s="2070"/>
      <c r="R205" s="2070"/>
      <c r="S205" s="2070"/>
      <c r="T205" s="2070"/>
      <c r="U205" s="2070"/>
      <c r="V205" s="2070"/>
      <c r="W205" s="2070"/>
      <c r="X205" s="2070"/>
      <c r="Y205" s="2070"/>
      <c r="Z205" s="2070"/>
      <c r="AA205" s="2070"/>
      <c r="AB205" s="2070"/>
      <c r="AC205" s="2242"/>
      <c r="AD205" s="2242"/>
      <c r="AE205" s="2242"/>
      <c r="AF205" s="2242"/>
      <c r="AG205" s="2070"/>
    </row>
    <row r="206" spans="2:33">
      <c r="B206" s="2070"/>
      <c r="C206" s="2070"/>
      <c r="D206" s="2070"/>
      <c r="E206" s="2070"/>
      <c r="F206" s="2070"/>
      <c r="G206" s="2070"/>
      <c r="H206" s="2070"/>
      <c r="I206" s="2070"/>
      <c r="J206" s="2475"/>
      <c r="K206" s="2070"/>
      <c r="L206" s="2070"/>
      <c r="M206" s="2070"/>
      <c r="N206" s="2070"/>
      <c r="O206" s="2070"/>
      <c r="P206" s="2242"/>
      <c r="Q206" s="2070"/>
      <c r="R206" s="2070"/>
      <c r="S206" s="2070"/>
      <c r="T206" s="2070"/>
      <c r="U206" s="2070"/>
      <c r="V206" s="2070"/>
      <c r="W206" s="2070"/>
      <c r="X206" s="2070"/>
      <c r="Y206" s="2070"/>
      <c r="Z206" s="2070"/>
      <c r="AA206" s="2070"/>
      <c r="AB206" s="2070"/>
      <c r="AC206" s="2242"/>
      <c r="AD206" s="2242"/>
      <c r="AE206" s="2242"/>
      <c r="AF206" s="2242"/>
      <c r="AG206" s="2070"/>
    </row>
    <row r="207" spans="2:33">
      <c r="B207" s="2070"/>
      <c r="C207" s="2070"/>
      <c r="D207" s="2070"/>
      <c r="E207" s="2070"/>
      <c r="F207" s="2070"/>
      <c r="G207" s="2070"/>
      <c r="H207" s="2070"/>
      <c r="I207" s="2070"/>
      <c r="J207" s="2475"/>
      <c r="K207" s="2070"/>
      <c r="L207" s="2070"/>
      <c r="M207" s="2070"/>
      <c r="N207" s="2070"/>
      <c r="O207" s="2070"/>
      <c r="P207" s="2242"/>
      <c r="Q207" s="2070"/>
      <c r="R207" s="2070"/>
      <c r="S207" s="2070"/>
      <c r="T207" s="2070"/>
      <c r="U207" s="2070"/>
      <c r="V207" s="2070"/>
      <c r="W207" s="2070"/>
      <c r="X207" s="2070"/>
      <c r="Y207" s="2070"/>
      <c r="Z207" s="2070"/>
      <c r="AA207" s="2070"/>
      <c r="AB207" s="2070"/>
      <c r="AC207" s="2242"/>
      <c r="AD207" s="2242"/>
      <c r="AE207" s="2242"/>
      <c r="AF207" s="2242"/>
      <c r="AG207" s="2070"/>
    </row>
    <row r="208" spans="2:33">
      <c r="B208" s="2070"/>
      <c r="C208" s="2070"/>
      <c r="D208" s="2070"/>
      <c r="E208" s="2070"/>
      <c r="F208" s="2070"/>
      <c r="G208" s="2070"/>
      <c r="H208" s="2070"/>
      <c r="I208" s="2070"/>
      <c r="J208" s="2475"/>
      <c r="K208" s="2070"/>
      <c r="L208" s="2070"/>
      <c r="M208" s="2070"/>
      <c r="N208" s="2070"/>
      <c r="O208" s="2070"/>
      <c r="P208" s="2242"/>
      <c r="Q208" s="2070"/>
      <c r="R208" s="2070"/>
      <c r="S208" s="2070"/>
      <c r="T208" s="2070"/>
      <c r="U208" s="2070"/>
      <c r="V208" s="2070"/>
      <c r="W208" s="2070"/>
      <c r="X208" s="2070"/>
      <c r="Y208" s="2070"/>
      <c r="Z208" s="2070"/>
      <c r="AA208" s="2070"/>
      <c r="AB208" s="2070"/>
      <c r="AC208" s="2242"/>
      <c r="AD208" s="2242"/>
      <c r="AE208" s="2242"/>
      <c r="AF208" s="2242"/>
      <c r="AG208" s="2070"/>
    </row>
    <row r="209" spans="2:33">
      <c r="B209" s="2070"/>
      <c r="C209" s="2070"/>
      <c r="D209" s="2070"/>
      <c r="E209" s="2070"/>
      <c r="F209" s="2070"/>
      <c r="G209" s="2070"/>
      <c r="H209" s="2070"/>
      <c r="I209" s="2070"/>
      <c r="J209" s="2475"/>
      <c r="K209" s="2070"/>
      <c r="L209" s="2070"/>
      <c r="M209" s="2070"/>
      <c r="N209" s="2070"/>
      <c r="O209" s="2070"/>
      <c r="P209" s="2242"/>
      <c r="Q209" s="2070"/>
      <c r="R209" s="2070"/>
      <c r="S209" s="2070"/>
      <c r="T209" s="2070"/>
      <c r="U209" s="2070"/>
      <c r="V209" s="2070"/>
      <c r="W209" s="2070"/>
      <c r="X209" s="2070"/>
      <c r="Y209" s="2070"/>
      <c r="Z209" s="2070"/>
      <c r="AA209" s="2070"/>
      <c r="AB209" s="2070"/>
      <c r="AC209" s="2242"/>
      <c r="AD209" s="2242"/>
      <c r="AE209" s="2242"/>
      <c r="AF209" s="2242"/>
      <c r="AG209" s="2070"/>
    </row>
    <row r="210" spans="2:33">
      <c r="B210" s="2070"/>
      <c r="C210" s="2070"/>
      <c r="D210" s="2070"/>
      <c r="E210" s="2070"/>
      <c r="F210" s="2070"/>
      <c r="G210" s="2070"/>
      <c r="H210" s="2070"/>
      <c r="I210" s="2070"/>
      <c r="J210" s="2475"/>
      <c r="K210" s="2070"/>
      <c r="L210" s="2070"/>
      <c r="M210" s="2070"/>
      <c r="N210" s="2070"/>
      <c r="O210" s="2070"/>
      <c r="P210" s="2242"/>
      <c r="Q210" s="2070"/>
      <c r="R210" s="2070"/>
      <c r="S210" s="2070"/>
      <c r="T210" s="2070"/>
      <c r="U210" s="2070"/>
      <c r="V210" s="2070"/>
      <c r="W210" s="2070"/>
      <c r="X210" s="2070"/>
      <c r="Y210" s="2070"/>
      <c r="Z210" s="2070"/>
      <c r="AA210" s="2070"/>
      <c r="AB210" s="2070"/>
      <c r="AC210" s="2242"/>
      <c r="AD210" s="2242"/>
      <c r="AE210" s="2242"/>
      <c r="AF210" s="2242"/>
      <c r="AG210" s="2070"/>
    </row>
    <row r="211" spans="2:33">
      <c r="B211" s="2070"/>
      <c r="C211" s="2070"/>
      <c r="D211" s="2070"/>
      <c r="E211" s="2070"/>
      <c r="F211" s="2070"/>
      <c r="G211" s="2070"/>
      <c r="H211" s="2070"/>
      <c r="I211" s="2070"/>
      <c r="J211" s="2475"/>
      <c r="K211" s="2070"/>
      <c r="L211" s="2070"/>
      <c r="M211" s="2070"/>
      <c r="N211" s="2070"/>
      <c r="O211" s="2070"/>
      <c r="P211" s="2242"/>
      <c r="Q211" s="2070"/>
      <c r="R211" s="2070"/>
      <c r="S211" s="2070"/>
      <c r="T211" s="2070"/>
      <c r="U211" s="2070"/>
      <c r="V211" s="2070"/>
      <c r="W211" s="2070"/>
      <c r="X211" s="2070"/>
      <c r="Y211" s="2070"/>
      <c r="Z211" s="2070"/>
      <c r="AA211" s="2070"/>
      <c r="AB211" s="2070"/>
      <c r="AC211" s="2242"/>
      <c r="AD211" s="2242"/>
      <c r="AE211" s="2242"/>
      <c r="AF211" s="2242"/>
      <c r="AG211" s="2070"/>
    </row>
    <row r="212" spans="2:33">
      <c r="B212" s="2070"/>
      <c r="C212" s="2070"/>
      <c r="D212" s="2070"/>
      <c r="E212" s="2070"/>
      <c r="F212" s="2070"/>
      <c r="G212" s="2070"/>
      <c r="H212" s="2070"/>
      <c r="I212" s="2070"/>
      <c r="J212" s="2475"/>
      <c r="K212" s="2070"/>
      <c r="L212" s="2070"/>
      <c r="M212" s="2070"/>
      <c r="N212" s="2070"/>
      <c r="O212" s="2070"/>
      <c r="P212" s="2242"/>
      <c r="Q212" s="2070"/>
      <c r="R212" s="2070"/>
      <c r="S212" s="2070"/>
      <c r="T212" s="2070"/>
      <c r="U212" s="2070"/>
      <c r="V212" s="2070"/>
      <c r="W212" s="2070"/>
      <c r="X212" s="2070"/>
      <c r="Y212" s="2070"/>
      <c r="Z212" s="2070"/>
      <c r="AA212" s="2070"/>
      <c r="AB212" s="2070"/>
      <c r="AC212" s="2242"/>
      <c r="AD212" s="2242"/>
      <c r="AE212" s="2242"/>
      <c r="AF212" s="2242"/>
      <c r="AG212" s="2070"/>
    </row>
    <row r="213" spans="2:33">
      <c r="B213" s="2070"/>
      <c r="C213" s="2070"/>
      <c r="D213" s="2070"/>
      <c r="E213" s="2070"/>
      <c r="F213" s="2070"/>
      <c r="G213" s="2070"/>
      <c r="H213" s="2070"/>
      <c r="I213" s="2070"/>
      <c r="J213" s="2475"/>
      <c r="K213" s="2070"/>
      <c r="L213" s="2070"/>
      <c r="M213" s="2070"/>
      <c r="N213" s="2070"/>
      <c r="O213" s="2070"/>
      <c r="P213" s="2242"/>
      <c r="Q213" s="2070"/>
      <c r="R213" s="2070"/>
      <c r="S213" s="2070"/>
      <c r="T213" s="2070"/>
      <c r="U213" s="2070"/>
      <c r="V213" s="2070"/>
      <c r="W213" s="2070"/>
      <c r="X213" s="2070"/>
      <c r="Y213" s="2070"/>
      <c r="Z213" s="2070"/>
      <c r="AA213" s="2070"/>
      <c r="AB213" s="2070"/>
      <c r="AC213" s="2242"/>
      <c r="AD213" s="2242"/>
      <c r="AE213" s="2242"/>
      <c r="AF213" s="2242"/>
      <c r="AG213" s="2070"/>
    </row>
    <row r="214" spans="2:33">
      <c r="B214" s="2070"/>
      <c r="C214" s="2070"/>
      <c r="D214" s="2070"/>
      <c r="E214" s="2070"/>
      <c r="F214" s="2070"/>
      <c r="G214" s="2070"/>
      <c r="H214" s="2070"/>
      <c r="I214" s="2070"/>
      <c r="J214" s="2475"/>
      <c r="K214" s="2070"/>
      <c r="L214" s="2070"/>
      <c r="M214" s="2070"/>
      <c r="N214" s="2070"/>
      <c r="O214" s="2070"/>
      <c r="P214" s="2242"/>
      <c r="Q214" s="2070"/>
      <c r="R214" s="2070"/>
      <c r="S214" s="2070"/>
      <c r="T214" s="2070"/>
      <c r="U214" s="2070"/>
      <c r="V214" s="2070"/>
      <c r="W214" s="2070"/>
      <c r="X214" s="2070"/>
      <c r="Y214" s="2070"/>
      <c r="Z214" s="2070"/>
      <c r="AA214" s="2070"/>
      <c r="AB214" s="2070"/>
      <c r="AC214" s="2242"/>
      <c r="AD214" s="2242"/>
      <c r="AE214" s="2242"/>
      <c r="AF214" s="2242"/>
      <c r="AG214" s="2070"/>
    </row>
  </sheetData>
  <mergeCells count="1">
    <mergeCell ref="AB8:AK8"/>
  </mergeCells>
  <pageMargins left="0.25" right="0.25" top="0.5" bottom="0.25" header="0.3" footer="0.3"/>
  <pageSetup scale="40" firstPageNumber="21" fitToHeight="2" orientation="landscape" useFirstPageNumber="1" r:id="rId1"/>
  <headerFooter scaleWithDoc="0" alignWithMargins="0">
    <oddFooter>&amp;C&amp;8&amp;P</oddFooter>
  </headerFooter>
  <rowBreaks count="1" manualBreakCount="1">
    <brk id="88" min="1" max="36" man="1"/>
  </rowBreaks>
  <ignoredErrors>
    <ignoredError sqref="AK86 AK130:AK131 AK118:AK119 AK121:AK128 AK17:AK21 AK89:AK91 AK103:AK109 AK69:AK71 AK81:AK82 AK93:AK94 AK54:AK58 AK60:AK64 AK32:AK33 AK37:AK49 AK66:AK67 AK111:AK116 AK24:AK30 AK96:AK101" unlockedFormula="1"/>
    <ignoredError sqref="AI20 AK80 AK50 D22 AK85 AK35 AK22 X22" formula="1"/>
    <ignoredError sqref="AK72:AK76 AK129 AK102 AK78 AK5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3"/>
  <sheetViews>
    <sheetView showGridLines="0" zoomScale="80" workbookViewId="0"/>
  </sheetViews>
  <sheetFormatPr defaultColWidth="8.88671875" defaultRowHeight="15"/>
  <cols>
    <col min="1" max="1" width="1.88671875" style="2067" customWidth="1"/>
    <col min="2" max="2" width="45.44140625" style="2067" customWidth="1"/>
    <col min="3" max="3" width="1.88671875" style="2067" customWidth="1"/>
    <col min="4" max="4" width="12.44140625" style="2067" bestFit="1" customWidth="1"/>
    <col min="5" max="5" width="1.88671875" style="2583" customWidth="1"/>
    <col min="6" max="6" width="12.109375" style="2067" bestFit="1" customWidth="1"/>
    <col min="7" max="7" width="1.88671875" style="2583" customWidth="1"/>
    <col min="8" max="8" width="12.109375" style="2067" customWidth="1"/>
    <col min="9" max="9" width="1.88671875" style="2583" customWidth="1"/>
    <col min="10" max="10" width="9.5546875" style="2067" customWidth="1"/>
    <col min="11" max="11" width="1.88671875" style="2583" customWidth="1"/>
    <col min="12" max="12" width="13.44140625" style="2067" customWidth="1"/>
    <col min="13" max="13" width="1.88671875" style="2583" customWidth="1"/>
    <col min="14" max="14" width="14.109375" style="2067" customWidth="1"/>
    <col min="15" max="15" width="1.88671875" style="2583" customWidth="1"/>
    <col min="16" max="16" width="14.109375" style="2067" customWidth="1"/>
    <col min="17" max="17" width="1.88671875" style="2583" customWidth="1"/>
    <col min="18" max="18" width="14.109375" style="2067" customWidth="1"/>
    <col min="19" max="19" width="1.88671875" style="2583" customWidth="1"/>
    <col min="20" max="20" width="14.109375" style="2235" customWidth="1"/>
    <col min="21" max="21" width="1.88671875" style="2583" customWidth="1"/>
    <col min="22" max="22" width="14.109375" style="2067" customWidth="1"/>
    <col min="23" max="23" width="1.88671875" style="2583" customWidth="1"/>
    <col min="24" max="24" width="14.109375" style="2067" customWidth="1"/>
    <col min="25" max="25" width="1.88671875" style="2583" customWidth="1"/>
    <col min="26" max="26" width="14.109375" style="2067" customWidth="1"/>
    <col min="27" max="27" width="1.88671875" style="2067" customWidth="1"/>
    <col min="28" max="28" width="14.109375" style="2067" bestFit="1" customWidth="1"/>
    <col min="29" max="29" width="1.88671875" style="2067" customWidth="1"/>
    <col min="30" max="30" width="12.5546875" style="2235" bestFit="1" customWidth="1"/>
    <col min="31" max="31" width="1.44140625" style="2235" customWidth="1"/>
    <col min="32" max="32" width="1.109375" style="2235" customWidth="1"/>
    <col min="33" max="33" width="12.5546875" style="2235" bestFit="1" customWidth="1"/>
    <col min="34" max="34" width="0.88671875" style="2235" customWidth="1"/>
    <col min="35" max="35" width="0.88671875" style="2067" customWidth="1"/>
    <col min="36" max="36" width="12.88671875" style="2067" customWidth="1"/>
    <col min="37" max="37" width="0.88671875" style="2067" customWidth="1"/>
    <col min="38" max="38" width="10.88671875" style="1461" customWidth="1"/>
    <col min="39" max="16384" width="8.88671875" style="2067"/>
  </cols>
  <sheetData>
    <row r="1" spans="1:43">
      <c r="B1" s="2285" t="s">
        <v>979</v>
      </c>
    </row>
    <row r="2" spans="1:43" ht="15.75">
      <c r="A2" s="2580"/>
      <c r="N2" s="2479"/>
    </row>
    <row r="3" spans="1:43" s="2235" customFormat="1" ht="18">
      <c r="A3" s="3227"/>
      <c r="B3" s="3228" t="s">
        <v>0</v>
      </c>
      <c r="E3" s="2596"/>
      <c r="G3" s="2596"/>
      <c r="I3" s="2596"/>
      <c r="K3" s="2596"/>
      <c r="M3" s="2596"/>
      <c r="N3" s="2608"/>
      <c r="O3" s="2596"/>
      <c r="Q3" s="2596"/>
      <c r="S3" s="2596"/>
      <c r="U3" s="2596"/>
      <c r="W3" s="2596"/>
      <c r="Y3" s="2596"/>
      <c r="AE3" s="3229"/>
      <c r="AF3" s="3229"/>
      <c r="AG3" s="3229"/>
      <c r="AH3" s="3229"/>
      <c r="AI3" s="3229"/>
      <c r="AJ3" s="3229"/>
      <c r="AK3" s="3229"/>
      <c r="AL3" s="3230" t="s">
        <v>169</v>
      </c>
    </row>
    <row r="4" spans="1:43" s="2235" customFormat="1" ht="18">
      <c r="A4" s="3227"/>
      <c r="B4" s="3228" t="s">
        <v>1189</v>
      </c>
      <c r="E4" s="2596"/>
      <c r="G4" s="2596"/>
      <c r="I4" s="2596"/>
      <c r="K4" s="2596"/>
      <c r="L4" s="2608"/>
      <c r="M4" s="2596"/>
      <c r="O4" s="2596"/>
      <c r="Q4" s="2596"/>
      <c r="S4" s="2596"/>
      <c r="U4" s="2596"/>
      <c r="W4" s="2596"/>
      <c r="Y4" s="2596"/>
      <c r="AL4" s="3231"/>
    </row>
    <row r="5" spans="1:43" s="2235" customFormat="1" ht="18">
      <c r="A5" s="3227"/>
      <c r="B5" s="1504" t="s">
        <v>149</v>
      </c>
      <c r="E5" s="2596"/>
      <c r="G5" s="2596"/>
      <c r="I5" s="2596"/>
      <c r="K5" s="2596"/>
      <c r="L5" s="2517"/>
      <c r="M5" s="2596"/>
      <c r="O5" s="2596"/>
      <c r="Q5" s="2596"/>
      <c r="S5" s="2596"/>
      <c r="U5" s="2596"/>
      <c r="W5" s="2596"/>
      <c r="X5" s="2241"/>
      <c r="Y5" s="2596"/>
      <c r="AL5" s="3231"/>
    </row>
    <row r="6" spans="1:43" s="2235" customFormat="1" ht="20.25">
      <c r="A6" s="3227"/>
      <c r="B6" s="1504" t="str">
        <f>'Cashflow Governmental'!A6</f>
        <v xml:space="preserve">FISCAL YEAR 2019-2020   </v>
      </c>
      <c r="E6" s="2596"/>
      <c r="G6" s="2596"/>
      <c r="I6" s="2596"/>
      <c r="K6" s="2596"/>
      <c r="L6" s="2517"/>
      <c r="M6" s="2596"/>
      <c r="O6" s="2596"/>
      <c r="Q6" s="2596"/>
      <c r="S6" s="2596"/>
      <c r="U6" s="2596"/>
      <c r="W6" s="2596"/>
      <c r="Y6" s="2596"/>
      <c r="AL6" s="3232"/>
    </row>
    <row r="7" spans="1:43" s="2235" customFormat="1" ht="18">
      <c r="A7" s="3227"/>
      <c r="B7" s="3228" t="s">
        <v>1418</v>
      </c>
      <c r="E7" s="2596"/>
      <c r="G7" s="2596"/>
      <c r="I7" s="2596"/>
      <c r="K7" s="2596"/>
      <c r="M7" s="2596"/>
      <c r="O7" s="2596"/>
      <c r="Q7" s="2596"/>
      <c r="S7" s="2596"/>
      <c r="U7" s="2596"/>
      <c r="W7" s="2596"/>
      <c r="Y7" s="2596"/>
      <c r="AI7" s="2517"/>
      <c r="AJ7" s="2517"/>
      <c r="AK7" s="2517"/>
      <c r="AL7" s="2558"/>
    </row>
    <row r="8" spans="1:43">
      <c r="A8" s="2580"/>
      <c r="L8" s="2089"/>
      <c r="N8" s="2089"/>
      <c r="AC8" s="2089"/>
      <c r="AD8" s="2517"/>
      <c r="AE8" s="2517"/>
      <c r="AF8" s="2517"/>
      <c r="AG8" s="2517"/>
      <c r="AH8" s="2517"/>
      <c r="AI8" s="2089"/>
      <c r="AJ8" s="2089"/>
      <c r="AK8" s="2089"/>
      <c r="AL8" s="2521"/>
    </row>
    <row r="9" spans="1:43" s="2070" customFormat="1" ht="19.5" customHeight="1">
      <c r="A9" s="2474"/>
      <c r="E9" s="2583"/>
      <c r="G9" s="2583"/>
      <c r="I9" s="2583"/>
      <c r="K9" s="2583"/>
      <c r="L9" s="2585"/>
      <c r="M9" s="2583"/>
      <c r="N9" s="2585"/>
      <c r="O9" s="2583"/>
      <c r="Q9" s="2583"/>
      <c r="S9" s="2583"/>
      <c r="T9" s="2242"/>
      <c r="U9" s="2583"/>
      <c r="W9" s="2583"/>
      <c r="Y9" s="2583"/>
      <c r="AB9" s="2493" t="s">
        <v>1285</v>
      </c>
      <c r="AC9" s="3928" t="s">
        <v>1594</v>
      </c>
      <c r="AD9" s="3928"/>
      <c r="AE9" s="3928"/>
      <c r="AF9" s="3928"/>
      <c r="AG9" s="3928"/>
      <c r="AH9" s="3928"/>
      <c r="AI9" s="3928"/>
      <c r="AJ9" s="3928"/>
      <c r="AK9" s="3928"/>
      <c r="AL9" s="3928"/>
    </row>
    <row r="10" spans="1:43" ht="15.75">
      <c r="A10" s="2580"/>
      <c r="D10" s="2586" t="str">
        <f>'Cashflow Governmental'!C13</f>
        <v>2019</v>
      </c>
      <c r="F10" s="2479"/>
      <c r="H10" s="2479"/>
      <c r="J10" s="2479"/>
      <c r="L10" s="2479"/>
      <c r="N10" s="2479"/>
      <c r="P10" s="2479"/>
      <c r="R10" s="2479"/>
      <c r="T10" s="2608"/>
      <c r="V10" s="2586" t="str">
        <f>'Cashflow Governmental'!U13</f>
        <v>2020</v>
      </c>
      <c r="X10" s="2479"/>
      <c r="Z10" s="2479"/>
      <c r="AA10" s="2479"/>
      <c r="AB10" s="2493" t="s">
        <v>1286</v>
      </c>
      <c r="AC10" s="2479"/>
      <c r="AD10" s="2489"/>
      <c r="AE10" s="2489"/>
      <c r="AF10" s="2489"/>
      <c r="AG10" s="2489"/>
      <c r="AH10" s="2489"/>
      <c r="AI10" s="2480"/>
      <c r="AJ10" s="2491" t="s">
        <v>8</v>
      </c>
      <c r="AK10" s="2487"/>
      <c r="AL10" s="2492" t="s">
        <v>9</v>
      </c>
      <c r="AM10" s="2480"/>
      <c r="AN10" s="2480"/>
      <c r="AO10" s="2480"/>
      <c r="AP10" s="2480"/>
      <c r="AQ10" s="2480"/>
    </row>
    <row r="11" spans="1:43" ht="15.75">
      <c r="A11" s="2580"/>
      <c r="D11" s="2493" t="s">
        <v>125</v>
      </c>
      <c r="F11" s="2493" t="s">
        <v>126</v>
      </c>
      <c r="H11" s="2493" t="s">
        <v>127</v>
      </c>
      <c r="J11" s="2493" t="s">
        <v>128</v>
      </c>
      <c r="L11" s="2587" t="s">
        <v>129</v>
      </c>
      <c r="N11" s="2493" t="s">
        <v>144</v>
      </c>
      <c r="P11" s="2493" t="s">
        <v>145</v>
      </c>
      <c r="R11" s="2493" t="s">
        <v>132</v>
      </c>
      <c r="T11" s="3534" t="s">
        <v>133</v>
      </c>
      <c r="V11" s="2493" t="s">
        <v>134</v>
      </c>
      <c r="X11" s="2493" t="s">
        <v>135</v>
      </c>
      <c r="Z11" s="2493" t="s">
        <v>186</v>
      </c>
      <c r="AA11" s="2493"/>
      <c r="AB11" s="2587" t="s">
        <v>1287</v>
      </c>
      <c r="AC11" s="2479"/>
      <c r="AD11" s="2650">
        <f>'Cashflow Governmental'!AB14</f>
        <v>2020</v>
      </c>
      <c r="AE11" s="2608" t="s">
        <v>15</v>
      </c>
      <c r="AF11" s="2611"/>
      <c r="AG11" s="2650">
        <f>'Cashflow Governmental'!AE14</f>
        <v>2019</v>
      </c>
      <c r="AH11" s="3632"/>
      <c r="AI11" s="2480"/>
      <c r="AJ11" s="2498" t="s">
        <v>12</v>
      </c>
      <c r="AK11" s="2480"/>
      <c r="AL11" s="2498" t="s">
        <v>13</v>
      </c>
      <c r="AM11" s="2480"/>
      <c r="AN11" s="2480"/>
      <c r="AO11" s="2480"/>
      <c r="AP11" s="2480"/>
      <c r="AQ11" s="2480"/>
    </row>
    <row r="12" spans="1:43" ht="5.25" customHeight="1">
      <c r="A12" s="2580"/>
      <c r="D12" s="2500"/>
      <c r="F12" s="2500"/>
      <c r="H12" s="2500"/>
      <c r="J12" s="2500"/>
      <c r="L12" s="2500"/>
      <c r="N12" s="2588"/>
      <c r="P12" s="2500"/>
      <c r="R12" s="2500"/>
      <c r="T12" s="3174"/>
      <c r="V12" s="2500"/>
      <c r="X12" s="2500"/>
      <c r="Z12" s="2500"/>
      <c r="AA12" s="2066"/>
      <c r="AD12" s="3174"/>
      <c r="AG12" s="3174"/>
      <c r="AH12" s="2234"/>
      <c r="AI12" s="2589"/>
    </row>
    <row r="13" spans="1:43" ht="15" customHeight="1">
      <c r="A13" s="2089"/>
      <c r="B13" s="2590" t="s">
        <v>1245</v>
      </c>
      <c r="C13" s="2089"/>
      <c r="D13" s="2074">
        <f>'Exhibit G State'!D13+'Exhibit G Federal'!D13</f>
        <v>3842.4000000000005</v>
      </c>
      <c r="F13" s="2507">
        <f>D121</f>
        <v>7002.4</v>
      </c>
      <c r="H13" s="2507">
        <f>F121</f>
        <v>6268.9</v>
      </c>
      <c r="J13" s="2507">
        <f>H121</f>
        <v>7986.6</v>
      </c>
      <c r="L13" s="2507">
        <f>J121</f>
        <v>6880.6</v>
      </c>
      <c r="N13" s="2507">
        <f>L121</f>
        <v>7461.3</v>
      </c>
      <c r="P13" s="2507">
        <f>N121</f>
        <v>6241.5</v>
      </c>
      <c r="R13" s="2507">
        <f>P121</f>
        <v>5866.6</v>
      </c>
      <c r="T13" s="2074">
        <f>R121</f>
        <v>5599.5</v>
      </c>
      <c r="V13" s="2507">
        <f>T121</f>
        <v>6862.8</v>
      </c>
      <c r="X13" s="2507">
        <f>V121</f>
        <v>7175.4</v>
      </c>
      <c r="Z13" s="2507"/>
      <c r="AA13" s="2507"/>
      <c r="AB13" s="2507">
        <v>0</v>
      </c>
      <c r="AC13" s="2591"/>
      <c r="AD13" s="2074">
        <f>D13</f>
        <v>3842.4000000000005</v>
      </c>
      <c r="AE13" s="2074"/>
      <c r="AF13" s="3606"/>
      <c r="AG13" s="2505">
        <f>'Exhibit G State'!AG13+'Exhibit G Federal'!AG13</f>
        <v>4302.1000000000004</v>
      </c>
      <c r="AH13" s="3633"/>
      <c r="AI13" s="2064"/>
      <c r="AJ13" s="2592">
        <f>AD13-AG13</f>
        <v>-459.69999999999982</v>
      </c>
      <c r="AK13" s="2593"/>
      <c r="AL13" s="2543">
        <f>(AD13-AG13)/AG13</f>
        <v>-0.10685479184584268</v>
      </c>
      <c r="AM13" s="2069"/>
      <c r="AN13" s="2069"/>
      <c r="AO13" s="2069"/>
      <c r="AP13" s="2069"/>
      <c r="AQ13" s="2069"/>
    </row>
    <row r="14" spans="1:43" ht="15" customHeight="1">
      <c r="A14" s="2089"/>
      <c r="B14" s="2089"/>
      <c r="C14" s="2089"/>
      <c r="AC14" s="2594"/>
      <c r="AF14" s="3607"/>
      <c r="AH14" s="3634"/>
      <c r="AI14" s="2066"/>
      <c r="AL14" s="1459"/>
    </row>
    <row r="15" spans="1:43" ht="15" customHeight="1">
      <c r="A15" s="2089"/>
      <c r="B15" s="2479" t="s">
        <v>14</v>
      </c>
      <c r="C15" s="2089"/>
      <c r="D15" s="2051"/>
      <c r="F15" s="2051"/>
      <c r="H15" s="2051"/>
      <c r="J15" s="2051"/>
      <c r="L15" s="2051"/>
      <c r="N15" s="2051"/>
      <c r="P15" s="2051"/>
      <c r="R15" s="2051"/>
      <c r="T15" s="2040"/>
      <c r="V15" s="2051"/>
      <c r="X15" s="2051"/>
      <c r="Z15" s="2051"/>
      <c r="AA15" s="2051"/>
      <c r="AB15" s="2051"/>
      <c r="AC15" s="2082"/>
      <c r="AD15" s="2040"/>
      <c r="AE15" s="2040"/>
      <c r="AF15" s="2084"/>
      <c r="AG15" s="2040"/>
      <c r="AH15" s="3635"/>
      <c r="AI15" s="2052"/>
      <c r="AJ15" s="2051"/>
      <c r="AL15" s="1459"/>
    </row>
    <row r="16" spans="1:43" ht="15" customHeight="1">
      <c r="A16" s="2089"/>
      <c r="B16" s="2514" t="s">
        <v>1097</v>
      </c>
      <c r="C16" s="2089"/>
      <c r="D16" s="2051"/>
      <c r="F16" s="2051"/>
      <c r="H16" s="2051"/>
      <c r="J16" s="2051"/>
      <c r="L16" s="2051"/>
      <c r="N16" s="2051"/>
      <c r="P16" s="2051"/>
      <c r="R16" s="2051"/>
      <c r="T16" s="2040"/>
      <c r="V16" s="2051"/>
      <c r="X16" s="2051"/>
      <c r="Z16" s="2051"/>
      <c r="AA16" s="2051"/>
      <c r="AB16" s="2051"/>
      <c r="AC16" s="2082"/>
      <c r="AD16" s="2040"/>
      <c r="AE16" s="2040"/>
      <c r="AF16" s="2084"/>
      <c r="AG16" s="2040"/>
      <c r="AH16" s="3635"/>
      <c r="AI16" s="2052"/>
      <c r="AJ16" s="2051"/>
      <c r="AL16" s="1459"/>
    </row>
    <row r="17" spans="1:38" s="2480" customFormat="1" ht="15" customHeight="1">
      <c r="A17" s="2479"/>
      <c r="B17" s="2595" t="s">
        <v>1100</v>
      </c>
      <c r="C17" s="2479"/>
      <c r="D17" s="2045">
        <f>'Exhibit G State'!D17</f>
        <v>0</v>
      </c>
      <c r="E17" s="1471"/>
      <c r="F17" s="2045">
        <f>'Exhibit G State'!F17</f>
        <v>0</v>
      </c>
      <c r="G17" s="1471"/>
      <c r="H17" s="2045">
        <f>'Exhibit G State'!H17</f>
        <v>0</v>
      </c>
      <c r="I17" s="2583"/>
      <c r="J17" s="2045">
        <f>'Exhibit G State'!J17</f>
        <v>0</v>
      </c>
      <c r="K17" s="2596"/>
      <c r="L17" s="2045">
        <f>'Exhibit G State'!L17</f>
        <v>0</v>
      </c>
      <c r="M17" s="2596"/>
      <c r="N17" s="2045">
        <f>'Exhibit G State'!N17</f>
        <v>0</v>
      </c>
      <c r="O17" s="2596"/>
      <c r="P17" s="2045">
        <f>'Exhibit G State'!P17</f>
        <v>0.2</v>
      </c>
      <c r="Q17" s="2596"/>
      <c r="R17" s="2045">
        <f>'Exhibit G State'!R17</f>
        <v>3</v>
      </c>
      <c r="S17" s="2596"/>
      <c r="T17" s="2045">
        <f>'Exhibit G State'!T17</f>
        <v>38.5</v>
      </c>
      <c r="U17" s="2596"/>
      <c r="V17" s="2045">
        <f>'Exhibit G State'!V17</f>
        <v>2107.4</v>
      </c>
      <c r="W17" s="2596"/>
      <c r="X17" s="2045">
        <f>'Exhibit G State'!X17</f>
        <v>0</v>
      </c>
      <c r="Y17" s="2596"/>
      <c r="Z17" s="2045"/>
      <c r="AA17" s="2045"/>
      <c r="AB17" s="1471">
        <v>0</v>
      </c>
      <c r="AC17" s="2591"/>
      <c r="AD17" s="2045">
        <f>ROUND(SUM(D17:Z17),1)</f>
        <v>2149.1</v>
      </c>
      <c r="AE17" s="2045"/>
      <c r="AF17" s="2046"/>
      <c r="AG17" s="2077">
        <f>'Exhibit G State'!AG17</f>
        <v>2410</v>
      </c>
      <c r="AH17" s="3636"/>
      <c r="AI17" s="2529"/>
      <c r="AJ17" s="1471">
        <f>ROUND(SUM(+AD17-AG17),1)</f>
        <v>-260.89999999999998</v>
      </c>
      <c r="AK17" s="2597"/>
      <c r="AL17" s="1466">
        <f>ROUND(IF(AG17=0,0,AJ17/ABS(AG17)),3)</f>
        <v>-0.108</v>
      </c>
    </row>
    <row r="18" spans="1:38" s="2480" customFormat="1" ht="6" customHeight="1">
      <c r="A18" s="2479"/>
      <c r="B18" s="2595"/>
      <c r="C18" s="2479"/>
      <c r="D18" s="2598"/>
      <c r="E18" s="2583"/>
      <c r="F18" s="2598"/>
      <c r="G18" s="2583"/>
      <c r="H18" s="2598"/>
      <c r="I18" s="2583"/>
      <c r="J18" s="2598"/>
      <c r="K18" s="2596"/>
      <c r="L18" s="2598"/>
      <c r="M18" s="2596"/>
      <c r="N18" s="2598"/>
      <c r="O18" s="2596"/>
      <c r="P18" s="2598"/>
      <c r="Q18" s="2596"/>
      <c r="R18" s="2598"/>
      <c r="S18" s="2596"/>
      <c r="T18" s="2598"/>
      <c r="U18" s="2596"/>
      <c r="V18" s="2598"/>
      <c r="W18" s="2596"/>
      <c r="X18" s="2598"/>
      <c r="Y18" s="2596"/>
      <c r="Z18" s="2598"/>
      <c r="AA18" s="2598"/>
      <c r="AB18" s="2507"/>
      <c r="AC18" s="2591"/>
      <c r="AD18" s="2071"/>
      <c r="AE18" s="2071"/>
      <c r="AF18" s="3608"/>
      <c r="AG18" s="2073"/>
      <c r="AH18" s="3637"/>
      <c r="AI18" s="2600"/>
      <c r="AJ18" s="2599"/>
      <c r="AK18" s="2597"/>
      <c r="AL18" s="1466"/>
    </row>
    <row r="19" spans="1:38" ht="15" customHeight="1">
      <c r="A19" s="2089"/>
      <c r="B19" s="2595" t="s">
        <v>1161</v>
      </c>
      <c r="C19" s="2089"/>
      <c r="D19" s="2040"/>
      <c r="F19" s="2040"/>
      <c r="H19" s="2040"/>
      <c r="J19" s="2040"/>
      <c r="K19" s="2596"/>
      <c r="L19" s="2040"/>
      <c r="M19" s="2596"/>
      <c r="N19" s="2040"/>
      <c r="O19" s="2596"/>
      <c r="P19" s="2040"/>
      <c r="Q19" s="2596"/>
      <c r="R19" s="2040"/>
      <c r="S19" s="2596"/>
      <c r="T19" s="2040"/>
      <c r="U19" s="2596"/>
      <c r="V19" s="2040"/>
      <c r="W19" s="2596"/>
      <c r="X19" s="2040"/>
      <c r="Y19" s="2596"/>
      <c r="Z19" s="2040"/>
      <c r="AA19" s="2040"/>
      <c r="AB19" s="2051"/>
      <c r="AC19" s="2082"/>
      <c r="AD19" s="2095"/>
      <c r="AE19" s="2095"/>
      <c r="AF19" s="2609"/>
      <c r="AG19" s="2095"/>
      <c r="AH19" s="3638"/>
      <c r="AI19" s="1472"/>
      <c r="AJ19" s="1489"/>
      <c r="AK19" s="2480"/>
      <c r="AL19" s="2543"/>
    </row>
    <row r="20" spans="1:38" ht="15" customHeight="1">
      <c r="A20" s="2089"/>
      <c r="B20" s="2601" t="s">
        <v>1112</v>
      </c>
      <c r="C20" s="2089"/>
      <c r="D20" s="2045">
        <f>'Exhibit G State'!D20</f>
        <v>124.1</v>
      </c>
      <c r="E20" s="1471"/>
      <c r="F20" s="2045">
        <f>'Exhibit G State'!F20</f>
        <v>76.400000000000006</v>
      </c>
      <c r="G20" s="1471"/>
      <c r="H20" s="2045">
        <f>'Exhibit G State'!H20</f>
        <v>102.80000000000001</v>
      </c>
      <c r="J20" s="2045">
        <f>'Exhibit G State'!J20</f>
        <v>79.099999999999937</v>
      </c>
      <c r="K20" s="2596"/>
      <c r="L20" s="2045">
        <f>'Exhibit G State'!L20</f>
        <v>80.300000000000097</v>
      </c>
      <c r="M20" s="2596"/>
      <c r="N20" s="2045">
        <f>'Exhibit G State'!N20</f>
        <v>104.79999999999995</v>
      </c>
      <c r="O20" s="2596"/>
      <c r="P20" s="2045">
        <f>'Exhibit G State'!P20</f>
        <v>80.999999999999972</v>
      </c>
      <c r="Q20" s="2596"/>
      <c r="R20" s="2045">
        <f>'Exhibit G State'!R20</f>
        <v>82.100000000000051</v>
      </c>
      <c r="S20" s="2596"/>
      <c r="T20" s="2045">
        <f>'Exhibit G State'!T20</f>
        <v>102.90000000000009</v>
      </c>
      <c r="U20" s="2596"/>
      <c r="V20" s="2045">
        <f>'Exhibit G State'!V20</f>
        <v>90.399999999999835</v>
      </c>
      <c r="W20" s="2596"/>
      <c r="X20" s="2045">
        <f>'Exhibit G State'!X20</f>
        <v>74.100000000000165</v>
      </c>
      <c r="Y20" s="2596"/>
      <c r="Z20" s="2045"/>
      <c r="AA20" s="2045"/>
      <c r="AB20" s="2051">
        <v>0</v>
      </c>
      <c r="AC20" s="2082"/>
      <c r="AD20" s="2040">
        <f>ROUND(SUM(D20:Z20),1)</f>
        <v>998</v>
      </c>
      <c r="AE20" s="2040"/>
      <c r="AF20" s="2084"/>
      <c r="AG20" s="2077">
        <f>'Exhibit G State'!AG20</f>
        <v>921.8</v>
      </c>
      <c r="AH20" s="3635"/>
      <c r="AI20" s="2052"/>
      <c r="AJ20" s="1471">
        <f t="shared" ref="AJ20:AJ28" si="0">ROUND(SUM(+AD20-AG20),1)</f>
        <v>76.2</v>
      </c>
      <c r="AK20" s="2597"/>
      <c r="AL20" s="1466">
        <f t="shared" ref="AL20:AL28" si="1">ROUND(IF(AG20=0,0,AJ20/ABS(AG20)),3)</f>
        <v>8.3000000000000004E-2</v>
      </c>
    </row>
    <row r="21" spans="1:38" ht="15" customHeight="1">
      <c r="A21" s="2089"/>
      <c r="B21" s="2601" t="s">
        <v>1113</v>
      </c>
      <c r="C21" s="2089"/>
      <c r="D21" s="2045">
        <f>'Exhibit G State'!D21</f>
        <v>0</v>
      </c>
      <c r="E21" s="1471"/>
      <c r="F21" s="2045">
        <f>'Exhibit G State'!F21</f>
        <v>0</v>
      </c>
      <c r="G21" s="1471"/>
      <c r="H21" s="2045">
        <f>'Exhibit G State'!H21</f>
        <v>0</v>
      </c>
      <c r="J21" s="2045">
        <f>'Exhibit G State'!J21</f>
        <v>0</v>
      </c>
      <c r="K21" s="2596"/>
      <c r="L21" s="2045">
        <f>'Exhibit G State'!L21</f>
        <v>0</v>
      </c>
      <c r="M21" s="2596"/>
      <c r="N21" s="2045">
        <f>'Exhibit G State'!N21</f>
        <v>7.3</v>
      </c>
      <c r="O21" s="2596"/>
      <c r="P21" s="2045">
        <f>'Exhibit G State'!P21</f>
        <v>0</v>
      </c>
      <c r="Q21" s="2596"/>
      <c r="R21" s="2045">
        <f>'Exhibit G State'!R21</f>
        <v>0</v>
      </c>
      <c r="S21" s="2596"/>
      <c r="T21" s="2045">
        <f>'Exhibit G State'!T21</f>
        <v>5.6000000000000005</v>
      </c>
      <c r="U21" s="2596"/>
      <c r="V21" s="2045">
        <f>'Exhibit G State'!V21</f>
        <v>0</v>
      </c>
      <c r="W21" s="2596"/>
      <c r="X21" s="2045">
        <f>'Exhibit G State'!X21</f>
        <v>0</v>
      </c>
      <c r="Y21" s="2596"/>
      <c r="Z21" s="2045"/>
      <c r="AA21" s="2045"/>
      <c r="AB21" s="2051">
        <v>0</v>
      </c>
      <c r="AC21" s="2082"/>
      <c r="AD21" s="2040">
        <f>ROUND(SUM(D21:Z21),1)</f>
        <v>12.9</v>
      </c>
      <c r="AE21" s="2040"/>
      <c r="AF21" s="2084"/>
      <c r="AG21" s="2077">
        <f>'Exhibit G State'!AG21</f>
        <v>40.700000000000003</v>
      </c>
      <c r="AH21" s="3635"/>
      <c r="AI21" s="2052"/>
      <c r="AJ21" s="1471">
        <f t="shared" si="0"/>
        <v>-27.8</v>
      </c>
      <c r="AK21" s="2597"/>
      <c r="AL21" s="1466">
        <f t="shared" si="1"/>
        <v>-0.68300000000000005</v>
      </c>
    </row>
    <row r="22" spans="1:38" ht="15" customHeight="1">
      <c r="A22" s="2089"/>
      <c r="B22" s="2601" t="s">
        <v>1114</v>
      </c>
      <c r="C22" s="2089"/>
      <c r="D22" s="2045">
        <f>'Exhibit G State'!D22</f>
        <v>63.2</v>
      </c>
      <c r="E22" s="1471"/>
      <c r="F22" s="2045">
        <f>'Exhibit G State'!F22</f>
        <v>59.399999999999991</v>
      </c>
      <c r="G22" s="1471"/>
      <c r="H22" s="2045">
        <f>'Exhibit G State'!H22</f>
        <v>57.300000000000011</v>
      </c>
      <c r="J22" s="2045">
        <f>'Exhibit G State'!J22</f>
        <v>75.400000000000034</v>
      </c>
      <c r="K22" s="2596"/>
      <c r="L22" s="2045">
        <f>'Exhibit G State'!L22</f>
        <v>63.899999999999977</v>
      </c>
      <c r="M22" s="2596"/>
      <c r="N22" s="2045">
        <f>'Exhibit G State'!N22</f>
        <v>59.400000000000034</v>
      </c>
      <c r="O22" s="2596"/>
      <c r="P22" s="2045">
        <f>'Exhibit G State'!P22</f>
        <v>65.5</v>
      </c>
      <c r="Q22" s="2596"/>
      <c r="R22" s="2045">
        <f>'Exhibit G State'!R22</f>
        <v>57.799999999999955</v>
      </c>
      <c r="S22" s="2596"/>
      <c r="T22" s="2045">
        <f>'Exhibit G State'!T22</f>
        <v>68.899999999999977</v>
      </c>
      <c r="U22" s="2596"/>
      <c r="V22" s="2045">
        <f>'Exhibit G State'!V22</f>
        <v>55.300000000000011</v>
      </c>
      <c r="W22" s="2596"/>
      <c r="X22" s="2045">
        <f>'Exhibit G State'!X22</f>
        <v>45.299999999999955</v>
      </c>
      <c r="Y22" s="2596"/>
      <c r="Z22" s="2045"/>
      <c r="AA22" s="2045"/>
      <c r="AB22" s="2051">
        <v>0</v>
      </c>
      <c r="AC22" s="2082"/>
      <c r="AD22" s="2040">
        <f t="shared" ref="AD22:AD28" si="2">ROUND(SUM(D22:Z22),1)</f>
        <v>671.4</v>
      </c>
      <c r="AE22" s="2040"/>
      <c r="AF22" s="2084"/>
      <c r="AG22" s="2077">
        <f>'Exhibit G State'!AG22</f>
        <v>728.3</v>
      </c>
      <c r="AH22" s="3635"/>
      <c r="AI22" s="2052"/>
      <c r="AJ22" s="1471">
        <f t="shared" si="0"/>
        <v>-56.9</v>
      </c>
      <c r="AK22" s="2597"/>
      <c r="AL22" s="1466">
        <f t="shared" si="1"/>
        <v>-7.8E-2</v>
      </c>
    </row>
    <row r="23" spans="1:38" ht="15" customHeight="1">
      <c r="A23" s="2089"/>
      <c r="B23" s="2285" t="s">
        <v>1262</v>
      </c>
      <c r="C23" s="2089"/>
      <c r="D23" s="2045">
        <f>'Exhibit G State'!D23</f>
        <v>0.5</v>
      </c>
      <c r="E23" s="1471"/>
      <c r="F23" s="2045">
        <f>'Exhibit G State'!F23</f>
        <v>0.4</v>
      </c>
      <c r="G23" s="1471"/>
      <c r="H23" s="2045">
        <f>'Exhibit G State'!H23</f>
        <v>0.49999999999999989</v>
      </c>
      <c r="J23" s="2045">
        <f>'Exhibit G State'!J23</f>
        <v>0.5</v>
      </c>
      <c r="K23" s="2596"/>
      <c r="L23" s="2045">
        <f>'Exhibit G State'!L23</f>
        <v>0.4</v>
      </c>
      <c r="M23" s="2596"/>
      <c r="N23" s="2045">
        <f>'Exhibit G State'!N23</f>
        <v>0.49999999999999989</v>
      </c>
      <c r="O23" s="2596"/>
      <c r="P23" s="2045">
        <f>'Exhibit G State'!P23</f>
        <v>0.40000000000000036</v>
      </c>
      <c r="Q23" s="2596"/>
      <c r="R23" s="2045">
        <f>'Exhibit G State'!R23</f>
        <v>0.50000000000000011</v>
      </c>
      <c r="S23" s="2596"/>
      <c r="T23" s="2045">
        <f>'Exhibit G State'!T23</f>
        <v>0.59999999999999953</v>
      </c>
      <c r="U23" s="2596"/>
      <c r="V23" s="2045">
        <f>'Exhibit G State'!V23</f>
        <v>0.50000000000000011</v>
      </c>
      <c r="W23" s="2596"/>
      <c r="X23" s="2045">
        <f>'Exhibit G State'!X23</f>
        <v>0.49999999999999956</v>
      </c>
      <c r="Y23" s="2596"/>
      <c r="Z23" s="2045"/>
      <c r="AA23" s="2045"/>
      <c r="AB23" s="2051">
        <v>0</v>
      </c>
      <c r="AC23" s="2082"/>
      <c r="AD23" s="2040">
        <f t="shared" si="2"/>
        <v>5.3</v>
      </c>
      <c r="AE23" s="2040"/>
      <c r="AF23" s="2084"/>
      <c r="AG23" s="2077">
        <f>'Exhibit G State'!AG23</f>
        <v>3.6</v>
      </c>
      <c r="AH23" s="3635"/>
      <c r="AI23" s="2052"/>
      <c r="AJ23" s="1471">
        <f>ROUND(SUM(+AD23-AG23),1)</f>
        <v>1.7</v>
      </c>
      <c r="AK23" s="2597"/>
      <c r="AL23" s="1466">
        <f>ROUND(IF(AG23=0,1,AJ23/ABS(AG23)),3)</f>
        <v>0.47199999999999998</v>
      </c>
    </row>
    <row r="24" spans="1:38" ht="15" customHeight="1">
      <c r="A24" s="2089"/>
      <c r="B24" s="2601" t="s">
        <v>1115</v>
      </c>
      <c r="C24" s="2089"/>
      <c r="D24" s="2045">
        <f>'Exhibit G State'!D24</f>
        <v>9.6</v>
      </c>
      <c r="E24" s="1471"/>
      <c r="F24" s="2045">
        <f>'Exhibit G State'!F24</f>
        <v>9.4</v>
      </c>
      <c r="G24" s="1471"/>
      <c r="H24" s="2045">
        <f>'Exhibit G State'!H24</f>
        <v>9.4999999999999982</v>
      </c>
      <c r="J24" s="2045">
        <f>'Exhibit G State'!J24</f>
        <v>8.7999999999999989</v>
      </c>
      <c r="K24" s="2596"/>
      <c r="L24" s="2045">
        <f>'Exhibit G State'!L24</f>
        <v>10.1</v>
      </c>
      <c r="M24" s="2596"/>
      <c r="N24" s="2045">
        <f>'Exhibit G State'!N24</f>
        <v>9.1000000000000032</v>
      </c>
      <c r="O24" s="2596"/>
      <c r="P24" s="2045">
        <f>'Exhibit G State'!P24</f>
        <v>9.9999999999999982</v>
      </c>
      <c r="Q24" s="2596"/>
      <c r="R24" s="2045">
        <f>'Exhibit G State'!R24</f>
        <v>8.6000000000000032</v>
      </c>
      <c r="S24" s="2596"/>
      <c r="T24" s="2045">
        <f>'Exhibit G State'!T24</f>
        <v>8.4999999999999911</v>
      </c>
      <c r="U24" s="2596"/>
      <c r="V24" s="2045">
        <f>'Exhibit G State'!V24</f>
        <v>8.9000000000000075</v>
      </c>
      <c r="W24" s="2596"/>
      <c r="X24" s="2045">
        <f>'Exhibit G State'!X24</f>
        <v>7.5999999999999925</v>
      </c>
      <c r="Y24" s="2596"/>
      <c r="Z24" s="2045"/>
      <c r="AA24" s="2045"/>
      <c r="AB24" s="2051">
        <v>0</v>
      </c>
      <c r="AC24" s="2082"/>
      <c r="AD24" s="2040">
        <f t="shared" si="2"/>
        <v>100.1</v>
      </c>
      <c r="AE24" s="2040"/>
      <c r="AF24" s="2084"/>
      <c r="AG24" s="2077">
        <f>'Exhibit G State'!AG24</f>
        <v>102.3</v>
      </c>
      <c r="AH24" s="3635"/>
      <c r="AI24" s="2052"/>
      <c r="AJ24" s="1471">
        <f t="shared" si="0"/>
        <v>-2.2000000000000002</v>
      </c>
      <c r="AK24" s="2597"/>
      <c r="AL24" s="1466">
        <f t="shared" si="1"/>
        <v>-2.1999999999999999E-2</v>
      </c>
    </row>
    <row r="25" spans="1:38" ht="15" customHeight="1">
      <c r="A25" s="2089"/>
      <c r="B25" s="2601" t="s">
        <v>1116</v>
      </c>
      <c r="C25" s="2089"/>
      <c r="D25" s="2045">
        <f>'Exhibit G State'!D25</f>
        <v>0</v>
      </c>
      <c r="E25" s="1471"/>
      <c r="F25" s="2045">
        <f>'Exhibit G State'!F25</f>
        <v>0</v>
      </c>
      <c r="G25" s="1471"/>
      <c r="H25" s="2045">
        <f>'Exhibit G State'!H25</f>
        <v>0</v>
      </c>
      <c r="J25" s="2045">
        <f>'Exhibit G State'!J25</f>
        <v>0</v>
      </c>
      <c r="K25" s="2596"/>
      <c r="L25" s="2045">
        <f>'Exhibit G State'!L25</f>
        <v>0</v>
      </c>
      <c r="M25" s="2596"/>
      <c r="N25" s="2045">
        <f>'Exhibit G State'!N25</f>
        <v>0</v>
      </c>
      <c r="O25" s="2596"/>
      <c r="P25" s="2045">
        <f>'Exhibit G State'!P25</f>
        <v>0</v>
      </c>
      <c r="Q25" s="2596"/>
      <c r="R25" s="2045">
        <f>'Exhibit G State'!R25</f>
        <v>0</v>
      </c>
      <c r="S25" s="2596"/>
      <c r="T25" s="2045">
        <f>'Exhibit G State'!T25</f>
        <v>0</v>
      </c>
      <c r="U25" s="2596"/>
      <c r="V25" s="2045">
        <f>'Exhibit G State'!V25</f>
        <v>0</v>
      </c>
      <c r="W25" s="2596"/>
      <c r="X25" s="2045">
        <f>'Exhibit G State'!X25</f>
        <v>0</v>
      </c>
      <c r="Y25" s="2596"/>
      <c r="Z25" s="2045"/>
      <c r="AA25" s="2045"/>
      <c r="AB25" s="2051">
        <v>0</v>
      </c>
      <c r="AC25" s="2082"/>
      <c r="AD25" s="2040">
        <f t="shared" si="2"/>
        <v>0</v>
      </c>
      <c r="AE25" s="2040"/>
      <c r="AF25" s="2084"/>
      <c r="AG25" s="2077">
        <f>'Exhibit G State'!AG25</f>
        <v>0</v>
      </c>
      <c r="AH25" s="3635"/>
      <c r="AI25" s="2052"/>
      <c r="AJ25" s="1471">
        <f t="shared" si="0"/>
        <v>0</v>
      </c>
      <c r="AK25" s="2597"/>
      <c r="AL25" s="1466">
        <f t="shared" si="1"/>
        <v>0</v>
      </c>
    </row>
    <row r="26" spans="1:38" ht="15" customHeight="1">
      <c r="A26" s="2089"/>
      <c r="B26" s="2601" t="s">
        <v>1117</v>
      </c>
      <c r="C26" s="2089"/>
      <c r="D26" s="2045">
        <f>'Exhibit G State'!D26</f>
        <v>0</v>
      </c>
      <c r="E26" s="1471"/>
      <c r="F26" s="2045">
        <f>'Exhibit G State'!F26</f>
        <v>0.1</v>
      </c>
      <c r="G26" s="1471"/>
      <c r="H26" s="2045">
        <f>'Exhibit G State'!H26</f>
        <v>0.1</v>
      </c>
      <c r="J26" s="2045">
        <f>'Exhibit G State'!J26</f>
        <v>0</v>
      </c>
      <c r="K26" s="2596"/>
      <c r="L26" s="2045">
        <f>'Exhibit G State'!L26</f>
        <v>0</v>
      </c>
      <c r="M26" s="2596"/>
      <c r="N26" s="2045">
        <f>'Exhibit G State'!N26</f>
        <v>9.9999999999999978E-2</v>
      </c>
      <c r="O26" s="2596"/>
      <c r="P26" s="2045">
        <f>'Exhibit G State'!P26</f>
        <v>0</v>
      </c>
      <c r="Q26" s="2596"/>
      <c r="R26" s="2045">
        <f>'Exhibit G State'!R26</f>
        <v>0.10000000000000006</v>
      </c>
      <c r="S26" s="2596"/>
      <c r="T26" s="2045">
        <f>'Exhibit G State'!T26</f>
        <v>0</v>
      </c>
      <c r="U26" s="2596"/>
      <c r="V26" s="2045">
        <f>'Exhibit G State'!V26</f>
        <v>0</v>
      </c>
      <c r="W26" s="2596"/>
      <c r="X26" s="2045">
        <f>'Exhibit G State'!X26</f>
        <v>0.1</v>
      </c>
      <c r="Y26" s="2596"/>
      <c r="Z26" s="2045"/>
      <c r="AA26" s="2045"/>
      <c r="AB26" s="2051">
        <v>0</v>
      </c>
      <c r="AC26" s="2082"/>
      <c r="AD26" s="2040">
        <f t="shared" si="2"/>
        <v>0.5</v>
      </c>
      <c r="AE26" s="2040"/>
      <c r="AF26" s="2084"/>
      <c r="AG26" s="2077">
        <f>'Exhibit G State'!AG26</f>
        <v>-1.6</v>
      </c>
      <c r="AH26" s="3635"/>
      <c r="AI26" s="2052"/>
      <c r="AJ26" s="1471">
        <f t="shared" si="0"/>
        <v>2.1</v>
      </c>
      <c r="AK26" s="2597"/>
      <c r="AL26" s="1509">
        <f>ROUND(IF(AG26=0,1,AJ26/ABS(AG26)),3)</f>
        <v>1.3129999999999999</v>
      </c>
    </row>
    <row r="27" spans="1:38" ht="15" customHeight="1">
      <c r="A27" s="2089"/>
      <c r="B27" s="2285" t="s">
        <v>1564</v>
      </c>
      <c r="C27" s="2089"/>
      <c r="D27" s="2045">
        <f>'Exhibit G State'!D27</f>
        <v>0</v>
      </c>
      <c r="E27" s="1471"/>
      <c r="F27" s="2045">
        <f>'Exhibit G State'!F27</f>
        <v>0</v>
      </c>
      <c r="G27" s="1471"/>
      <c r="H27" s="2045">
        <f>'Exhibit G State'!H27</f>
        <v>0</v>
      </c>
      <c r="J27" s="2045">
        <f>'Exhibit G State'!J27</f>
        <v>0</v>
      </c>
      <c r="K27" s="2596"/>
      <c r="L27" s="2045">
        <f>'Exhibit G State'!L27</f>
        <v>0</v>
      </c>
      <c r="M27" s="2596"/>
      <c r="N27" s="2045">
        <f>'Exhibit G State'!N27</f>
        <v>0</v>
      </c>
      <c r="O27" s="2596"/>
      <c r="P27" s="2045">
        <f>'Exhibit G State'!P27</f>
        <v>0</v>
      </c>
      <c r="Q27" s="2596"/>
      <c r="R27" s="2045">
        <f>'Exhibit G State'!R27</f>
        <v>0</v>
      </c>
      <c r="S27" s="2596"/>
      <c r="T27" s="2045">
        <f>'Exhibit G State'!T27</f>
        <v>0</v>
      </c>
      <c r="U27" s="2596"/>
      <c r="V27" s="2045">
        <f>'Exhibit G State'!V27</f>
        <v>0</v>
      </c>
      <c r="W27" s="2596"/>
      <c r="X27" s="2045">
        <f>'Exhibit G State'!X27</f>
        <v>0</v>
      </c>
      <c r="Y27" s="2596"/>
      <c r="Z27" s="2045"/>
      <c r="AA27" s="2045"/>
      <c r="AB27" s="2051">
        <v>0</v>
      </c>
      <c r="AC27" s="2082"/>
      <c r="AD27" s="2040">
        <f t="shared" ref="AD27" si="3">ROUND(SUM(D27:Z27),1)</f>
        <v>0</v>
      </c>
      <c r="AE27" s="2040"/>
      <c r="AF27" s="2084"/>
      <c r="AG27" s="2077">
        <f>'Exhibit G State'!AG27</f>
        <v>0</v>
      </c>
      <c r="AH27" s="3635"/>
      <c r="AI27" s="2052"/>
      <c r="AJ27" s="1471">
        <f t="shared" ref="AJ27" si="4">ROUND(SUM(+AD27-AG27),1)</f>
        <v>0</v>
      </c>
      <c r="AK27" s="2597"/>
      <c r="AL27" s="1509">
        <f>ROUND(IF(AG27=0,0,AJ27/ABS(AG27)),3)</f>
        <v>0</v>
      </c>
    </row>
    <row r="28" spans="1:38" ht="15" customHeight="1">
      <c r="A28" s="2089"/>
      <c r="B28" s="2602" t="s">
        <v>1118</v>
      </c>
      <c r="C28" s="2089"/>
      <c r="D28" s="2045">
        <f>'Exhibit G State'!D28</f>
        <v>0</v>
      </c>
      <c r="E28" s="1471"/>
      <c r="F28" s="2045">
        <f>'Exhibit G State'!F28</f>
        <v>0</v>
      </c>
      <c r="G28" s="1471"/>
      <c r="H28" s="2045">
        <f>'Exhibit G State'!H28</f>
        <v>0</v>
      </c>
      <c r="J28" s="2045">
        <f>'Exhibit G State'!J28</f>
        <v>0</v>
      </c>
      <c r="K28" s="2596"/>
      <c r="L28" s="2045">
        <f>'Exhibit G State'!L28</f>
        <v>0</v>
      </c>
      <c r="M28" s="2596"/>
      <c r="N28" s="2045">
        <f>'Exhibit G State'!N28</f>
        <v>0</v>
      </c>
      <c r="O28" s="2596"/>
      <c r="P28" s="2045">
        <f>'Exhibit G State'!P28</f>
        <v>0</v>
      </c>
      <c r="Q28" s="2596"/>
      <c r="R28" s="2045">
        <f>'Exhibit G State'!R28</f>
        <v>0</v>
      </c>
      <c r="S28" s="2596"/>
      <c r="T28" s="2045">
        <f>'Exhibit G State'!T28</f>
        <v>0</v>
      </c>
      <c r="U28" s="2596"/>
      <c r="V28" s="2045">
        <f>'Exhibit G State'!V28</f>
        <v>0</v>
      </c>
      <c r="W28" s="2596"/>
      <c r="X28" s="2045">
        <f>'Exhibit G State'!X28</f>
        <v>0</v>
      </c>
      <c r="Y28" s="2596"/>
      <c r="Z28" s="2045"/>
      <c r="AA28" s="2045"/>
      <c r="AB28" s="2051">
        <v>0</v>
      </c>
      <c r="AC28" s="2082"/>
      <c r="AD28" s="2040">
        <f t="shared" si="2"/>
        <v>0</v>
      </c>
      <c r="AE28" s="2040"/>
      <c r="AF28" s="2084"/>
      <c r="AG28" s="2077">
        <f>'Exhibit G State'!AG28</f>
        <v>50.8</v>
      </c>
      <c r="AH28" s="3635"/>
      <c r="AI28" s="2052"/>
      <c r="AJ28" s="1471">
        <f t="shared" si="0"/>
        <v>-50.8</v>
      </c>
      <c r="AK28" s="2597"/>
      <c r="AL28" s="1466">
        <f t="shared" si="1"/>
        <v>-1</v>
      </c>
    </row>
    <row r="29" spans="1:38" s="2480" customFormat="1" ht="15" customHeight="1">
      <c r="A29" s="2479"/>
      <c r="B29" s="2603" t="s">
        <v>1233</v>
      </c>
      <c r="C29" s="2479"/>
      <c r="D29" s="2078">
        <f t="shared" ref="D29:F29" si="5">ROUND(SUM(D20:D28),1)</f>
        <v>197.4</v>
      </c>
      <c r="E29" s="2583"/>
      <c r="F29" s="2078">
        <f t="shared" si="5"/>
        <v>145.69999999999999</v>
      </c>
      <c r="G29" s="2583"/>
      <c r="H29" s="2526">
        <f>ROUND(SUM(H20:H28),1)</f>
        <v>170.2</v>
      </c>
      <c r="I29" s="2583"/>
      <c r="J29" s="2526">
        <f>ROUND(SUM(J20:J28),1)</f>
        <v>163.80000000000001</v>
      </c>
      <c r="K29" s="2583"/>
      <c r="L29" s="2078">
        <f t="shared" ref="L29:AB29" si="6">ROUND(SUM(L20:L28),1)</f>
        <v>154.69999999999999</v>
      </c>
      <c r="M29" s="2583"/>
      <c r="N29" s="2078">
        <f>ROUND(SUM(N20:N28),1)</f>
        <v>181.2</v>
      </c>
      <c r="O29" s="2583"/>
      <c r="P29" s="2078">
        <f>ROUND(SUM(P20:P28),1)</f>
        <v>156.9</v>
      </c>
      <c r="Q29" s="2583"/>
      <c r="R29" s="2078">
        <f t="shared" ref="R29" si="7">ROUND(SUM(R20:R28),1)</f>
        <v>149.1</v>
      </c>
      <c r="S29" s="2583"/>
      <c r="T29" s="2062">
        <f t="shared" si="6"/>
        <v>186.5</v>
      </c>
      <c r="U29" s="2583"/>
      <c r="V29" s="2078">
        <f t="shared" si="6"/>
        <v>155.1</v>
      </c>
      <c r="W29" s="2583"/>
      <c r="X29" s="2078">
        <f t="shared" ref="X29:Z29" si="8">ROUND(SUM(X20:X28),1)</f>
        <v>127.6</v>
      </c>
      <c r="Y29" s="2583"/>
      <c r="Z29" s="2078">
        <f t="shared" si="8"/>
        <v>0</v>
      </c>
      <c r="AA29" s="1472"/>
      <c r="AB29" s="2078">
        <f t="shared" si="6"/>
        <v>0</v>
      </c>
      <c r="AC29" s="2085"/>
      <c r="AD29" s="2062">
        <f>ROUND(SUM(AD20:AD28),1)</f>
        <v>1788.2</v>
      </c>
      <c r="AE29" s="2095"/>
      <c r="AF29" s="2609"/>
      <c r="AG29" s="2062">
        <f>ROUND(SUM(AG20:AG28),1)</f>
        <v>1845.9</v>
      </c>
      <c r="AH29" s="3638"/>
      <c r="AI29" s="1472"/>
      <c r="AJ29" s="2078">
        <f>ROUND(SUM(AJ20:AJ28),1)</f>
        <v>-57.7</v>
      </c>
      <c r="AL29" s="2604">
        <f>ROUND(SUM(+AJ29/AG29),3)</f>
        <v>-3.1E-2</v>
      </c>
    </row>
    <row r="30" spans="1:38" ht="15" customHeight="1">
      <c r="A30" s="2089"/>
      <c r="B30" s="2595" t="s">
        <v>1162</v>
      </c>
      <c r="C30" s="2089"/>
      <c r="D30" s="2051"/>
      <c r="F30" s="2051"/>
      <c r="H30" s="1471"/>
      <c r="J30" s="1471"/>
      <c r="L30" s="2051"/>
      <c r="N30" s="2051"/>
      <c r="P30" s="2051"/>
      <c r="R30" s="2051"/>
      <c r="T30" s="2040"/>
      <c r="V30" s="2051"/>
      <c r="X30" s="2051"/>
      <c r="Z30" s="2051"/>
      <c r="AA30" s="2051"/>
      <c r="AB30" s="2051"/>
      <c r="AC30" s="2082"/>
      <c r="AD30" s="2040"/>
      <c r="AE30" s="2040"/>
      <c r="AF30" s="2084"/>
      <c r="AG30" s="2040"/>
      <c r="AH30" s="3635"/>
      <c r="AI30" s="2052"/>
      <c r="AJ30" s="1471"/>
      <c r="AL30" s="1459"/>
    </row>
    <row r="31" spans="1:38" s="2235" customFormat="1" ht="15" customHeight="1">
      <c r="A31" s="2517"/>
      <c r="B31" s="2601" t="s">
        <v>1120</v>
      </c>
      <c r="C31" s="2517"/>
      <c r="D31" s="2040">
        <f>'Exhibit G State'!D31</f>
        <v>102.60000000000001</v>
      </c>
      <c r="E31" s="1471"/>
      <c r="F31" s="2040">
        <f>'Exhibit G State'!F31</f>
        <v>6</v>
      </c>
      <c r="G31" s="1471"/>
      <c r="H31" s="2040">
        <f>'Exhibit G State'!H31</f>
        <v>175.39999999999998</v>
      </c>
      <c r="I31" s="2583"/>
      <c r="J31" s="2040">
        <f>'Exhibit G State'!J31</f>
        <v>36.899999999999977</v>
      </c>
      <c r="K31" s="2596"/>
      <c r="L31" s="2040">
        <f>'Exhibit G State'!L31</f>
        <v>21.4</v>
      </c>
      <c r="M31" s="2596"/>
      <c r="N31" s="2040">
        <f>'Exhibit G State'!N31</f>
        <v>150.00000000000003</v>
      </c>
      <c r="O31" s="2596"/>
      <c r="P31" s="2040">
        <f>'Exhibit G State'!P31</f>
        <v>27.300000000000011</v>
      </c>
      <c r="Q31" s="2596"/>
      <c r="R31" s="2040">
        <f>'Exhibit G State'!R31</f>
        <v>39.199999999999932</v>
      </c>
      <c r="S31" s="2596"/>
      <c r="T31" s="2040">
        <f>'Exhibit G State'!T31</f>
        <v>174.90000000000012</v>
      </c>
      <c r="U31" s="2596"/>
      <c r="V31" s="2040">
        <f>'Exhibit G State'!V31</f>
        <v>31.099999999999937</v>
      </c>
      <c r="W31" s="2596"/>
      <c r="X31" s="2040">
        <f>'Exhibit G State'!X31</f>
        <v>52.5</v>
      </c>
      <c r="Y31" s="2596"/>
      <c r="Z31" s="2040"/>
      <c r="AA31" s="2040"/>
      <c r="AB31" s="2040">
        <v>0</v>
      </c>
      <c r="AC31" s="2084"/>
      <c r="AD31" s="2040">
        <f>ROUND(SUM(D31:Z31),1)</f>
        <v>817.3</v>
      </c>
      <c r="AE31" s="2040"/>
      <c r="AF31" s="2084"/>
      <c r="AG31" s="2040">
        <f>'Exhibit G State'!AG31</f>
        <v>699.9</v>
      </c>
      <c r="AH31" s="3635"/>
      <c r="AI31" s="2021"/>
      <c r="AJ31" s="2045">
        <f>ROUND(SUM(+AD31-AG31),1)</f>
        <v>117.4</v>
      </c>
      <c r="AK31" s="2605"/>
      <c r="AL31" s="1765">
        <f>ROUND(IF(AG31=0,0,AJ31/ABS(AG31)),3)</f>
        <v>0.16800000000000001</v>
      </c>
    </row>
    <row r="32" spans="1:38" s="2235" customFormat="1" ht="15" customHeight="1">
      <c r="A32" s="2517"/>
      <c r="B32" s="2601" t="s">
        <v>1121</v>
      </c>
      <c r="C32" s="2517"/>
      <c r="D32" s="2040">
        <f>'Exhibit G State'!D32</f>
        <v>23.4</v>
      </c>
      <c r="E32" s="1471"/>
      <c r="F32" s="2040">
        <f>'Exhibit G State'!F32</f>
        <v>-0.5</v>
      </c>
      <c r="G32" s="1471"/>
      <c r="H32" s="2040">
        <f>'Exhibit G State'!H32</f>
        <v>23.5</v>
      </c>
      <c r="I32" s="2583"/>
      <c r="J32" s="2040">
        <f>'Exhibit G State'!J32</f>
        <v>0.20000000000000284</v>
      </c>
      <c r="K32" s="2596"/>
      <c r="L32" s="2040">
        <f>'Exhibit G State'!L32</f>
        <v>-0.89999999999999858</v>
      </c>
      <c r="M32" s="2596"/>
      <c r="N32" s="2040">
        <f>'Exhibit G State'!N32</f>
        <v>32.399999999999991</v>
      </c>
      <c r="O32" s="2596"/>
      <c r="P32" s="2040">
        <f>'Exhibit G State'!P32</f>
        <v>0.80000000000001137</v>
      </c>
      <c r="Q32" s="2596"/>
      <c r="R32" s="2040">
        <f>'Exhibit G State'!R32</f>
        <v>1.1999999999999886</v>
      </c>
      <c r="S32" s="2596"/>
      <c r="T32" s="2040">
        <f>'Exhibit G State'!T32</f>
        <v>29.600000000000009</v>
      </c>
      <c r="U32" s="2596"/>
      <c r="V32" s="2040">
        <f>'Exhibit G State'!V32</f>
        <v>-0.30000000000000426</v>
      </c>
      <c r="W32" s="2596"/>
      <c r="X32" s="2040">
        <f>'Exhibit G State'!X32</f>
        <v>0.19999999999998863</v>
      </c>
      <c r="Y32" s="2596"/>
      <c r="Z32" s="2040"/>
      <c r="AA32" s="2040"/>
      <c r="AB32" s="2040">
        <v>0</v>
      </c>
      <c r="AC32" s="2084"/>
      <c r="AD32" s="2040">
        <f>ROUND(SUM(D32:Z32),1)</f>
        <v>109.6</v>
      </c>
      <c r="AE32" s="2040"/>
      <c r="AF32" s="2084"/>
      <c r="AG32" s="2040">
        <f>'Exhibit G State'!AG32</f>
        <v>105.6</v>
      </c>
      <c r="AH32" s="3635"/>
      <c r="AI32" s="2021"/>
      <c r="AJ32" s="2045">
        <f>ROUND(SUM(+AD32-AG32),1)</f>
        <v>4</v>
      </c>
      <c r="AK32" s="2605"/>
      <c r="AL32" s="1765">
        <f>ROUND(IF(AG32=0,0,AJ32/ABS(AG32)),3)</f>
        <v>3.7999999999999999E-2</v>
      </c>
    </row>
    <row r="33" spans="1:38" s="2235" customFormat="1" ht="15" customHeight="1">
      <c r="A33" s="2517"/>
      <c r="B33" s="2601" t="s">
        <v>1122</v>
      </c>
      <c r="C33" s="2517"/>
      <c r="D33" s="2040">
        <f>'Exhibit G State'!D33</f>
        <v>14.4</v>
      </c>
      <c r="E33" s="1471"/>
      <c r="F33" s="2040">
        <f>'Exhibit G State'!F33</f>
        <v>8.6</v>
      </c>
      <c r="G33" s="1471"/>
      <c r="H33" s="2040">
        <f>'Exhibit G State'!H33</f>
        <v>48.5</v>
      </c>
      <c r="I33" s="2583"/>
      <c r="J33" s="2040">
        <f>'Exhibit G State'!J33</f>
        <v>5.9000000000000057</v>
      </c>
      <c r="K33" s="2596"/>
      <c r="L33" s="2040">
        <f>'Exhibit G State'!L33</f>
        <v>-3.8000000000000114</v>
      </c>
      <c r="M33" s="2596"/>
      <c r="N33" s="2040">
        <f>'Exhibit G State'!N33</f>
        <v>49</v>
      </c>
      <c r="O33" s="2596"/>
      <c r="P33" s="2040">
        <f>'Exhibit G State'!P33</f>
        <v>-1.2999999999999972</v>
      </c>
      <c r="Q33" s="2596"/>
      <c r="R33" s="2040">
        <f>'Exhibit G State'!R33</f>
        <v>-0.29999999999999716</v>
      </c>
      <c r="S33" s="2596"/>
      <c r="T33" s="2040">
        <f>'Exhibit G State'!T33</f>
        <v>62.699999999999989</v>
      </c>
      <c r="U33" s="2596"/>
      <c r="V33" s="2040">
        <f>'Exhibit G State'!V33</f>
        <v>-0.89999999999997726</v>
      </c>
      <c r="W33" s="2596"/>
      <c r="X33" s="2040">
        <f>'Exhibit G State'!X33</f>
        <v>-0.60000000000002274</v>
      </c>
      <c r="Y33" s="2596"/>
      <c r="Z33" s="2040"/>
      <c r="AA33" s="2040"/>
      <c r="AB33" s="2040">
        <v>0</v>
      </c>
      <c r="AC33" s="2084"/>
      <c r="AD33" s="2040">
        <f>ROUND(SUM(D33:Z33),1)</f>
        <v>182.2</v>
      </c>
      <c r="AE33" s="2040"/>
      <c r="AF33" s="2084"/>
      <c r="AG33" s="2040">
        <f>'Exhibit G State'!AG33</f>
        <v>128.80000000000001</v>
      </c>
      <c r="AH33" s="3635"/>
      <c r="AI33" s="2021"/>
      <c r="AJ33" s="2045">
        <f>ROUND(SUM(+AD33-AG33),1)</f>
        <v>53.4</v>
      </c>
      <c r="AK33" s="2605"/>
      <c r="AL33" s="1770">
        <f>ROUND(IF(AG33=0,0,AJ33/ABS(AG33)),3)</f>
        <v>0.41499999999999998</v>
      </c>
    </row>
    <row r="34" spans="1:38" s="2235" customFormat="1" ht="15" customHeight="1">
      <c r="A34" s="2517"/>
      <c r="B34" s="2601" t="s">
        <v>1123</v>
      </c>
      <c r="C34" s="2517"/>
      <c r="D34" s="2040">
        <f>'Exhibit G State'!D34</f>
        <v>19.899999999999999</v>
      </c>
      <c r="E34" s="1471"/>
      <c r="F34" s="2040">
        <f>'Exhibit G State'!F34</f>
        <v>-16.399999999999999</v>
      </c>
      <c r="G34" s="1471"/>
      <c r="H34" s="2040">
        <f>'Exhibit G State'!H34</f>
        <v>0.40000000000000036</v>
      </c>
      <c r="I34" s="2583"/>
      <c r="J34" s="2040">
        <f>'Exhibit G State'!J34</f>
        <v>9.9999999999999645E-2</v>
      </c>
      <c r="K34" s="2596"/>
      <c r="L34" s="2040">
        <f>'Exhibit G State'!L34</f>
        <v>-9.9999999999999645E-2</v>
      </c>
      <c r="M34" s="2596"/>
      <c r="N34" s="2040">
        <f>'Exhibit G State'!N34</f>
        <v>-0.40000000000000036</v>
      </c>
      <c r="O34" s="2596"/>
      <c r="P34" s="2040">
        <f>'Exhibit G State'!P34</f>
        <v>-0.19999999999999929</v>
      </c>
      <c r="Q34" s="2596"/>
      <c r="R34" s="2040">
        <f>'Exhibit G State'!R34</f>
        <v>-5.1999999999999993</v>
      </c>
      <c r="S34" s="2596"/>
      <c r="T34" s="2040">
        <f>'Exhibit G State'!T34</f>
        <v>-0.10000000000000142</v>
      </c>
      <c r="U34" s="2596"/>
      <c r="V34" s="2040">
        <f>'Exhibit G State'!V34</f>
        <v>0.10000000000000142</v>
      </c>
      <c r="W34" s="2596"/>
      <c r="X34" s="2040">
        <f>'Exhibit G State'!X34</f>
        <v>5.2999999999999972</v>
      </c>
      <c r="Y34" s="2596"/>
      <c r="Z34" s="2040"/>
      <c r="AA34" s="2040"/>
      <c r="AB34" s="2040">
        <v>0</v>
      </c>
      <c r="AC34" s="2084"/>
      <c r="AD34" s="2040">
        <f>ROUND(SUM(D34:Z34),1)</f>
        <v>3.4</v>
      </c>
      <c r="AE34" s="2040"/>
      <c r="AF34" s="2084"/>
      <c r="AG34" s="2040">
        <f>'Exhibit G State'!AG34</f>
        <v>-17.600000000000001</v>
      </c>
      <c r="AH34" s="3635"/>
      <c r="AI34" s="2021"/>
      <c r="AJ34" s="2045">
        <f>ROUND(SUM(+AD34-AG34),1)</f>
        <v>21</v>
      </c>
      <c r="AK34" s="2605"/>
      <c r="AL34" s="1770">
        <f>ROUND(IF(AG34=0,0,AJ34/ABS(AG34)),3)</f>
        <v>1.1930000000000001</v>
      </c>
    </row>
    <row r="35" spans="1:38" s="2235" customFormat="1" ht="15" customHeight="1">
      <c r="A35" s="2517"/>
      <c r="B35" s="2601" t="s">
        <v>1124</v>
      </c>
      <c r="C35" s="2517"/>
      <c r="D35" s="2040">
        <f>'Exhibit G State'!D35</f>
        <v>44.1</v>
      </c>
      <c r="E35" s="1471"/>
      <c r="F35" s="2040">
        <f>'Exhibit G State'!F35</f>
        <v>43.9</v>
      </c>
      <c r="G35" s="1471"/>
      <c r="H35" s="2040">
        <f>'Exhibit G State'!H35</f>
        <v>45.400000000000013</v>
      </c>
      <c r="I35" s="2583"/>
      <c r="J35" s="2040">
        <f>'Exhibit G State'!J35</f>
        <v>41.299999999999976</v>
      </c>
      <c r="K35" s="2596"/>
      <c r="L35" s="2040">
        <f>'Exhibit G State'!L35</f>
        <v>47.000000000000007</v>
      </c>
      <c r="M35" s="2596"/>
      <c r="N35" s="2040">
        <f>'Exhibit G State'!N35</f>
        <v>43.900000000000027</v>
      </c>
      <c r="O35" s="2596"/>
      <c r="P35" s="2040">
        <f>'Exhibit G State'!P35</f>
        <v>47.199999999999967</v>
      </c>
      <c r="Q35" s="2596"/>
      <c r="R35" s="2040">
        <f>'Exhibit G State'!R35</f>
        <v>40.800000000000033</v>
      </c>
      <c r="S35" s="2596"/>
      <c r="T35" s="2040">
        <f>'Exhibit G State'!T35</f>
        <v>39.799999999999933</v>
      </c>
      <c r="U35" s="2596"/>
      <c r="V35" s="2040">
        <f>'Exhibit G State'!V35</f>
        <v>43.100000000000044</v>
      </c>
      <c r="W35" s="2596"/>
      <c r="X35" s="2040">
        <f>'Exhibit G State'!X35</f>
        <v>35.000000000000007</v>
      </c>
      <c r="Y35" s="2596"/>
      <c r="Z35" s="2040"/>
      <c r="AA35" s="2040"/>
      <c r="AB35" s="2040">
        <v>0</v>
      </c>
      <c r="AC35" s="2084"/>
      <c r="AD35" s="2040">
        <f>ROUND(SUM(D35:Z35),1)</f>
        <v>471.5</v>
      </c>
      <c r="AE35" s="2040"/>
      <c r="AF35" s="2084"/>
      <c r="AG35" s="2040">
        <f>'Exhibit G State'!AG35</f>
        <v>468.1</v>
      </c>
      <c r="AH35" s="3635"/>
      <c r="AI35" s="2021"/>
      <c r="AJ35" s="2045">
        <f>ROUND(SUM(+AD35-AG35),1)</f>
        <v>3.4</v>
      </c>
      <c r="AK35" s="2605"/>
      <c r="AL35" s="1765">
        <f>ROUND(IF(AG35=0,0,AJ35/ABS(AG35)),3)</f>
        <v>7.0000000000000001E-3</v>
      </c>
    </row>
    <row r="36" spans="1:38" s="2480" customFormat="1" ht="15" customHeight="1">
      <c r="A36" s="2479"/>
      <c r="B36" s="2603" t="s">
        <v>1234</v>
      </c>
      <c r="C36" s="2479"/>
      <c r="D36" s="2078">
        <f t="shared" ref="D36:F36" si="9">ROUND(SUM(D31:D35),1)</f>
        <v>204.4</v>
      </c>
      <c r="E36" s="2583"/>
      <c r="F36" s="2078">
        <f t="shared" si="9"/>
        <v>41.6</v>
      </c>
      <c r="G36" s="2583"/>
      <c r="H36" s="2526">
        <f>ROUND(SUM(H31:H35),1)</f>
        <v>293.2</v>
      </c>
      <c r="I36" s="2583"/>
      <c r="J36" s="2526">
        <f>ROUND(SUM(J31:J35),1)</f>
        <v>84.4</v>
      </c>
      <c r="K36" s="2583"/>
      <c r="L36" s="2078">
        <f t="shared" ref="L36:V36" si="10">ROUND(SUM(L31:L35),1)</f>
        <v>63.6</v>
      </c>
      <c r="M36" s="2583"/>
      <c r="N36" s="2078">
        <f t="shared" ref="N36:P36" si="11">ROUND(SUM(N31:N35),1)</f>
        <v>274.89999999999998</v>
      </c>
      <c r="O36" s="2583"/>
      <c r="P36" s="2078">
        <f t="shared" si="11"/>
        <v>73.8</v>
      </c>
      <c r="Q36" s="2583"/>
      <c r="R36" s="2078">
        <f t="shared" ref="R36" si="12">ROUND(SUM(R31:R35),1)</f>
        <v>75.7</v>
      </c>
      <c r="S36" s="2583"/>
      <c r="T36" s="2062">
        <f t="shared" si="10"/>
        <v>306.89999999999998</v>
      </c>
      <c r="U36" s="2583"/>
      <c r="V36" s="2078">
        <f t="shared" si="10"/>
        <v>73.099999999999994</v>
      </c>
      <c r="W36" s="2583"/>
      <c r="X36" s="2078">
        <f t="shared" ref="X36:Z36" si="13">ROUND(SUM(X31:X35),1)</f>
        <v>92.4</v>
      </c>
      <c r="Y36" s="2583"/>
      <c r="Z36" s="2078">
        <f t="shared" si="13"/>
        <v>0</v>
      </c>
      <c r="AA36" s="1472"/>
      <c r="AB36" s="2078">
        <f>SUM(AB31:AB35)</f>
        <v>0</v>
      </c>
      <c r="AC36" s="2085"/>
      <c r="AD36" s="2062">
        <f>ROUND(SUM(AD31:AD35),1)</f>
        <v>1584</v>
      </c>
      <c r="AE36" s="2095"/>
      <c r="AF36" s="2609"/>
      <c r="AG36" s="2062">
        <f>ROUND(SUM(AG31:AG35),1)</f>
        <v>1384.8</v>
      </c>
      <c r="AH36" s="3638"/>
      <c r="AI36" s="1472"/>
      <c r="AJ36" s="2078">
        <f>ROUND(SUM(AJ31:AJ35),1)</f>
        <v>199.2</v>
      </c>
      <c r="AL36" s="1462">
        <f>ROUND(SUM(+AJ36/AG36),3)</f>
        <v>0.14399999999999999</v>
      </c>
    </row>
    <row r="37" spans="1:38" ht="15" customHeight="1">
      <c r="A37" s="2089"/>
      <c r="B37" s="2606"/>
      <c r="C37" s="2089"/>
      <c r="D37" s="2052"/>
      <c r="F37" s="2052"/>
      <c r="H37" s="2529"/>
      <c r="J37" s="2529"/>
      <c r="L37" s="2052"/>
      <c r="N37" s="2052"/>
      <c r="P37" s="2052"/>
      <c r="R37" s="2052"/>
      <c r="T37" s="2021"/>
      <c r="V37" s="2052"/>
      <c r="X37" s="2052"/>
      <c r="Z37" s="2052"/>
      <c r="AA37" s="2052"/>
      <c r="AB37" s="2051"/>
      <c r="AC37" s="2082"/>
      <c r="AD37" s="2021"/>
      <c r="AE37" s="2040"/>
      <c r="AF37" s="2084"/>
      <c r="AG37" s="2021"/>
      <c r="AH37" s="3635"/>
      <c r="AI37" s="2052"/>
      <c r="AJ37" s="2529"/>
      <c r="AK37" s="2066"/>
      <c r="AL37" s="1475"/>
    </row>
    <row r="38" spans="1:38" ht="15" customHeight="1">
      <c r="A38" s="2089"/>
      <c r="B38" s="2603" t="s">
        <v>1235</v>
      </c>
      <c r="C38" s="2089"/>
      <c r="D38" s="2097">
        <f>ROUND(SUM(D17+D29+D36),1)</f>
        <v>401.8</v>
      </c>
      <c r="F38" s="2097">
        <f>ROUND(SUM(F17+F29+F36),1)</f>
        <v>187.3</v>
      </c>
      <c r="H38" s="2097">
        <f>ROUND(SUM(H17+H29+H36),1)</f>
        <v>463.4</v>
      </c>
      <c r="J38" s="2097">
        <f>ROUND(SUM(J17+J29+J36),1)</f>
        <v>248.2</v>
      </c>
      <c r="L38" s="2097">
        <f>ROUND(SUM(L17+L29+L36),1)</f>
        <v>218.3</v>
      </c>
      <c r="N38" s="2097">
        <f>ROUND(SUM(N17+N29+N36),1)</f>
        <v>456.1</v>
      </c>
      <c r="P38" s="2097">
        <f>ROUND(SUM(P17+P29+P36),1)</f>
        <v>230.9</v>
      </c>
      <c r="R38" s="2097">
        <f>ROUND(SUM(R17+R29+R36),1)</f>
        <v>227.8</v>
      </c>
      <c r="T38" s="2097">
        <f>ROUND(SUM(T17+T29+T36),1)</f>
        <v>531.9</v>
      </c>
      <c r="V38" s="2097">
        <f>ROUND(SUM(V17+V29+V36),1)</f>
        <v>2335.6</v>
      </c>
      <c r="X38" s="2097">
        <f>ROUND(SUM(X17+X29+X36),1)</f>
        <v>220</v>
      </c>
      <c r="Z38" s="2097">
        <f>ROUND(SUM(Z17+Z29+Z36),1)</f>
        <v>0</v>
      </c>
      <c r="AA38" s="1472"/>
      <c r="AB38" s="2097">
        <f>ROUND(SUM(AB17+AB29+AB36),1)</f>
        <v>0</v>
      </c>
      <c r="AC38" s="2082"/>
      <c r="AD38" s="2097">
        <f>ROUND(SUM(AD17+AD29+AD36),1)</f>
        <v>5521.3</v>
      </c>
      <c r="AE38" s="2040"/>
      <c r="AF38" s="2084"/>
      <c r="AG38" s="2097">
        <f>ROUND(SUM(AG17+AG29+AG36),1)</f>
        <v>5640.7</v>
      </c>
      <c r="AH38" s="3635"/>
      <c r="AI38" s="2052"/>
      <c r="AJ38" s="2097">
        <f>ROUND(SUM(AJ17+AJ29+AJ36),1)</f>
        <v>-119.4</v>
      </c>
      <c r="AL38" s="1463">
        <f>ROUND(SUM(+AJ38/AG38),3)</f>
        <v>-2.1000000000000001E-2</v>
      </c>
    </row>
    <row r="39" spans="1:38" ht="15" customHeight="1">
      <c r="A39" s="2089"/>
      <c r="B39" s="2089"/>
      <c r="C39" s="2089"/>
      <c r="D39" s="2605"/>
      <c r="F39" s="2605"/>
      <c r="H39" s="2607"/>
      <c r="J39" s="2607"/>
      <c r="L39" s="2607"/>
      <c r="N39" s="2607"/>
      <c r="P39" s="2607"/>
      <c r="R39" s="2607"/>
      <c r="T39" s="2039"/>
      <c r="V39" s="2060"/>
      <c r="X39" s="2060"/>
      <c r="Z39" s="2060"/>
      <c r="AA39" s="2605"/>
      <c r="AB39" s="2051"/>
      <c r="AC39" s="2082"/>
      <c r="AD39" s="2040"/>
      <c r="AE39" s="2040"/>
      <c r="AF39" s="2084"/>
      <c r="AG39" s="2168"/>
      <c r="AH39" s="3639"/>
      <c r="AI39" s="2052"/>
      <c r="AJ39" s="1471"/>
      <c r="AK39" s="2597"/>
      <c r="AL39" s="1459"/>
    </row>
    <row r="40" spans="1:38" ht="15" customHeight="1">
      <c r="A40" s="2089"/>
      <c r="B40" s="2514" t="s">
        <v>1033</v>
      </c>
      <c r="C40" s="2089"/>
      <c r="D40" s="2605"/>
      <c r="F40" s="2605"/>
      <c r="H40" s="2607"/>
      <c r="J40" s="2607"/>
      <c r="L40" s="2607"/>
      <c r="N40" s="2607"/>
      <c r="P40" s="2607"/>
      <c r="R40" s="2607"/>
      <c r="T40" s="2039"/>
      <c r="V40" s="2060"/>
      <c r="X40" s="2060"/>
      <c r="Z40" s="2060"/>
      <c r="AA40" s="2605"/>
      <c r="AB40" s="2051"/>
      <c r="AC40" s="2082"/>
      <c r="AD40" s="2040"/>
      <c r="AE40" s="2040"/>
      <c r="AF40" s="2084"/>
      <c r="AG40" s="2168"/>
      <c r="AH40" s="3639"/>
      <c r="AI40" s="2052"/>
      <c r="AJ40" s="1471"/>
      <c r="AK40" s="2597"/>
      <c r="AL40" s="1459"/>
    </row>
    <row r="41" spans="1:38" ht="15" customHeight="1">
      <c r="A41" s="2089"/>
      <c r="B41" s="2538" t="s">
        <v>1154</v>
      </c>
      <c r="C41" s="2089"/>
      <c r="D41" s="2605"/>
      <c r="F41" s="2605"/>
      <c r="H41" s="2607"/>
      <c r="J41" s="2607"/>
      <c r="L41" s="2607"/>
      <c r="N41" s="2607"/>
      <c r="P41" s="2607"/>
      <c r="R41" s="2607"/>
      <c r="T41" s="2039"/>
      <c r="V41" s="2060"/>
      <c r="X41" s="2060"/>
      <c r="Z41" s="2060"/>
      <c r="AA41" s="2605"/>
      <c r="AB41" s="2051"/>
      <c r="AC41" s="2082"/>
      <c r="AD41" s="2040"/>
      <c r="AE41" s="2040"/>
      <c r="AF41" s="2084"/>
      <c r="AG41" s="2168"/>
      <c r="AH41" s="3639"/>
      <c r="AI41" s="2052"/>
      <c r="AJ41" s="1471"/>
      <c r="AK41" s="2597"/>
      <c r="AL41" s="1459"/>
    </row>
    <row r="42" spans="1:38" s="2235" customFormat="1" ht="15" customHeight="1">
      <c r="A42" s="2517"/>
      <c r="B42" s="2538" t="s">
        <v>1066</v>
      </c>
      <c r="C42" s="2517"/>
      <c r="D42" s="2077">
        <f>'Exhibit G State'!D42+'Exhibit G Federal'!D19</f>
        <v>1.1000000000000001</v>
      </c>
      <c r="E42" s="2607"/>
      <c r="F42" s="2077">
        <f>'Exhibit G State'!F42+'Exhibit G Federal'!F19</f>
        <v>1.1000000000000001</v>
      </c>
      <c r="G42" s="2607"/>
      <c r="H42" s="2077">
        <f>'Exhibit G State'!H42+'Exhibit G Federal'!H19</f>
        <v>0.89999999999999991</v>
      </c>
      <c r="I42" s="2583"/>
      <c r="J42" s="2077">
        <f>'Exhibit G State'!J42+'Exhibit G Federal'!J19</f>
        <v>0.89999999999999991</v>
      </c>
      <c r="K42" s="2596"/>
      <c r="L42" s="2077">
        <f>'Exhibit G State'!L42+'Exhibit G Federal'!L19</f>
        <v>0.79999999999999982</v>
      </c>
      <c r="M42" s="2596"/>
      <c r="N42" s="2077">
        <f>'Exhibit G State'!N42+'Exhibit G Federal'!N19</f>
        <v>0.80000000000000027</v>
      </c>
      <c r="O42" s="2596"/>
      <c r="P42" s="2077">
        <f>'Exhibit G State'!P42+'Exhibit G Federal'!P19</f>
        <v>1.1999999999999997</v>
      </c>
      <c r="Q42" s="2596"/>
      <c r="R42" s="2077">
        <f>'Exhibit G State'!R42+'Exhibit G Federal'!R19</f>
        <v>0.89999999999999991</v>
      </c>
      <c r="S42" s="2596"/>
      <c r="T42" s="2077">
        <f>'Exhibit G State'!T42+'Exhibit G Federal'!T19</f>
        <v>1.100000000000001</v>
      </c>
      <c r="U42" s="2596"/>
      <c r="V42" s="2077">
        <f>'Exhibit G State'!V42+'Exhibit G Federal'!V19</f>
        <v>0.89999999999999902</v>
      </c>
      <c r="W42" s="2596"/>
      <c r="X42" s="2077">
        <f>'Exhibit G State'!X42+'Exhibit G Federal'!X19</f>
        <v>1.5000000000000004</v>
      </c>
      <c r="Y42" s="2596"/>
      <c r="Z42" s="2077"/>
      <c r="AA42" s="2077"/>
      <c r="AB42" s="2040">
        <v>0</v>
      </c>
      <c r="AC42" s="2084"/>
      <c r="AD42" s="2040">
        <f t="shared" ref="AD42:AD83" si="14">ROUND(SUM(D42:Z42),1)</f>
        <v>11.2</v>
      </c>
      <c r="AE42" s="2040"/>
      <c r="AF42" s="2084"/>
      <c r="AG42" s="2077">
        <f>'Exhibit G State'!AG42+'Exhibit G Federal'!AG19</f>
        <v>10.3</v>
      </c>
      <c r="AH42" s="3639"/>
      <c r="AI42" s="2021"/>
      <c r="AJ42" s="2045">
        <f>ROUND(SUM(+AD42-AG42),1)</f>
        <v>0.9</v>
      </c>
      <c r="AK42" s="2605"/>
      <c r="AL42" s="1765">
        <f>ROUND(IF(AG42=0,0,AJ42/ABS(AG42)),3)</f>
        <v>8.6999999999999994E-2</v>
      </c>
    </row>
    <row r="43" spans="1:38" s="2235" customFormat="1" ht="15" customHeight="1">
      <c r="A43" s="2517"/>
      <c r="B43" s="2538" t="s">
        <v>1155</v>
      </c>
      <c r="C43" s="2517"/>
      <c r="D43" s="2077"/>
      <c r="E43" s="2583"/>
      <c r="F43" s="2077"/>
      <c r="G43" s="2583"/>
      <c r="H43" s="2077"/>
      <c r="I43" s="2583"/>
      <c r="J43" s="2077"/>
      <c r="K43" s="2596"/>
      <c r="L43" s="2077"/>
      <c r="M43" s="2596"/>
      <c r="N43" s="2077"/>
      <c r="O43" s="2596"/>
      <c r="P43" s="2077"/>
      <c r="Q43" s="2596"/>
      <c r="R43" s="2077"/>
      <c r="S43" s="2596"/>
      <c r="T43" s="2077"/>
      <c r="U43" s="2596"/>
      <c r="V43" s="2077"/>
      <c r="W43" s="2596"/>
      <c r="X43" s="2077"/>
      <c r="Y43" s="2596"/>
      <c r="Z43" s="2077"/>
      <c r="AA43" s="2077"/>
      <c r="AB43" s="2040"/>
      <c r="AC43" s="2084"/>
      <c r="AD43" s="2040"/>
      <c r="AE43" s="2040"/>
      <c r="AF43" s="2084"/>
      <c r="AG43" s="2077"/>
      <c r="AH43" s="3639"/>
      <c r="AI43" s="2021"/>
      <c r="AJ43" s="2045"/>
      <c r="AK43" s="2605"/>
      <c r="AL43" s="1859"/>
    </row>
    <row r="44" spans="1:38" s="2235" customFormat="1" ht="15" customHeight="1">
      <c r="A44" s="2517"/>
      <c r="B44" s="2538" t="s">
        <v>1068</v>
      </c>
      <c r="C44" s="2517"/>
      <c r="D44" s="2077">
        <f>'Exhibit G State'!D44+'Exhibit G Federal'!D21</f>
        <v>70.900000000000006</v>
      </c>
      <c r="E44" s="2077"/>
      <c r="F44" s="2077">
        <f>'Exhibit G State'!F44+'Exhibit G Federal'!F21</f>
        <v>72.699999999999989</v>
      </c>
      <c r="G44" s="2077"/>
      <c r="H44" s="2077">
        <f>'Exhibit G State'!H44+'Exhibit G Federal'!H21</f>
        <v>94.399999999999977</v>
      </c>
      <c r="I44" s="2583"/>
      <c r="J44" s="2077">
        <f>'Exhibit G State'!J44+'Exhibit G Federal'!J21</f>
        <v>52.000000000000021</v>
      </c>
      <c r="K44" s="2596"/>
      <c r="L44" s="2077">
        <f>'Exhibit G State'!L44+'Exhibit G Federal'!L21</f>
        <v>54.6</v>
      </c>
      <c r="M44" s="2596"/>
      <c r="N44" s="2077">
        <f>'Exhibit G State'!N44+'Exhibit G Federal'!N21</f>
        <v>68.500000000000043</v>
      </c>
      <c r="O44" s="2596"/>
      <c r="P44" s="2077">
        <f>'Exhibit G State'!P44+'Exhibit G Federal'!P21</f>
        <v>70.399999999999878</v>
      </c>
      <c r="Q44" s="2596"/>
      <c r="R44" s="2077">
        <f>'Exhibit G State'!R44+'Exhibit G Federal'!R21</f>
        <v>35.300000000000068</v>
      </c>
      <c r="S44" s="2596"/>
      <c r="T44" s="2077">
        <f>'Exhibit G State'!T44+'Exhibit G Federal'!T21</f>
        <v>72.70000000000006</v>
      </c>
      <c r="U44" s="2596"/>
      <c r="V44" s="2077">
        <f>'Exhibit G State'!V44+'Exhibit G Federal'!V21</f>
        <v>93.399999999999949</v>
      </c>
      <c r="W44" s="2596"/>
      <c r="X44" s="2077">
        <f>'Exhibit G State'!X44+'Exhibit G Federal'!X21</f>
        <v>43.800000000000068</v>
      </c>
      <c r="Y44" s="2596"/>
      <c r="Z44" s="2077"/>
      <c r="AA44" s="2077"/>
      <c r="AB44" s="2040">
        <v>0</v>
      </c>
      <c r="AC44" s="2084"/>
      <c r="AD44" s="2040">
        <f>ROUND(SUM(D44:Z44),1)</f>
        <v>728.7</v>
      </c>
      <c r="AE44" s="2040"/>
      <c r="AF44" s="2084"/>
      <c r="AG44" s="2077">
        <f>'Exhibit G State'!AG44+'Exhibit G Federal'!AG21</f>
        <v>682.7</v>
      </c>
      <c r="AH44" s="3639"/>
      <c r="AI44" s="2021"/>
      <c r="AJ44" s="2045">
        <f>ROUND(SUM(+AD44-AG44),1)</f>
        <v>46</v>
      </c>
      <c r="AK44" s="2605"/>
      <c r="AL44" s="1765">
        <f>ROUND(IF(AG44=0,0,AJ44/ABS(AG44)),3)</f>
        <v>6.7000000000000004E-2</v>
      </c>
    </row>
    <row r="45" spans="1:38" s="2235" customFormat="1" ht="15" customHeight="1">
      <c r="A45" s="2517"/>
      <c r="B45" s="2538" t="s">
        <v>1069</v>
      </c>
      <c r="C45" s="2517"/>
      <c r="D45" s="2077">
        <f>'Exhibit G State'!D45+'Exhibit G Federal'!D22</f>
        <v>625.70000000000005</v>
      </c>
      <c r="E45" s="2077"/>
      <c r="F45" s="2077">
        <f>'Exhibit G State'!F45+'Exhibit G Federal'!F22</f>
        <v>519.70000000000005</v>
      </c>
      <c r="G45" s="2077"/>
      <c r="H45" s="2077">
        <f>'Exhibit G State'!H45+'Exhibit G Federal'!H22</f>
        <v>504.69999999999982</v>
      </c>
      <c r="I45" s="2583"/>
      <c r="J45" s="2077">
        <f>'Exhibit G State'!J45+'Exhibit G Federal'!J22</f>
        <v>567.5</v>
      </c>
      <c r="K45" s="2596"/>
      <c r="L45" s="2077">
        <f>'Exhibit G State'!L45+'Exhibit G Federal'!L22</f>
        <v>515.90000000000032</v>
      </c>
      <c r="M45" s="2596"/>
      <c r="N45" s="2077">
        <f>'Exhibit G State'!N45+'Exhibit G Federal'!N22</f>
        <v>542.20000000000005</v>
      </c>
      <c r="O45" s="2596"/>
      <c r="P45" s="2077">
        <f>'Exhibit G State'!P45+'Exhibit G Federal'!P22</f>
        <v>528.69999999999982</v>
      </c>
      <c r="Q45" s="2596"/>
      <c r="R45" s="2077">
        <f>'Exhibit G State'!R45+'Exhibit G Federal'!R22</f>
        <v>469.10000000000036</v>
      </c>
      <c r="S45" s="2596"/>
      <c r="T45" s="2077">
        <f>'Exhibit G State'!T45+'Exhibit G Federal'!T22</f>
        <v>522.39999999999941</v>
      </c>
      <c r="U45" s="2596"/>
      <c r="V45" s="2077">
        <f>'Exhibit G State'!V45+'Exhibit G Federal'!V22</f>
        <v>573.50000000000023</v>
      </c>
      <c r="W45" s="2596"/>
      <c r="X45" s="2077">
        <f>'Exhibit G State'!X45+'Exhibit G Federal'!X22</f>
        <v>531.5</v>
      </c>
      <c r="Y45" s="2596"/>
      <c r="Z45" s="2077"/>
      <c r="AA45" s="2077"/>
      <c r="AB45" s="2040">
        <v>0</v>
      </c>
      <c r="AC45" s="2084"/>
      <c r="AD45" s="2045">
        <f t="shared" si="14"/>
        <v>5900.9</v>
      </c>
      <c r="AE45" s="2040"/>
      <c r="AF45" s="2084"/>
      <c r="AG45" s="2077">
        <f>'Exhibit G State'!AG45+'Exhibit G Federal'!AG22</f>
        <v>5566.3</v>
      </c>
      <c r="AH45" s="3639"/>
      <c r="AI45" s="2021"/>
      <c r="AJ45" s="2045">
        <f>ROUND(SUM(+AD45-AG45),1)</f>
        <v>334.6</v>
      </c>
      <c r="AK45" s="2605"/>
      <c r="AL45" s="1765">
        <f>ROUND(IF(AG45=0,0,AJ45/ABS(AG45)),3)</f>
        <v>0.06</v>
      </c>
    </row>
    <row r="46" spans="1:38" s="2235" customFormat="1" ht="15" customHeight="1">
      <c r="A46" s="2517"/>
      <c r="B46" s="2538" t="s">
        <v>1070</v>
      </c>
      <c r="C46" s="2517"/>
      <c r="D46" s="2077">
        <f>'Exhibit G State'!D46+'Exhibit G Federal'!D23</f>
        <v>5.0999999999999996</v>
      </c>
      <c r="E46" s="2077"/>
      <c r="F46" s="2077">
        <f>'Exhibit G State'!F46+'Exhibit G Federal'!F23</f>
        <v>0</v>
      </c>
      <c r="G46" s="2077"/>
      <c r="H46" s="2077">
        <f>'Exhibit G State'!H46+'Exhibit G Federal'!H23</f>
        <v>0.70000000000000018</v>
      </c>
      <c r="I46" s="2583"/>
      <c r="J46" s="2077">
        <f>'Exhibit G State'!J46+'Exhibit G Federal'!J23</f>
        <v>0</v>
      </c>
      <c r="K46" s="2596"/>
      <c r="L46" s="2077">
        <f>'Exhibit G State'!L46+'Exhibit G Federal'!L23</f>
        <v>0.90000000000000036</v>
      </c>
      <c r="M46" s="2596"/>
      <c r="N46" s="2077">
        <f>'Exhibit G State'!N46+'Exhibit G Federal'!N23</f>
        <v>44.199999999999996</v>
      </c>
      <c r="O46" s="2596"/>
      <c r="P46" s="2077">
        <f>'Exhibit G State'!P46+'Exhibit G Federal'!P23</f>
        <v>-6</v>
      </c>
      <c r="Q46" s="2596"/>
      <c r="R46" s="2077">
        <f>'Exhibit G State'!R46+'Exhibit G Federal'!R23</f>
        <v>-1.6999999999999957</v>
      </c>
      <c r="S46" s="2596"/>
      <c r="T46" s="2077">
        <f>'Exhibit G State'!T46+'Exhibit G Federal'!T23</f>
        <v>0.79999999999999716</v>
      </c>
      <c r="U46" s="2596"/>
      <c r="V46" s="2077">
        <f>'Exhibit G State'!V46+'Exhibit G Federal'!V23</f>
        <v>0</v>
      </c>
      <c r="W46" s="2596"/>
      <c r="X46" s="2077">
        <f>'Exhibit G State'!X46+'Exhibit G Federal'!X23</f>
        <v>11</v>
      </c>
      <c r="Y46" s="2596"/>
      <c r="Z46" s="2077"/>
      <c r="AA46" s="2077"/>
      <c r="AB46" s="2040">
        <v>0</v>
      </c>
      <c r="AC46" s="2084"/>
      <c r="AD46" s="2040">
        <f t="shared" si="14"/>
        <v>55</v>
      </c>
      <c r="AE46" s="2040"/>
      <c r="AF46" s="2084"/>
      <c r="AG46" s="2077">
        <f>'Exhibit G State'!AG46+'Exhibit G Federal'!AG23</f>
        <v>40.700000000000003</v>
      </c>
      <c r="AH46" s="3639"/>
      <c r="AI46" s="2021"/>
      <c r="AJ46" s="2045">
        <f>ROUND(SUM(+AD46-AG46),1)</f>
        <v>14.3</v>
      </c>
      <c r="AK46" s="2605"/>
      <c r="AL46" s="1765">
        <f>ROUND(IF(AG46=0,0,AJ46/ABS(AG46)),3)</f>
        <v>0.35099999999999998</v>
      </c>
    </row>
    <row r="47" spans="1:38" s="2235" customFormat="1" ht="15" customHeight="1">
      <c r="A47" s="2517"/>
      <c r="B47" s="2538" t="s">
        <v>1071</v>
      </c>
      <c r="C47" s="2517"/>
      <c r="D47" s="2077">
        <f>'Exhibit G State'!D47+'Exhibit G Federal'!D24</f>
        <v>0</v>
      </c>
      <c r="E47" s="2077"/>
      <c r="F47" s="2077">
        <f>'Exhibit G State'!F47+'Exhibit G Federal'!F24</f>
        <v>0.1</v>
      </c>
      <c r="G47" s="2077"/>
      <c r="H47" s="2077">
        <f>'Exhibit G State'!H47+'Exhibit G Federal'!H24</f>
        <v>0</v>
      </c>
      <c r="I47" s="2583"/>
      <c r="J47" s="2077">
        <f>'Exhibit G State'!J47+'Exhibit G Federal'!J24</f>
        <v>0</v>
      </c>
      <c r="K47" s="2596"/>
      <c r="L47" s="2077">
        <f>'Exhibit G State'!L47+'Exhibit G Federal'!L24</f>
        <v>0.1</v>
      </c>
      <c r="M47" s="2596"/>
      <c r="N47" s="2077">
        <f>'Exhibit G State'!N47+'Exhibit G Federal'!N24</f>
        <v>0</v>
      </c>
      <c r="O47" s="2596"/>
      <c r="P47" s="2077">
        <f>'Exhibit G State'!P47+'Exhibit G Federal'!P24</f>
        <v>0</v>
      </c>
      <c r="Q47" s="2596"/>
      <c r="R47" s="2077">
        <f>'Exhibit G State'!R47+'Exhibit G Federal'!R24</f>
        <v>-2.7755575615628914E-17</v>
      </c>
      <c r="S47" s="2596"/>
      <c r="T47" s="2077">
        <f>'Exhibit G State'!T47+'Exhibit G Federal'!T24</f>
        <v>0.1</v>
      </c>
      <c r="U47" s="2596"/>
      <c r="V47" s="2077">
        <f>'Exhibit G State'!V47+'Exhibit G Federal'!V24</f>
        <v>0.10000000000000006</v>
      </c>
      <c r="W47" s="2596"/>
      <c r="X47" s="2077">
        <f>'Exhibit G State'!X47+'Exhibit G Federal'!X24</f>
        <v>0</v>
      </c>
      <c r="Y47" s="2596"/>
      <c r="Z47" s="2077"/>
      <c r="AA47" s="2077"/>
      <c r="AB47" s="2040">
        <v>0</v>
      </c>
      <c r="AC47" s="2084"/>
      <c r="AD47" s="2040">
        <f t="shared" si="14"/>
        <v>0.4</v>
      </c>
      <c r="AE47" s="2040"/>
      <c r="AF47" s="2084"/>
      <c r="AG47" s="2077">
        <f>'Exhibit G State'!AG47+'Exhibit G Federal'!AG24</f>
        <v>1.3</v>
      </c>
      <c r="AH47" s="3639"/>
      <c r="AI47" s="2021"/>
      <c r="AJ47" s="2045">
        <f>ROUND(SUM(+AD47-AG47),1)</f>
        <v>-0.9</v>
      </c>
      <c r="AK47" s="2605"/>
      <c r="AL47" s="1765">
        <f>ROUND(IF(AG47=0,0,AJ47/ABS(AG47)),3)</f>
        <v>-0.69199999999999995</v>
      </c>
    </row>
    <row r="48" spans="1:38" s="2235" customFormat="1" ht="15" customHeight="1">
      <c r="A48" s="2517"/>
      <c r="B48" s="2538" t="s">
        <v>1160</v>
      </c>
      <c r="C48" s="2517"/>
      <c r="D48" s="2077"/>
      <c r="E48" s="2583"/>
      <c r="F48" s="2077"/>
      <c r="G48" s="2583"/>
      <c r="H48" s="2077"/>
      <c r="I48" s="2583"/>
      <c r="J48" s="2077"/>
      <c r="K48" s="2596"/>
      <c r="L48" s="2077"/>
      <c r="M48" s="2596"/>
      <c r="N48" s="2077"/>
      <c r="O48" s="2596"/>
      <c r="P48" s="2077"/>
      <c r="Q48" s="2596"/>
      <c r="R48" s="2077"/>
      <c r="S48" s="2596"/>
      <c r="T48" s="2077"/>
      <c r="U48" s="2596"/>
      <c r="V48" s="2077"/>
      <c r="W48" s="2596"/>
      <c r="X48" s="2077"/>
      <c r="Y48" s="2596"/>
      <c r="Z48" s="2077"/>
      <c r="AA48" s="2077"/>
      <c r="AB48" s="2040"/>
      <c r="AC48" s="2084"/>
      <c r="AD48" s="2040"/>
      <c r="AE48" s="2040"/>
      <c r="AF48" s="2084"/>
      <c r="AG48" s="2077"/>
      <c r="AH48" s="3639"/>
      <c r="AI48" s="2021"/>
      <c r="AJ48" s="2045"/>
      <c r="AK48" s="2605"/>
      <c r="AL48" s="1859"/>
    </row>
    <row r="49" spans="1:38" s="2235" customFormat="1" ht="15" customHeight="1">
      <c r="A49" s="2517"/>
      <c r="B49" s="2538" t="s">
        <v>1255</v>
      </c>
      <c r="C49" s="2517"/>
      <c r="D49" s="2077">
        <f>'Exhibit G State'!D49</f>
        <v>0</v>
      </c>
      <c r="E49" s="2077"/>
      <c r="F49" s="2077">
        <f>'Exhibit G State'!F49</f>
        <v>0.8</v>
      </c>
      <c r="G49" s="2077"/>
      <c r="H49" s="2077">
        <f>'Exhibit G State'!H49</f>
        <v>1.4999999999999998</v>
      </c>
      <c r="I49" s="2583"/>
      <c r="J49" s="2077">
        <f>'Exhibit G State'!J49</f>
        <v>0</v>
      </c>
      <c r="K49" s="2596"/>
      <c r="L49" s="2077">
        <f>'Exhibit G State'!L49</f>
        <v>0.10000000000000009</v>
      </c>
      <c r="M49" s="2596"/>
      <c r="N49" s="2077">
        <f>'Exhibit G State'!N49</f>
        <v>0.20000000000000018</v>
      </c>
      <c r="O49" s="2596"/>
      <c r="P49" s="2077">
        <f>'Exhibit G State'!P49</f>
        <v>0</v>
      </c>
      <c r="Q49" s="2596"/>
      <c r="R49" s="2077">
        <f>'Exhibit G State'!R49</f>
        <v>0</v>
      </c>
      <c r="S49" s="2596"/>
      <c r="T49" s="2077">
        <f>'Exhibit G State'!T49</f>
        <v>0</v>
      </c>
      <c r="U49" s="2596"/>
      <c r="V49" s="2077">
        <f>'Exhibit G State'!V49</f>
        <v>0</v>
      </c>
      <c r="W49" s="2596"/>
      <c r="X49" s="2077">
        <f>'Exhibit G State'!X49</f>
        <v>0</v>
      </c>
      <c r="Y49" s="2596"/>
      <c r="Z49" s="2077"/>
      <c r="AA49" s="2077"/>
      <c r="AB49" s="2040">
        <v>0</v>
      </c>
      <c r="AC49" s="2084"/>
      <c r="AD49" s="2040">
        <f>ROUND(SUM(D49:Z49),1)</f>
        <v>2.6</v>
      </c>
      <c r="AE49" s="2040"/>
      <c r="AF49" s="2084"/>
      <c r="AG49" s="2077">
        <f>'Exhibit G State'!AG49</f>
        <v>2.1</v>
      </c>
      <c r="AH49" s="3639"/>
      <c r="AI49" s="2021"/>
      <c r="AJ49" s="2045">
        <f>ROUND(SUM(+AD49-AG49),1)</f>
        <v>0.5</v>
      </c>
      <c r="AK49" s="2605"/>
      <c r="AL49" s="1765">
        <f>ROUND(IF(AG49=0,0,AJ49/ABS(AG49)),3)</f>
        <v>0.23799999999999999</v>
      </c>
    </row>
    <row r="50" spans="1:38" s="2235" customFormat="1" ht="15" customHeight="1">
      <c r="A50" s="2517"/>
      <c r="B50" s="2538" t="s">
        <v>1072</v>
      </c>
      <c r="C50" s="2517"/>
      <c r="D50" s="2077">
        <f>'Exhibit G State'!D50+'Exhibit G Federal'!D26</f>
        <v>48.6</v>
      </c>
      <c r="E50" s="2077"/>
      <c r="F50" s="2077">
        <f>'Exhibit G State'!F50+'Exhibit G Federal'!F26</f>
        <v>36.9</v>
      </c>
      <c r="G50" s="2077"/>
      <c r="H50" s="2077">
        <f>'Exhibit G State'!H50+'Exhibit G Federal'!H26</f>
        <v>98</v>
      </c>
      <c r="I50" s="2583"/>
      <c r="J50" s="2077">
        <f>'Exhibit G State'!J50+'Exhibit G Federal'!J26</f>
        <v>47.5</v>
      </c>
      <c r="K50" s="2596"/>
      <c r="L50" s="2077">
        <f>'Exhibit G State'!L50+'Exhibit G Federal'!L26</f>
        <v>32.800000000000011</v>
      </c>
      <c r="M50" s="2596"/>
      <c r="N50" s="2077">
        <f>'Exhibit G State'!N50+'Exhibit G Federal'!N26</f>
        <v>95.599999999999966</v>
      </c>
      <c r="O50" s="2596"/>
      <c r="P50" s="2077">
        <f>'Exhibit G State'!P50+'Exhibit G Federal'!P26</f>
        <v>49.400000000000034</v>
      </c>
      <c r="Q50" s="2596"/>
      <c r="R50" s="2077">
        <f>'Exhibit G State'!R50+'Exhibit G Federal'!R26</f>
        <v>53.599999999999966</v>
      </c>
      <c r="S50" s="2596"/>
      <c r="T50" s="2077">
        <f>'Exhibit G State'!T50+'Exhibit G Federal'!T26</f>
        <v>77.100000000000023</v>
      </c>
      <c r="U50" s="2596"/>
      <c r="V50" s="2077">
        <f>'Exhibit G State'!V50+'Exhibit G Federal'!V26</f>
        <v>46.799999999999955</v>
      </c>
      <c r="W50" s="2596"/>
      <c r="X50" s="2077">
        <f>'Exhibit G State'!X50+'Exhibit G Federal'!X26</f>
        <v>36.400000000000091</v>
      </c>
      <c r="Y50" s="2596"/>
      <c r="Z50" s="2077"/>
      <c r="AA50" s="2077"/>
      <c r="AB50" s="2040">
        <v>0</v>
      </c>
      <c r="AC50" s="2084"/>
      <c r="AD50" s="2040">
        <f t="shared" si="14"/>
        <v>622.70000000000005</v>
      </c>
      <c r="AE50" s="2040"/>
      <c r="AF50" s="2084"/>
      <c r="AG50" s="2077">
        <f>'Exhibit G State'!AG50+'Exhibit G Federal'!AG26</f>
        <v>605.29999999999995</v>
      </c>
      <c r="AH50" s="3639"/>
      <c r="AI50" s="2021"/>
      <c r="AJ50" s="2045">
        <f t="shared" ref="AJ50:AJ55" si="15">ROUND(SUM(+AD50-AG50),1)</f>
        <v>17.399999999999999</v>
      </c>
      <c r="AK50" s="2605"/>
      <c r="AL50" s="1765">
        <f t="shared" ref="AL50:AL55" si="16">ROUND(IF(AG50=0,0,AJ50/ABS(AG50)),3)</f>
        <v>2.9000000000000001E-2</v>
      </c>
    </row>
    <row r="51" spans="1:38" s="2235" customFormat="1" ht="15" customHeight="1">
      <c r="A51" s="2517"/>
      <c r="B51" s="2538" t="s">
        <v>1073</v>
      </c>
      <c r="C51" s="2517"/>
      <c r="D51" s="2077">
        <f>'Exhibit G State'!D51+'Exhibit G Federal'!D27</f>
        <v>3.6</v>
      </c>
      <c r="E51" s="2077"/>
      <c r="F51" s="2077">
        <f>'Exhibit G State'!F51+'Exhibit G Federal'!F27</f>
        <v>4.5999999999999996</v>
      </c>
      <c r="G51" s="2077"/>
      <c r="H51" s="2077">
        <f>'Exhibit G State'!H51+'Exhibit G Federal'!H27</f>
        <v>5.1000000000000014</v>
      </c>
      <c r="I51" s="2583"/>
      <c r="J51" s="2077">
        <f>'Exhibit G State'!J51+'Exhibit G Federal'!J27</f>
        <v>4.1999999999999993</v>
      </c>
      <c r="K51" s="2596"/>
      <c r="L51" s="2077">
        <f>'Exhibit G State'!L51+'Exhibit G Federal'!L27</f>
        <v>2.6999999999999975</v>
      </c>
      <c r="M51" s="2596"/>
      <c r="N51" s="2077">
        <f>'Exhibit G State'!N51+'Exhibit G Federal'!N27</f>
        <v>7.7999999999999989</v>
      </c>
      <c r="O51" s="2596"/>
      <c r="P51" s="2077">
        <f>'Exhibit G State'!P51+'Exhibit G Federal'!P27</f>
        <v>4.7999999999999972</v>
      </c>
      <c r="Q51" s="2596"/>
      <c r="R51" s="2077">
        <f>'Exhibit G State'!R51+'Exhibit G Federal'!R27</f>
        <v>5.0999999999999996</v>
      </c>
      <c r="S51" s="2596"/>
      <c r="T51" s="2077">
        <f>'Exhibit G State'!T51+'Exhibit G Federal'!T27</f>
        <v>5.3000000000000043</v>
      </c>
      <c r="U51" s="2596"/>
      <c r="V51" s="2077">
        <f>'Exhibit G State'!V51+'Exhibit G Federal'!V27</f>
        <v>4.5000000000000018</v>
      </c>
      <c r="W51" s="2596"/>
      <c r="X51" s="2077">
        <f>'Exhibit G State'!X51+'Exhibit G Federal'!X27</f>
        <v>5.1000000000000014</v>
      </c>
      <c r="Y51" s="2596"/>
      <c r="Z51" s="2077"/>
      <c r="AA51" s="2077"/>
      <c r="AB51" s="2040">
        <v>0</v>
      </c>
      <c r="AC51" s="2084"/>
      <c r="AD51" s="2040">
        <f t="shared" si="14"/>
        <v>52.8</v>
      </c>
      <c r="AE51" s="2040"/>
      <c r="AF51" s="2084"/>
      <c r="AG51" s="2077">
        <f>'Exhibit G State'!AG51+'Exhibit G Federal'!AG27</f>
        <v>51.3</v>
      </c>
      <c r="AH51" s="3639"/>
      <c r="AI51" s="2021"/>
      <c r="AJ51" s="2045">
        <f t="shared" si="15"/>
        <v>1.5</v>
      </c>
      <c r="AK51" s="2605"/>
      <c r="AL51" s="1765">
        <f t="shared" si="16"/>
        <v>2.9000000000000001E-2</v>
      </c>
    </row>
    <row r="52" spans="1:38" s="2235" customFormat="1" ht="15" customHeight="1">
      <c r="A52" s="2517"/>
      <c r="B52" s="2538" t="s">
        <v>1074</v>
      </c>
      <c r="C52" s="2517"/>
      <c r="D52" s="2077">
        <f>'Exhibit G State'!D52+'Exhibit G Federal'!D28</f>
        <v>0.3</v>
      </c>
      <c r="E52" s="2077"/>
      <c r="F52" s="2077">
        <f>'Exhibit G State'!F52+'Exhibit G Federal'!F28</f>
        <v>0.39999999999999997</v>
      </c>
      <c r="G52" s="2077"/>
      <c r="H52" s="2077">
        <f>'Exhibit G State'!H52+'Exhibit G Federal'!H28</f>
        <v>1.1000000000000001</v>
      </c>
      <c r="I52" s="2583"/>
      <c r="J52" s="2077">
        <f>'Exhibit G State'!J52+'Exhibit G Federal'!J28</f>
        <v>0</v>
      </c>
      <c r="K52" s="2596"/>
      <c r="L52" s="2077">
        <f>'Exhibit G State'!L52+'Exhibit G Federal'!L28</f>
        <v>0.40000000000000013</v>
      </c>
      <c r="M52" s="2596"/>
      <c r="N52" s="2077">
        <f>'Exhibit G State'!N52+'Exhibit G Federal'!N28</f>
        <v>1.2</v>
      </c>
      <c r="O52" s="2596"/>
      <c r="P52" s="2077">
        <f>'Exhibit G State'!P52+'Exhibit G Federal'!P28</f>
        <v>0.39999999999999991</v>
      </c>
      <c r="Q52" s="2596"/>
      <c r="R52" s="2077">
        <f>'Exhibit G State'!R52+'Exhibit G Federal'!R28</f>
        <v>0.29999999999999982</v>
      </c>
      <c r="S52" s="2596"/>
      <c r="T52" s="2077">
        <f>'Exhibit G State'!T52+'Exhibit G Federal'!T28</f>
        <v>0.80000000000000049</v>
      </c>
      <c r="U52" s="2596"/>
      <c r="V52" s="2077">
        <f>'Exhibit G State'!V52+'Exhibit G Federal'!V28</f>
        <v>1.0999999999999985</v>
      </c>
      <c r="W52" s="2596"/>
      <c r="X52" s="2077">
        <f>'Exhibit G State'!X52+'Exhibit G Federal'!X28</f>
        <v>0</v>
      </c>
      <c r="Y52" s="2596"/>
      <c r="Z52" s="2077"/>
      <c r="AA52" s="2077"/>
      <c r="AB52" s="2040">
        <v>0</v>
      </c>
      <c r="AC52" s="2084"/>
      <c r="AD52" s="2040">
        <f>ROUND(SUM(D52:Z52),1)</f>
        <v>6</v>
      </c>
      <c r="AE52" s="2040"/>
      <c r="AF52" s="2084"/>
      <c r="AG52" s="2077">
        <f>'Exhibit G State'!AG52+'Exhibit G Federal'!AG28</f>
        <v>7.7</v>
      </c>
      <c r="AH52" s="3639"/>
      <c r="AI52" s="2021"/>
      <c r="AJ52" s="2045">
        <f t="shared" si="15"/>
        <v>-1.7</v>
      </c>
      <c r="AK52" s="2605"/>
      <c r="AL52" s="1765">
        <f>ROUND(IF(AG52=0,1,AJ52/ABS(AG52)),3)</f>
        <v>-0.221</v>
      </c>
    </row>
    <row r="53" spans="1:38" s="2235" customFormat="1" ht="15" customHeight="1">
      <c r="A53" s="2517"/>
      <c r="B53" s="2538" t="s">
        <v>1075</v>
      </c>
      <c r="C53" s="2517"/>
      <c r="D53" s="2077">
        <f>'Exhibit G State'!D53+'Exhibit G Federal'!D29</f>
        <v>26</v>
      </c>
      <c r="E53" s="2077"/>
      <c r="F53" s="2077">
        <f>'Exhibit G State'!F53+'Exhibit G Federal'!F29</f>
        <v>26.6</v>
      </c>
      <c r="G53" s="2077"/>
      <c r="H53" s="2077">
        <f>'Exhibit G State'!H53+'Exhibit G Federal'!H29</f>
        <v>28.699999999999996</v>
      </c>
      <c r="I53" s="2583"/>
      <c r="J53" s="2077">
        <f>'Exhibit G State'!J53+'Exhibit G Federal'!J29</f>
        <v>23.5</v>
      </c>
      <c r="K53" s="2596"/>
      <c r="L53" s="2077">
        <f>'Exhibit G State'!L53+'Exhibit G Federal'!L29</f>
        <v>28.300000000000004</v>
      </c>
      <c r="M53" s="2596"/>
      <c r="N53" s="2077">
        <f>'Exhibit G State'!N53+'Exhibit G Federal'!N29</f>
        <v>10</v>
      </c>
      <c r="O53" s="2596"/>
      <c r="P53" s="2077">
        <f>'Exhibit G State'!P53+'Exhibit G Federal'!P29</f>
        <v>25.300000000000018</v>
      </c>
      <c r="Q53" s="2596"/>
      <c r="R53" s="2077">
        <f>'Exhibit G State'!R53+'Exhibit G Federal'!R29</f>
        <v>25.799999999999983</v>
      </c>
      <c r="S53" s="2596"/>
      <c r="T53" s="2077">
        <f>'Exhibit G State'!T53+'Exhibit G Federal'!T29</f>
        <v>22.9</v>
      </c>
      <c r="U53" s="2596"/>
      <c r="V53" s="2077">
        <f>'Exhibit G State'!V53+'Exhibit G Federal'!V29</f>
        <v>35.1</v>
      </c>
      <c r="W53" s="2596"/>
      <c r="X53" s="2077">
        <f>'Exhibit G State'!X53+'Exhibit G Federal'!X29</f>
        <v>22.699999999999989</v>
      </c>
      <c r="Y53" s="2596"/>
      <c r="Z53" s="2077"/>
      <c r="AA53" s="2077"/>
      <c r="AB53" s="2040">
        <v>0</v>
      </c>
      <c r="AC53" s="2084"/>
      <c r="AD53" s="2040">
        <f t="shared" si="14"/>
        <v>274.89999999999998</v>
      </c>
      <c r="AE53" s="2040"/>
      <c r="AF53" s="2084"/>
      <c r="AG53" s="2077">
        <f>'Exhibit G State'!AG53+'Exhibit G Federal'!AG29</f>
        <v>461.6</v>
      </c>
      <c r="AH53" s="3639"/>
      <c r="AI53" s="2021"/>
      <c r="AJ53" s="2045">
        <f t="shared" si="15"/>
        <v>-186.7</v>
      </c>
      <c r="AK53" s="2605"/>
      <c r="AL53" s="1765">
        <f t="shared" si="16"/>
        <v>-0.40400000000000003</v>
      </c>
    </row>
    <row r="54" spans="1:38" s="2235" customFormat="1" ht="15" customHeight="1">
      <c r="A54" s="2517"/>
      <c r="B54" s="2538" t="s">
        <v>1076</v>
      </c>
      <c r="C54" s="2517"/>
      <c r="D54" s="2077">
        <f>'Exhibit G State'!D54+'Exhibit G Federal'!D30</f>
        <v>54</v>
      </c>
      <c r="E54" s="2077"/>
      <c r="F54" s="2077">
        <f>'Exhibit G State'!F54+'Exhibit G Federal'!F30</f>
        <v>45.599999999999994</v>
      </c>
      <c r="G54" s="2077"/>
      <c r="H54" s="2077">
        <f>'Exhibit G State'!H54+'Exhibit G Federal'!H30</f>
        <v>65.400000000000006</v>
      </c>
      <c r="I54" s="2583"/>
      <c r="J54" s="2077">
        <f>'Exhibit G State'!J54+'Exhibit G Federal'!J30</f>
        <v>65.900000000000006</v>
      </c>
      <c r="K54" s="2596"/>
      <c r="L54" s="2077">
        <f>'Exhibit G State'!L54+'Exhibit G Federal'!L30</f>
        <v>93.999999999999972</v>
      </c>
      <c r="M54" s="2596"/>
      <c r="N54" s="2077">
        <f>'Exhibit G State'!N54+'Exhibit G Federal'!N30</f>
        <v>129.20000000000005</v>
      </c>
      <c r="O54" s="2596"/>
      <c r="P54" s="2077">
        <f>'Exhibit G State'!P54+'Exhibit G Federal'!P30</f>
        <v>56.600000000000051</v>
      </c>
      <c r="Q54" s="2596"/>
      <c r="R54" s="2077">
        <f>'Exhibit G State'!R54+'Exhibit G Federal'!R30</f>
        <v>71.099999999999881</v>
      </c>
      <c r="S54" s="2596"/>
      <c r="T54" s="2077">
        <f>'Exhibit G State'!T54+'Exhibit G Federal'!T30</f>
        <v>60.700000000000045</v>
      </c>
      <c r="U54" s="2596"/>
      <c r="V54" s="2077">
        <f>'Exhibit G State'!V54+'Exhibit G Federal'!V30</f>
        <v>49.299999999999955</v>
      </c>
      <c r="W54" s="2596"/>
      <c r="X54" s="2077">
        <f>'Exhibit G State'!X54+'Exhibit G Federal'!X30</f>
        <v>129.3000000000001</v>
      </c>
      <c r="Y54" s="2596"/>
      <c r="Z54" s="2077"/>
      <c r="AA54" s="2077"/>
      <c r="AB54" s="2040">
        <v>0</v>
      </c>
      <c r="AC54" s="2084"/>
      <c r="AD54" s="2045">
        <f t="shared" si="14"/>
        <v>821.1</v>
      </c>
      <c r="AE54" s="2040"/>
      <c r="AF54" s="2084"/>
      <c r="AG54" s="2077">
        <f>'Exhibit G State'!AG54+'Exhibit G Federal'!AG30</f>
        <v>695</v>
      </c>
      <c r="AH54" s="3639"/>
      <c r="AI54" s="2021"/>
      <c r="AJ54" s="2045">
        <f t="shared" si="15"/>
        <v>126.1</v>
      </c>
      <c r="AK54" s="2605"/>
      <c r="AL54" s="1765">
        <f t="shared" si="16"/>
        <v>0.18099999999999999</v>
      </c>
    </row>
    <row r="55" spans="1:38" s="2235" customFormat="1" ht="15" customHeight="1">
      <c r="A55" s="2517"/>
      <c r="B55" s="2538" t="s">
        <v>1034</v>
      </c>
      <c r="C55" s="2517"/>
      <c r="D55" s="2077">
        <f>'Exhibit G State'!D55+'Exhibit G Federal'!D31</f>
        <v>8.2999999999999989</v>
      </c>
      <c r="E55" s="2077"/>
      <c r="F55" s="2077">
        <f>'Exhibit G State'!F55+'Exhibit G Federal'!F31</f>
        <v>68</v>
      </c>
      <c r="G55" s="2077"/>
      <c r="H55" s="2077">
        <f>'Exhibit G State'!H55+'Exhibit G Federal'!H31</f>
        <v>107.2</v>
      </c>
      <c r="I55" s="2583"/>
      <c r="J55" s="2077">
        <f>'Exhibit G State'!J55+'Exhibit G Federal'!J31</f>
        <v>5.2000000000000117</v>
      </c>
      <c r="K55" s="2596"/>
      <c r="L55" s="2077">
        <f>'Exhibit G State'!L55+'Exhibit G Federal'!L31</f>
        <v>10.499999999999984</v>
      </c>
      <c r="M55" s="2596"/>
      <c r="N55" s="2077">
        <f>'Exhibit G State'!N55+'Exhibit G Federal'!N31</f>
        <v>8.2000000000000242</v>
      </c>
      <c r="O55" s="2596"/>
      <c r="P55" s="2077">
        <f>'Exhibit G State'!P55+'Exhibit G Federal'!P31</f>
        <v>14.299999999999978</v>
      </c>
      <c r="Q55" s="2596"/>
      <c r="R55" s="2077">
        <f>'Exhibit G State'!R55+'Exhibit G Federal'!R31</f>
        <v>8.5000000000000213</v>
      </c>
      <c r="S55" s="2596"/>
      <c r="T55" s="2077">
        <f>'Exhibit G State'!T55+'Exhibit G Federal'!T31</f>
        <v>18.499999999999964</v>
      </c>
      <c r="U55" s="2596"/>
      <c r="V55" s="2077">
        <f>'Exhibit G State'!V55+'Exhibit G Federal'!V31</f>
        <v>6.8000000000000336</v>
      </c>
      <c r="W55" s="2596"/>
      <c r="X55" s="2077">
        <f>'Exhibit G State'!X55+'Exhibit G Federal'!X31</f>
        <v>4.4999999999999662</v>
      </c>
      <c r="Y55" s="2596"/>
      <c r="Z55" s="2077"/>
      <c r="AA55" s="2077"/>
      <c r="AB55" s="2040">
        <v>0</v>
      </c>
      <c r="AC55" s="2084"/>
      <c r="AD55" s="2045">
        <f>ROUND(SUM(D55:Z55),1)</f>
        <v>260</v>
      </c>
      <c r="AE55" s="2040"/>
      <c r="AF55" s="2084"/>
      <c r="AG55" s="2077">
        <f>'Exhibit G State'!AG55+'Exhibit G Federal'!AG31</f>
        <v>153.5</v>
      </c>
      <c r="AH55" s="3639"/>
      <c r="AI55" s="2021"/>
      <c r="AJ55" s="2045">
        <f t="shared" si="15"/>
        <v>106.5</v>
      </c>
      <c r="AK55" s="2605"/>
      <c r="AL55" s="1770">
        <f t="shared" si="16"/>
        <v>0.69399999999999995</v>
      </c>
    </row>
    <row r="56" spans="1:38" s="2235" customFormat="1" ht="15" customHeight="1">
      <c r="A56" s="2517"/>
      <c r="B56" s="2538" t="s">
        <v>1157</v>
      </c>
      <c r="C56" s="2517"/>
      <c r="D56" s="2077"/>
      <c r="E56" s="2583"/>
      <c r="F56" s="2077"/>
      <c r="G56" s="2583"/>
      <c r="H56" s="2077"/>
      <c r="I56" s="2583"/>
      <c r="J56" s="2077"/>
      <c r="K56" s="2596"/>
      <c r="L56" s="2077"/>
      <c r="M56" s="2596"/>
      <c r="N56" s="2077"/>
      <c r="O56" s="2596"/>
      <c r="P56" s="2077"/>
      <c r="Q56" s="2596"/>
      <c r="R56" s="2077"/>
      <c r="S56" s="2596"/>
      <c r="T56" s="2077"/>
      <c r="U56" s="2596"/>
      <c r="V56" s="2077"/>
      <c r="W56" s="2596"/>
      <c r="X56" s="2077"/>
      <c r="Y56" s="2596"/>
      <c r="Z56" s="2077"/>
      <c r="AA56" s="2077"/>
      <c r="AB56" s="2040"/>
      <c r="AC56" s="2084"/>
      <c r="AD56" s="2045"/>
      <c r="AE56" s="2040"/>
      <c r="AF56" s="2084"/>
      <c r="AG56" s="2077"/>
      <c r="AH56" s="3639"/>
      <c r="AI56" s="2021"/>
      <c r="AJ56" s="2045"/>
      <c r="AK56" s="2605"/>
      <c r="AL56" s="1859"/>
    </row>
    <row r="57" spans="1:38" s="2235" customFormat="1" ht="15" customHeight="1">
      <c r="A57" s="2517"/>
      <c r="B57" s="2538" t="s">
        <v>1077</v>
      </c>
      <c r="C57" s="2517"/>
      <c r="D57" s="2077">
        <f>'Exhibit G State'!D57</f>
        <v>31.4</v>
      </c>
      <c r="E57" s="2077"/>
      <c r="F57" s="2077">
        <f>'Exhibit G State'!F57</f>
        <v>18.800000000000004</v>
      </c>
      <c r="G57" s="2077"/>
      <c r="H57" s="2077">
        <f>'Exhibit G State'!H57</f>
        <v>19.700000000000003</v>
      </c>
      <c r="I57" s="2583"/>
      <c r="J57" s="2077">
        <f>'Exhibit G State'!J57</f>
        <v>37.699999999999982</v>
      </c>
      <c r="K57" s="2596"/>
      <c r="L57" s="2077">
        <f>'Exhibit G State'!L57</f>
        <v>15.300000000000004</v>
      </c>
      <c r="M57" s="2596"/>
      <c r="N57" s="2077">
        <f>'Exhibit G State'!N57</f>
        <v>20</v>
      </c>
      <c r="O57" s="2596"/>
      <c r="P57" s="2077">
        <f>'Exhibit G State'!P57</f>
        <v>36.79999999999999</v>
      </c>
      <c r="Q57" s="2596"/>
      <c r="R57" s="2077">
        <f>'Exhibit G State'!R57</f>
        <v>13.300000000000004</v>
      </c>
      <c r="S57" s="2596"/>
      <c r="T57" s="2077">
        <f>'Exhibit G State'!T57</f>
        <v>17.599999999999994</v>
      </c>
      <c r="U57" s="2596"/>
      <c r="V57" s="2077">
        <f>'Exhibit G State'!V57</f>
        <v>35.699999999999996</v>
      </c>
      <c r="W57" s="2596"/>
      <c r="X57" s="2077">
        <f>'Exhibit G State'!X57</f>
        <v>15.199999999999982</v>
      </c>
      <c r="Y57" s="2596"/>
      <c r="Z57" s="2077"/>
      <c r="AA57" s="2077"/>
      <c r="AB57" s="2040">
        <v>0</v>
      </c>
      <c r="AC57" s="2084"/>
      <c r="AD57" s="2045">
        <f t="shared" si="14"/>
        <v>261.5</v>
      </c>
      <c r="AE57" s="2040"/>
      <c r="AF57" s="2084"/>
      <c r="AG57" s="2077">
        <f>'Exhibit G State'!AG57</f>
        <v>236.7</v>
      </c>
      <c r="AH57" s="3639"/>
      <c r="AI57" s="2021"/>
      <c r="AJ57" s="2045">
        <f>ROUND(SUM(+AD57-AG57),1)</f>
        <v>24.8</v>
      </c>
      <c r="AK57" s="2605"/>
      <c r="AL57" s="1770">
        <f>ROUND(IF(AG57=0,0,AJ57/ABS(AG57)),3)</f>
        <v>0.105</v>
      </c>
    </row>
    <row r="58" spans="1:38" s="2235" customFormat="1" ht="15" customHeight="1">
      <c r="A58" s="2517"/>
      <c r="B58" s="2538" t="s">
        <v>1078</v>
      </c>
      <c r="C58" s="2517"/>
      <c r="D58" s="2077">
        <f>'Exhibit G State'!D58</f>
        <v>218.4</v>
      </c>
      <c r="E58" s="2077"/>
      <c r="F58" s="2077">
        <f>'Exhibit G State'!F58</f>
        <v>262</v>
      </c>
      <c r="G58" s="2077"/>
      <c r="H58" s="2077">
        <f>'Exhibit G State'!H58</f>
        <v>202.30000000000007</v>
      </c>
      <c r="I58" s="2583"/>
      <c r="J58" s="2077">
        <f>'Exhibit G State'!J58</f>
        <v>225.69999999999993</v>
      </c>
      <c r="K58" s="2596"/>
      <c r="L58" s="2077">
        <f>'Exhibit G State'!L58</f>
        <v>170.19999999999993</v>
      </c>
      <c r="M58" s="2596"/>
      <c r="N58" s="2077">
        <f>'Exhibit G State'!N58</f>
        <v>176.30000000000007</v>
      </c>
      <c r="O58" s="2596"/>
      <c r="P58" s="2077">
        <f>'Exhibit G State'!P58</f>
        <v>220.09999999999991</v>
      </c>
      <c r="Q58" s="2596"/>
      <c r="R58" s="2077">
        <f>'Exhibit G State'!R58</f>
        <v>177.79999999999995</v>
      </c>
      <c r="S58" s="2596"/>
      <c r="T58" s="2077">
        <f>'Exhibit G State'!T58</f>
        <v>180.00000000000011</v>
      </c>
      <c r="U58" s="2596"/>
      <c r="V58" s="2077">
        <f>'Exhibit G State'!V58</f>
        <v>221.50000000000011</v>
      </c>
      <c r="W58" s="2596"/>
      <c r="X58" s="2077">
        <f>'Exhibit G State'!X58</f>
        <v>170.19999999999993</v>
      </c>
      <c r="Y58" s="2596"/>
      <c r="Z58" s="2077"/>
      <c r="AA58" s="2077"/>
      <c r="AB58" s="2040">
        <v>0</v>
      </c>
      <c r="AC58" s="2084"/>
      <c r="AD58" s="2045">
        <f t="shared" si="14"/>
        <v>2224.5</v>
      </c>
      <c r="AE58" s="2040"/>
      <c r="AF58" s="2084"/>
      <c r="AG58" s="2077">
        <f>'Exhibit G State'!AG58</f>
        <v>2352.6</v>
      </c>
      <c r="AH58" s="3639"/>
      <c r="AI58" s="2021"/>
      <c r="AJ58" s="2045">
        <f>ROUND(SUM(+AD58-AG58),1)</f>
        <v>-128.1</v>
      </c>
      <c r="AK58" s="2605"/>
      <c r="AL58" s="1765">
        <f>ROUND(IF(AG58=0,0,AJ58/ABS(AG58)),3)</f>
        <v>-5.3999999999999999E-2</v>
      </c>
    </row>
    <row r="59" spans="1:38" s="2235" customFormat="1" ht="15" customHeight="1">
      <c r="A59" s="2517"/>
      <c r="B59" s="2538" t="s">
        <v>1079</v>
      </c>
      <c r="C59" s="2517"/>
      <c r="D59" s="2077">
        <f>'Exhibit G State'!D59</f>
        <v>76.599999999999994</v>
      </c>
      <c r="E59" s="2077"/>
      <c r="F59" s="2077">
        <f>'Exhibit G State'!F59</f>
        <v>88.5</v>
      </c>
      <c r="G59" s="2077"/>
      <c r="H59" s="2077">
        <f>'Exhibit G State'!H59</f>
        <v>63.200000000000017</v>
      </c>
      <c r="I59" s="2583"/>
      <c r="J59" s="2077">
        <f>'Exhibit G State'!J59</f>
        <v>89.5</v>
      </c>
      <c r="K59" s="2596"/>
      <c r="L59" s="2077">
        <f>'Exhibit G State'!L59</f>
        <v>76.500000000000028</v>
      </c>
      <c r="M59" s="2596"/>
      <c r="N59" s="2077">
        <f>'Exhibit G State'!N59</f>
        <v>77.5</v>
      </c>
      <c r="O59" s="2596"/>
      <c r="P59" s="2077">
        <f>'Exhibit G State'!P59</f>
        <v>94.599999999999881</v>
      </c>
      <c r="Q59" s="2596"/>
      <c r="R59" s="2077">
        <f>'Exhibit G State'!R59</f>
        <v>72.700000000000045</v>
      </c>
      <c r="S59" s="2596"/>
      <c r="T59" s="2077">
        <f>'Exhibit G State'!T59</f>
        <v>70.600000000000051</v>
      </c>
      <c r="U59" s="2596"/>
      <c r="V59" s="2077">
        <f>'Exhibit G State'!V59</f>
        <v>99</v>
      </c>
      <c r="W59" s="2596"/>
      <c r="X59" s="2077">
        <f>'Exhibit G State'!X59</f>
        <v>79.099999999999881</v>
      </c>
      <c r="Y59" s="2596"/>
      <c r="Z59" s="2077"/>
      <c r="AA59" s="2077"/>
      <c r="AB59" s="2040">
        <v>0</v>
      </c>
      <c r="AC59" s="2084"/>
      <c r="AD59" s="2045">
        <f t="shared" si="14"/>
        <v>887.8</v>
      </c>
      <c r="AE59" s="2040"/>
      <c r="AF59" s="2084"/>
      <c r="AG59" s="2077">
        <f>'Exhibit G State'!AG59</f>
        <v>874.7</v>
      </c>
      <c r="AH59" s="3639"/>
      <c r="AI59" s="2021"/>
      <c r="AJ59" s="2045">
        <f>ROUND(SUM(+AD59-AG59),1)</f>
        <v>13.1</v>
      </c>
      <c r="AK59" s="2605"/>
      <c r="AL59" s="1765">
        <f>ROUND(IF(AG59=0,0,AJ59/ABS(AG59)),3)</f>
        <v>1.4999999999999999E-2</v>
      </c>
    </row>
    <row r="60" spans="1:38" s="2235" customFormat="1" ht="15" customHeight="1">
      <c r="A60" s="2517"/>
      <c r="B60" s="2538" t="s">
        <v>1035</v>
      </c>
      <c r="C60" s="2517"/>
      <c r="D60" s="2077">
        <f>'Exhibit G State'!D60+'Exhibit G Federal'!D32</f>
        <v>20.9</v>
      </c>
      <c r="E60" s="2077"/>
      <c r="F60" s="2077">
        <f>'Exhibit G State'!F60+'Exhibit G Federal'!F32</f>
        <v>21.000000000000004</v>
      </c>
      <c r="G60" s="2077"/>
      <c r="H60" s="2077">
        <f>'Exhibit G State'!H60+'Exhibit G Federal'!H32</f>
        <v>23.8</v>
      </c>
      <c r="I60" s="2583"/>
      <c r="J60" s="2077">
        <f>'Exhibit G State'!J60+'Exhibit G Federal'!J32</f>
        <v>21.699999999999996</v>
      </c>
      <c r="K60" s="2596"/>
      <c r="L60" s="2077">
        <f>'Exhibit G State'!L60+'Exhibit G Federal'!L32</f>
        <v>24.000000000000014</v>
      </c>
      <c r="M60" s="2596"/>
      <c r="N60" s="2077">
        <f>'Exhibit G State'!N60+'Exhibit G Federal'!N32</f>
        <v>21.79999999999999</v>
      </c>
      <c r="O60" s="2596"/>
      <c r="P60" s="2077">
        <f>'Exhibit G State'!P60+'Exhibit G Federal'!P32</f>
        <v>21.899999999999981</v>
      </c>
      <c r="Q60" s="2596"/>
      <c r="R60" s="2077">
        <f>'Exhibit G State'!R60+'Exhibit G Federal'!R32</f>
        <v>20.500000000000018</v>
      </c>
      <c r="S60" s="2596"/>
      <c r="T60" s="2077">
        <f>'Exhibit G State'!T60+'Exhibit G Federal'!T32</f>
        <v>16.100000000000005</v>
      </c>
      <c r="U60" s="2596"/>
      <c r="V60" s="2077">
        <f>'Exhibit G State'!V60+'Exhibit G Federal'!V32</f>
        <v>16.900000000000023</v>
      </c>
      <c r="W60" s="2596"/>
      <c r="X60" s="2077">
        <f>'Exhibit G State'!X60+'Exhibit G Federal'!X32</f>
        <v>17.799999999999979</v>
      </c>
      <c r="Y60" s="2596"/>
      <c r="Z60" s="2077"/>
      <c r="AA60" s="2077"/>
      <c r="AB60" s="2040">
        <v>0</v>
      </c>
      <c r="AC60" s="2084"/>
      <c r="AD60" s="2045">
        <f>ROUND(SUM(D60:Z60),1)</f>
        <v>226.4</v>
      </c>
      <c r="AE60" s="2040"/>
      <c r="AF60" s="2084"/>
      <c r="AG60" s="2077">
        <f>'Exhibit G State'!AG60+'Exhibit G Federal'!AG32</f>
        <v>177.29999999999998</v>
      </c>
      <c r="AH60" s="3639"/>
      <c r="AI60" s="2021"/>
      <c r="AJ60" s="2045">
        <f>ROUND(SUM(+AD60-AG60),1)</f>
        <v>49.1</v>
      </c>
      <c r="AK60" s="2605"/>
      <c r="AL60" s="1765">
        <f>ROUND(IF(AG60=0,0,AJ60/ABS(AG60)),3)</f>
        <v>0.27700000000000002</v>
      </c>
    </row>
    <row r="61" spans="1:38" s="2235" customFormat="1" ht="15" customHeight="1">
      <c r="A61" s="2517"/>
      <c r="B61" s="2538" t="s">
        <v>1158</v>
      </c>
      <c r="C61" s="2517"/>
      <c r="D61" s="2077"/>
      <c r="E61" s="2583"/>
      <c r="F61" s="2077"/>
      <c r="G61" s="2583"/>
      <c r="H61" s="2077"/>
      <c r="I61" s="2583"/>
      <c r="J61" s="2077"/>
      <c r="K61" s="2596"/>
      <c r="L61" s="2077"/>
      <c r="M61" s="2596"/>
      <c r="N61" s="2077"/>
      <c r="O61" s="2596"/>
      <c r="P61" s="2077"/>
      <c r="Q61" s="2596"/>
      <c r="R61" s="2077"/>
      <c r="S61" s="2596"/>
      <c r="T61" s="2077"/>
      <c r="U61" s="2596"/>
      <c r="V61" s="2077"/>
      <c r="W61" s="2596"/>
      <c r="X61" s="2077"/>
      <c r="Y61" s="2596"/>
      <c r="Z61" s="2077"/>
      <c r="AA61" s="2077"/>
      <c r="AB61" s="2040"/>
      <c r="AC61" s="2084"/>
      <c r="AD61" s="2045"/>
      <c r="AE61" s="2040"/>
      <c r="AF61" s="2084"/>
      <c r="AG61" s="2077"/>
      <c r="AH61" s="3639"/>
      <c r="AI61" s="2021"/>
      <c r="AJ61" s="2045"/>
      <c r="AK61" s="2605"/>
      <c r="AL61" s="1859"/>
    </row>
    <row r="62" spans="1:38" s="2235" customFormat="1" ht="15" customHeight="1">
      <c r="A62" s="2517"/>
      <c r="B62" s="2538" t="s">
        <v>1080</v>
      </c>
      <c r="C62" s="2517"/>
      <c r="D62" s="2077">
        <f>'Exhibit G State'!D62+'Exhibit G Federal'!D34</f>
        <v>0</v>
      </c>
      <c r="E62" s="2077"/>
      <c r="F62" s="2077">
        <f>'Exhibit G State'!F62+'Exhibit G Federal'!F34</f>
        <v>0</v>
      </c>
      <c r="G62" s="2077"/>
      <c r="H62" s="2077">
        <f>'Exhibit G State'!H62+'Exhibit G Federal'!H34</f>
        <v>0</v>
      </c>
      <c r="I62" s="2583"/>
      <c r="J62" s="2077">
        <f>'Exhibit G State'!J62+'Exhibit G Federal'!J34</f>
        <v>0</v>
      </c>
      <c r="K62" s="2596"/>
      <c r="L62" s="2077">
        <f>'Exhibit G State'!L62+'Exhibit G Federal'!L34</f>
        <v>0</v>
      </c>
      <c r="M62" s="2596"/>
      <c r="N62" s="2077">
        <f>'Exhibit G State'!N62+'Exhibit G Federal'!N34</f>
        <v>0</v>
      </c>
      <c r="O62" s="2596"/>
      <c r="P62" s="2077">
        <f>'Exhibit G State'!P62+'Exhibit G Federal'!P34</f>
        <v>0</v>
      </c>
      <c r="Q62" s="2596"/>
      <c r="R62" s="2077">
        <f>'Exhibit G State'!R62+'Exhibit G Federal'!R34</f>
        <v>0</v>
      </c>
      <c r="S62" s="2596"/>
      <c r="T62" s="2077">
        <f>'Exhibit G State'!T62+'Exhibit G Federal'!T34</f>
        <v>0</v>
      </c>
      <c r="U62" s="2596"/>
      <c r="V62" s="2077">
        <f>'Exhibit G State'!V62+'Exhibit G Federal'!V34</f>
        <v>0</v>
      </c>
      <c r="W62" s="2596"/>
      <c r="X62" s="2077">
        <f>'Exhibit G State'!X62+'Exhibit G Federal'!X34</f>
        <v>0</v>
      </c>
      <c r="Y62" s="2596"/>
      <c r="Z62" s="2077"/>
      <c r="AA62" s="2077"/>
      <c r="AB62" s="2040">
        <v>0</v>
      </c>
      <c r="AC62" s="2084"/>
      <c r="AD62" s="2045">
        <f t="shared" si="14"/>
        <v>0</v>
      </c>
      <c r="AE62" s="2040"/>
      <c r="AF62" s="2084"/>
      <c r="AG62" s="2077">
        <f>'Exhibit G State'!AG62+'Exhibit G Federal'!AG34</f>
        <v>0</v>
      </c>
      <c r="AH62" s="3639"/>
      <c r="AI62" s="2021"/>
      <c r="AJ62" s="2045">
        <f t="shared" ref="AJ62:AJ67" si="17">ROUND(SUM(+AD62-AG62),1)</f>
        <v>0</v>
      </c>
      <c r="AK62" s="2605"/>
      <c r="AL62" s="1765">
        <f>ROUND(IF(AG62=0,0,AJ62/ABS(AG62)),3)</f>
        <v>0</v>
      </c>
    </row>
    <row r="63" spans="1:38" s="2235" customFormat="1" ht="15" customHeight="1">
      <c r="A63" s="2517"/>
      <c r="B63" s="2538" t="s">
        <v>1081</v>
      </c>
      <c r="C63" s="2517"/>
      <c r="D63" s="2077">
        <f>'Exhibit G State'!D63+'Exhibit G Federal'!D35</f>
        <v>0</v>
      </c>
      <c r="E63" s="2077"/>
      <c r="F63" s="2077">
        <f>'Exhibit G State'!F63+'Exhibit G Federal'!F35</f>
        <v>0</v>
      </c>
      <c r="G63" s="2077"/>
      <c r="H63" s="2077">
        <f>'Exhibit G State'!H63+'Exhibit G Federal'!H35</f>
        <v>0</v>
      </c>
      <c r="I63" s="2583"/>
      <c r="J63" s="2077">
        <f>'Exhibit G State'!J63+'Exhibit G Federal'!J35</f>
        <v>0</v>
      </c>
      <c r="K63" s="2596"/>
      <c r="L63" s="2077">
        <f>'Exhibit G State'!L63+'Exhibit G Federal'!L35</f>
        <v>0</v>
      </c>
      <c r="M63" s="2596"/>
      <c r="N63" s="2077">
        <f>'Exhibit G State'!N63+'Exhibit G Federal'!N35</f>
        <v>23.1</v>
      </c>
      <c r="O63" s="2596"/>
      <c r="P63" s="2077">
        <f>'Exhibit G State'!P63+'Exhibit G Federal'!P35</f>
        <v>5.5999999999999979</v>
      </c>
      <c r="Q63" s="2596"/>
      <c r="R63" s="2077">
        <f>'Exhibit G State'!R63+'Exhibit G Federal'!R35</f>
        <v>0</v>
      </c>
      <c r="S63" s="2596"/>
      <c r="T63" s="2077">
        <f>'Exhibit G State'!T63+'Exhibit G Federal'!T35</f>
        <v>3.9000000000000021</v>
      </c>
      <c r="U63" s="2596"/>
      <c r="V63" s="2077">
        <f>'Exhibit G State'!V63+'Exhibit G Federal'!V35</f>
        <v>-12.200000000000003</v>
      </c>
      <c r="W63" s="2596"/>
      <c r="X63" s="2077">
        <f>'Exhibit G State'!X63+'Exhibit G Federal'!X35</f>
        <v>2.6000000000000014</v>
      </c>
      <c r="Y63" s="2596"/>
      <c r="Z63" s="2077"/>
      <c r="AA63" s="2077"/>
      <c r="AB63" s="2040">
        <v>0</v>
      </c>
      <c r="AC63" s="2084"/>
      <c r="AD63" s="2045">
        <f t="shared" si="14"/>
        <v>23</v>
      </c>
      <c r="AE63" s="2040"/>
      <c r="AF63" s="2084"/>
      <c r="AG63" s="2077">
        <f>'Exhibit G State'!AG63+'Exhibit G Federal'!AG35</f>
        <v>20.399999999999999</v>
      </c>
      <c r="AH63" s="3639"/>
      <c r="AI63" s="2021"/>
      <c r="AJ63" s="2045">
        <f t="shared" si="17"/>
        <v>2.6</v>
      </c>
      <c r="AK63" s="2605"/>
      <c r="AL63" s="1765">
        <f>ROUND(IF(AG63=0,0,AJ63/ABS(AG63)),3)</f>
        <v>0.127</v>
      </c>
    </row>
    <row r="64" spans="1:38" s="2235" customFormat="1" ht="15" customHeight="1">
      <c r="A64" s="2517"/>
      <c r="B64" s="2538" t="s">
        <v>1082</v>
      </c>
      <c r="C64" s="2517"/>
      <c r="D64" s="2077">
        <f>'Exhibit G State'!D64+'Exhibit G Federal'!D36</f>
        <v>2</v>
      </c>
      <c r="E64" s="2077"/>
      <c r="F64" s="2077">
        <f>'Exhibit G State'!F64+'Exhibit G Federal'!F36</f>
        <v>1</v>
      </c>
      <c r="G64" s="2077"/>
      <c r="H64" s="2077">
        <f>'Exhibit G State'!H64+'Exhibit G Federal'!H36</f>
        <v>4.2</v>
      </c>
      <c r="I64" s="2583"/>
      <c r="J64" s="2077">
        <f>'Exhibit G State'!J64+'Exhibit G Federal'!J36</f>
        <v>0</v>
      </c>
      <c r="K64" s="2596"/>
      <c r="L64" s="2077">
        <f>'Exhibit G State'!L64+'Exhibit G Federal'!L36</f>
        <v>0</v>
      </c>
      <c r="M64" s="2596"/>
      <c r="N64" s="2077">
        <f>'Exhibit G State'!N64+'Exhibit G Federal'!N36</f>
        <v>0</v>
      </c>
      <c r="O64" s="2596"/>
      <c r="P64" s="2077">
        <f>'Exhibit G State'!P64+'Exhibit G Federal'!P36</f>
        <v>0</v>
      </c>
      <c r="Q64" s="2596"/>
      <c r="R64" s="2077">
        <f>'Exhibit G State'!R64+'Exhibit G Federal'!R36</f>
        <v>0</v>
      </c>
      <c r="S64" s="2596"/>
      <c r="T64" s="2077">
        <f>'Exhibit G State'!T64+'Exhibit G Federal'!T36</f>
        <v>0</v>
      </c>
      <c r="U64" s="2596"/>
      <c r="V64" s="2077">
        <f>'Exhibit G State'!V64+'Exhibit G Federal'!V36</f>
        <v>0</v>
      </c>
      <c r="W64" s="2596"/>
      <c r="X64" s="2077">
        <f>'Exhibit G State'!X64+'Exhibit G Federal'!X36</f>
        <v>0</v>
      </c>
      <c r="Y64" s="2596"/>
      <c r="Z64" s="2077"/>
      <c r="AA64" s="2077"/>
      <c r="AB64" s="2040">
        <v>0</v>
      </c>
      <c r="AC64" s="2084"/>
      <c r="AD64" s="2045">
        <f t="shared" si="14"/>
        <v>7.2</v>
      </c>
      <c r="AE64" s="2040"/>
      <c r="AF64" s="2084"/>
      <c r="AG64" s="2077">
        <f>'Exhibit G State'!AG64+'Exhibit G Federal'!AG36</f>
        <v>7.2</v>
      </c>
      <c r="AH64" s="3639"/>
      <c r="AI64" s="2021"/>
      <c r="AJ64" s="2045">
        <f t="shared" si="17"/>
        <v>0</v>
      </c>
      <c r="AK64" s="2605"/>
      <c r="AL64" s="1770">
        <f t="shared" ref="AL64:AL67" si="18">ROUND(IF(AG64=0,0,AJ64/ABS(AG64)),3)</f>
        <v>0</v>
      </c>
    </row>
    <row r="65" spans="1:38" s="2235" customFormat="1" ht="15" customHeight="1">
      <c r="A65" s="2517"/>
      <c r="B65" s="2538" t="s">
        <v>1083</v>
      </c>
      <c r="C65" s="2517"/>
      <c r="D65" s="2077">
        <f>'Exhibit G State'!D65+'Exhibit G Federal'!D37</f>
        <v>0.6</v>
      </c>
      <c r="E65" s="2077"/>
      <c r="F65" s="2077">
        <f>'Exhibit G State'!F65+'Exhibit G Federal'!F37</f>
        <v>4.7</v>
      </c>
      <c r="G65" s="2077"/>
      <c r="H65" s="2077">
        <f>'Exhibit G State'!H65+'Exhibit G Federal'!H37</f>
        <v>4.3</v>
      </c>
      <c r="I65" s="2583"/>
      <c r="J65" s="2077">
        <f>'Exhibit G State'!J65+'Exhibit G Federal'!J37</f>
        <v>13.5</v>
      </c>
      <c r="K65" s="2596"/>
      <c r="L65" s="2077">
        <f>'Exhibit G State'!L65+'Exhibit G Federal'!L37</f>
        <v>0</v>
      </c>
      <c r="M65" s="2596"/>
      <c r="N65" s="2077">
        <f>'Exhibit G State'!N65+'Exhibit G Federal'!N37</f>
        <v>1.6999999999999993</v>
      </c>
      <c r="O65" s="2596"/>
      <c r="P65" s="2077">
        <f>'Exhibit G State'!P65+'Exhibit G Federal'!P37</f>
        <v>4.3999999999999986</v>
      </c>
      <c r="Q65" s="2596"/>
      <c r="R65" s="2077">
        <f>'Exhibit G State'!R65+'Exhibit G Federal'!R37</f>
        <v>0</v>
      </c>
      <c r="S65" s="2596"/>
      <c r="T65" s="2077">
        <f>'Exhibit G State'!T65+'Exhibit G Federal'!T37</f>
        <v>2.6000000000000014</v>
      </c>
      <c r="U65" s="2596"/>
      <c r="V65" s="2077">
        <f>'Exhibit G State'!V65+'Exhibit G Federal'!V37</f>
        <v>23.099999999999998</v>
      </c>
      <c r="W65" s="2596"/>
      <c r="X65" s="2077">
        <f>'Exhibit G State'!X65+'Exhibit G Federal'!X37</f>
        <v>2.1999999999999993</v>
      </c>
      <c r="Y65" s="2596"/>
      <c r="Z65" s="2077"/>
      <c r="AA65" s="2077"/>
      <c r="AB65" s="2040">
        <v>0</v>
      </c>
      <c r="AC65" s="2084"/>
      <c r="AD65" s="2045">
        <f t="shared" si="14"/>
        <v>57.1</v>
      </c>
      <c r="AE65" s="2040"/>
      <c r="AF65" s="2084"/>
      <c r="AG65" s="2077">
        <f>'Exhibit G State'!AG65+'Exhibit G Federal'!AG37</f>
        <v>51.9</v>
      </c>
      <c r="AH65" s="3639"/>
      <c r="AI65" s="2021"/>
      <c r="AJ65" s="2045">
        <f t="shared" si="17"/>
        <v>5.2</v>
      </c>
      <c r="AK65" s="2605"/>
      <c r="AL65" s="1765">
        <f t="shared" si="18"/>
        <v>0.1</v>
      </c>
    </row>
    <row r="66" spans="1:38" s="2235" customFormat="1" ht="15" customHeight="1">
      <c r="A66" s="2517"/>
      <c r="B66" s="2538" t="s">
        <v>1053</v>
      </c>
      <c r="C66" s="2517"/>
      <c r="D66" s="2077">
        <f>'Exhibit G State'!D66+'Exhibit G Federal'!D38</f>
        <v>9.4</v>
      </c>
      <c r="E66" s="2077"/>
      <c r="F66" s="2077">
        <f>'Exhibit G State'!F66+'Exhibit G Federal'!F38</f>
        <v>2.6999999999999993</v>
      </c>
      <c r="G66" s="2077"/>
      <c r="H66" s="2077">
        <f>'Exhibit G State'!H66+'Exhibit G Federal'!H38</f>
        <v>6.2999999999999989</v>
      </c>
      <c r="I66" s="2583"/>
      <c r="J66" s="2077">
        <f>'Exhibit G State'!J66+'Exhibit G Federal'!J38</f>
        <v>3.6000000000000014</v>
      </c>
      <c r="K66" s="2596"/>
      <c r="L66" s="2077">
        <f>'Exhibit G State'!L66+'Exhibit G Federal'!L38</f>
        <v>2.3000000000000007</v>
      </c>
      <c r="M66" s="2596"/>
      <c r="N66" s="2077">
        <f>'Exhibit G State'!N66+'Exhibit G Federal'!N38</f>
        <v>5.8999999999999968</v>
      </c>
      <c r="O66" s="2596"/>
      <c r="P66" s="2077">
        <f>'Exhibit G State'!P66+'Exhibit G Federal'!P38</f>
        <v>3.9000000000000057</v>
      </c>
      <c r="Q66" s="2596"/>
      <c r="R66" s="2077">
        <f>'Exhibit G State'!R66+'Exhibit G Federal'!R38</f>
        <v>1.7999999999999954</v>
      </c>
      <c r="S66" s="2596"/>
      <c r="T66" s="2077">
        <f>'Exhibit G State'!T66+'Exhibit G Federal'!T38</f>
        <v>5.8999999999999986</v>
      </c>
      <c r="U66" s="2596"/>
      <c r="V66" s="2077">
        <f>'Exhibit G State'!V66+'Exhibit G Federal'!V38</f>
        <v>2.1000000000000014</v>
      </c>
      <c r="W66" s="2596"/>
      <c r="X66" s="2077">
        <f>'Exhibit G State'!X66+'Exhibit G Federal'!X38</f>
        <v>1.7000000000000028</v>
      </c>
      <c r="Y66" s="2596"/>
      <c r="Z66" s="2077"/>
      <c r="AA66" s="2077"/>
      <c r="AB66" s="2040">
        <v>0</v>
      </c>
      <c r="AC66" s="2084"/>
      <c r="AD66" s="2045">
        <f t="shared" si="14"/>
        <v>45.6</v>
      </c>
      <c r="AE66" s="2040"/>
      <c r="AF66" s="2084"/>
      <c r="AG66" s="2077">
        <f>'Exhibit G State'!AG66+'Exhibit G Federal'!AG38</f>
        <v>97.7</v>
      </c>
      <c r="AH66" s="3639"/>
      <c r="AI66" s="2021"/>
      <c r="AJ66" s="2045">
        <f t="shared" si="17"/>
        <v>-52.1</v>
      </c>
      <c r="AK66" s="2605"/>
      <c r="AL66" s="1765">
        <f t="shared" si="18"/>
        <v>-0.53300000000000003</v>
      </c>
    </row>
    <row r="67" spans="1:38" s="2235" customFormat="1" ht="15" customHeight="1">
      <c r="A67" s="2517"/>
      <c r="B67" s="2538" t="s">
        <v>1054</v>
      </c>
      <c r="C67" s="2517"/>
      <c r="D67" s="2077">
        <f>'Exhibit G State'!D67+'Exhibit G Federal'!D39</f>
        <v>39</v>
      </c>
      <c r="E67" s="2077"/>
      <c r="F67" s="2077">
        <f>'Exhibit G State'!F67+'Exhibit G Federal'!F39</f>
        <v>28.200000000000003</v>
      </c>
      <c r="G67" s="2077"/>
      <c r="H67" s="2077">
        <f>'Exhibit G State'!H67+'Exhibit G Federal'!H39</f>
        <v>8.3999999999999915</v>
      </c>
      <c r="I67" s="2583"/>
      <c r="J67" s="2077">
        <f>'Exhibit G State'!J67+'Exhibit G Federal'!J39</f>
        <v>29.300000000000011</v>
      </c>
      <c r="K67" s="2596"/>
      <c r="L67" s="2077">
        <f>'Exhibit G State'!L67+'Exhibit G Federal'!L39</f>
        <v>0.90000000000000568</v>
      </c>
      <c r="M67" s="2596"/>
      <c r="N67" s="2077">
        <f>'Exhibit G State'!N67+'Exhibit G Federal'!N39</f>
        <v>0.49999999999998579</v>
      </c>
      <c r="O67" s="2596"/>
      <c r="P67" s="2077">
        <f>'Exhibit G State'!P67+'Exhibit G Federal'!P39</f>
        <v>65.500000000000014</v>
      </c>
      <c r="Q67" s="2596"/>
      <c r="R67" s="2077">
        <f>'Exhibit G State'!R67+'Exhibit G Federal'!R39</f>
        <v>24.500000000000014</v>
      </c>
      <c r="S67" s="2596"/>
      <c r="T67" s="2077">
        <f>'Exhibit G State'!T67+'Exhibit G Federal'!T39</f>
        <v>22.399999999999991</v>
      </c>
      <c r="U67" s="2596"/>
      <c r="V67" s="2077">
        <f>'Exhibit G State'!V67+'Exhibit G Federal'!V39</f>
        <v>48.100000000000037</v>
      </c>
      <c r="W67" s="2596"/>
      <c r="X67" s="2077">
        <f>'Exhibit G State'!X67+'Exhibit G Federal'!X39</f>
        <v>87.100000000000009</v>
      </c>
      <c r="Y67" s="2596"/>
      <c r="Z67" s="2077"/>
      <c r="AA67" s="2077"/>
      <c r="AB67" s="2040">
        <v>0</v>
      </c>
      <c r="AC67" s="2084"/>
      <c r="AD67" s="2045">
        <f t="shared" si="14"/>
        <v>353.9</v>
      </c>
      <c r="AE67" s="2040"/>
      <c r="AF67" s="2084"/>
      <c r="AG67" s="2077">
        <f>'Exhibit G State'!AG67+'Exhibit G Federal'!AG39</f>
        <v>377.09999999999997</v>
      </c>
      <c r="AH67" s="3639"/>
      <c r="AI67" s="2021"/>
      <c r="AJ67" s="2045">
        <f t="shared" si="17"/>
        <v>-23.2</v>
      </c>
      <c r="AK67" s="2605"/>
      <c r="AL67" s="1770">
        <f t="shared" si="18"/>
        <v>-6.2E-2</v>
      </c>
    </row>
    <row r="68" spans="1:38" s="2235" customFormat="1" ht="15" customHeight="1">
      <c r="A68" s="2517"/>
      <c r="B68" s="2538" t="s">
        <v>1159</v>
      </c>
      <c r="C68" s="2517"/>
      <c r="D68" s="2077"/>
      <c r="E68" s="2077"/>
      <c r="F68" s="2077"/>
      <c r="G68" s="2583"/>
      <c r="H68" s="2077"/>
      <c r="I68" s="2583"/>
      <c r="J68" s="2077"/>
      <c r="K68" s="2596"/>
      <c r="L68" s="2077"/>
      <c r="M68" s="2596"/>
      <c r="N68" s="2077"/>
      <c r="O68" s="2596"/>
      <c r="P68" s="2077"/>
      <c r="Q68" s="2596"/>
      <c r="R68" s="2077"/>
      <c r="S68" s="2596"/>
      <c r="T68" s="2077"/>
      <c r="U68" s="2596"/>
      <c r="V68" s="2077"/>
      <c r="W68" s="2596"/>
      <c r="X68" s="2077"/>
      <c r="Y68" s="2596"/>
      <c r="Z68" s="2077"/>
      <c r="AA68" s="2077"/>
      <c r="AB68" s="2040"/>
      <c r="AC68" s="2084"/>
      <c r="AD68" s="2045"/>
      <c r="AE68" s="2040"/>
      <c r="AF68" s="2084"/>
      <c r="AG68" s="2077"/>
      <c r="AH68" s="3639"/>
      <c r="AI68" s="2021"/>
      <c r="AJ68" s="2045"/>
      <c r="AK68" s="2605"/>
      <c r="AL68" s="1859"/>
    </row>
    <row r="69" spans="1:38" s="2235" customFormat="1" ht="15" customHeight="1">
      <c r="A69" s="2517"/>
      <c r="B69" s="2538" t="s">
        <v>1084</v>
      </c>
      <c r="C69" s="2517"/>
      <c r="D69" s="2077">
        <f>'Exhibit G State'!D69+'Exhibit G Federal'!D41</f>
        <v>1.4</v>
      </c>
      <c r="E69" s="2077"/>
      <c r="F69" s="2077">
        <f>'Exhibit G State'!F69+'Exhibit G Federal'!F41</f>
        <v>1.8000000000000003</v>
      </c>
      <c r="G69" s="2077"/>
      <c r="H69" s="2077">
        <f>'Exhibit G State'!H69+'Exhibit G Federal'!H41</f>
        <v>4.5999999999999996</v>
      </c>
      <c r="I69" s="2583"/>
      <c r="J69" s="2077">
        <f>'Exhibit G State'!J69+'Exhibit G Federal'!J41</f>
        <v>17.600000000000001</v>
      </c>
      <c r="K69" s="2596"/>
      <c r="L69" s="2077">
        <f>'Exhibit G State'!L69+'Exhibit G Federal'!L41</f>
        <v>4.2999999999999972</v>
      </c>
      <c r="M69" s="2596"/>
      <c r="N69" s="2077">
        <f>'Exhibit G State'!N69+'Exhibit G Federal'!N41</f>
        <v>3.7000000000000028</v>
      </c>
      <c r="O69" s="2596"/>
      <c r="P69" s="2077">
        <f>'Exhibit G State'!P69+'Exhibit G Federal'!P41</f>
        <v>26.200000000000003</v>
      </c>
      <c r="Q69" s="2596"/>
      <c r="R69" s="2077">
        <f>'Exhibit G State'!R69+'Exhibit G Federal'!R41</f>
        <v>27.300000000000004</v>
      </c>
      <c r="S69" s="2596"/>
      <c r="T69" s="2077">
        <f>'Exhibit G State'!T69+'Exhibit G Federal'!T41</f>
        <v>15.899999999999999</v>
      </c>
      <c r="U69" s="2596"/>
      <c r="V69" s="2077">
        <f>'Exhibit G State'!V69+'Exhibit G Federal'!V41</f>
        <v>15.799999999999983</v>
      </c>
      <c r="W69" s="2596"/>
      <c r="X69" s="2077">
        <f>'Exhibit G State'!X69+'Exhibit G Federal'!X41</f>
        <v>32.200000000000017</v>
      </c>
      <c r="Y69" s="2596"/>
      <c r="Z69" s="2077"/>
      <c r="AA69" s="2077"/>
      <c r="AB69" s="2040">
        <v>0</v>
      </c>
      <c r="AC69" s="2084"/>
      <c r="AD69" s="2045">
        <f t="shared" si="14"/>
        <v>150.80000000000001</v>
      </c>
      <c r="AE69" s="2040"/>
      <c r="AF69" s="2084"/>
      <c r="AG69" s="2077">
        <f>'Exhibit G State'!AG69+'Exhibit G Federal'!AG41</f>
        <v>116.8</v>
      </c>
      <c r="AH69" s="3639"/>
      <c r="AI69" s="2021"/>
      <c r="AJ69" s="2045">
        <f t="shared" ref="AJ69:AJ80" si="19">ROUND(SUM(+AD69-AG69),1)</f>
        <v>34</v>
      </c>
      <c r="AK69" s="2605"/>
      <c r="AL69" s="1770">
        <f>ROUND(IF(AG69=0,0,AJ69/ABS(AG69)),3)</f>
        <v>0.29099999999999998</v>
      </c>
    </row>
    <row r="70" spans="1:38" s="2235" customFormat="1" ht="15" customHeight="1">
      <c r="A70" s="2517"/>
      <c r="B70" s="2538" t="s">
        <v>1085</v>
      </c>
      <c r="C70" s="2517"/>
      <c r="D70" s="2077">
        <f>'Exhibit G State'!D70+'Exhibit G Federal'!D42</f>
        <v>0.5</v>
      </c>
      <c r="E70" s="2077"/>
      <c r="F70" s="2077">
        <f>'Exhibit G State'!F70+'Exhibit G Federal'!F42</f>
        <v>0.4</v>
      </c>
      <c r="G70" s="2077"/>
      <c r="H70" s="2077">
        <f>'Exhibit G State'!H70+'Exhibit G Federal'!H42</f>
        <v>0.6</v>
      </c>
      <c r="I70" s="2583"/>
      <c r="J70" s="2077">
        <f>'Exhibit G State'!J70+'Exhibit G Federal'!J42</f>
        <v>0.4000000000000058</v>
      </c>
      <c r="K70" s="2596"/>
      <c r="L70" s="2077">
        <f>'Exhibit G State'!L70+'Exhibit G Federal'!L42</f>
        <v>0.39999999999999147</v>
      </c>
      <c r="M70" s="2596"/>
      <c r="N70" s="2077">
        <f>'Exhibit G State'!N70+'Exhibit G Federal'!N42</f>
        <v>0.79999999999999716</v>
      </c>
      <c r="O70" s="2596"/>
      <c r="P70" s="2077">
        <f>'Exhibit G State'!P70+'Exhibit G Federal'!P42</f>
        <v>0.70000000000001705</v>
      </c>
      <c r="Q70" s="2596"/>
      <c r="R70" s="2077">
        <f>'Exhibit G State'!R70+'Exhibit G Federal'!R42</f>
        <v>0.69999999999999396</v>
      </c>
      <c r="S70" s="2596"/>
      <c r="T70" s="2077">
        <f>'Exhibit G State'!T70+'Exhibit G Federal'!T42</f>
        <v>82.300000000000011</v>
      </c>
      <c r="U70" s="2596"/>
      <c r="V70" s="2077">
        <f>'Exhibit G State'!V70+'Exhibit G Federal'!V42</f>
        <v>-67.399999999999977</v>
      </c>
      <c r="W70" s="2596"/>
      <c r="X70" s="2077">
        <f>'Exhibit G State'!X70+'Exhibit G Federal'!X42</f>
        <v>7.2999999999999829</v>
      </c>
      <c r="Y70" s="2596"/>
      <c r="Z70" s="2077"/>
      <c r="AA70" s="2077"/>
      <c r="AB70" s="2040">
        <v>0</v>
      </c>
      <c r="AC70" s="2084"/>
      <c r="AD70" s="2045">
        <f t="shared" si="14"/>
        <v>26.7</v>
      </c>
      <c r="AE70" s="2040"/>
      <c r="AF70" s="2084"/>
      <c r="AG70" s="2077">
        <f>'Exhibit G State'!AG70+'Exhibit G Federal'!AG42</f>
        <v>14.8</v>
      </c>
      <c r="AH70" s="3639"/>
      <c r="AI70" s="2021"/>
      <c r="AJ70" s="2045">
        <f t="shared" si="19"/>
        <v>11.9</v>
      </c>
      <c r="AK70" s="2605"/>
      <c r="AL70" s="1765">
        <f>ROUND(IF(AG70=0,1,AJ70/ABS(AG70)),3)</f>
        <v>0.80400000000000005</v>
      </c>
    </row>
    <row r="71" spans="1:38" s="2235" customFormat="1" ht="15" customHeight="1">
      <c r="A71" s="2517"/>
      <c r="B71" s="2538" t="s">
        <v>1389</v>
      </c>
      <c r="C71" s="2517"/>
      <c r="D71" s="2077">
        <f>'Exhibit G State'!D71</f>
        <v>0</v>
      </c>
      <c r="E71" s="2077"/>
      <c r="F71" s="2077">
        <f>'Exhibit G State'!F71</f>
        <v>0</v>
      </c>
      <c r="G71" s="2077"/>
      <c r="H71" s="2077">
        <f>'Exhibit G State'!H71</f>
        <v>0</v>
      </c>
      <c r="I71" s="3763"/>
      <c r="J71" s="2077">
        <f>'Exhibit G State'!J71</f>
        <v>0</v>
      </c>
      <c r="K71" s="3763"/>
      <c r="L71" s="2077">
        <f>'Exhibit G State'!L71</f>
        <v>0</v>
      </c>
      <c r="M71" s="3763"/>
      <c r="N71" s="2077">
        <f>'Exhibit G State'!N71</f>
        <v>0</v>
      </c>
      <c r="O71" s="3763"/>
      <c r="P71" s="2077">
        <f>'Exhibit G State'!P71</f>
        <v>0</v>
      </c>
      <c r="Q71" s="3763"/>
      <c r="R71" s="2077">
        <f>'Exhibit G State'!R71</f>
        <v>0</v>
      </c>
      <c r="S71" s="3763"/>
      <c r="T71" s="2077">
        <f>'Exhibit G State'!T71</f>
        <v>0</v>
      </c>
      <c r="U71" s="2596"/>
      <c r="V71" s="2077">
        <f>'Exhibit G State'!V71</f>
        <v>468</v>
      </c>
      <c r="W71" s="2596"/>
      <c r="X71" s="2077">
        <f>'Exhibit G State'!X71</f>
        <v>0</v>
      </c>
      <c r="Y71" s="2596"/>
      <c r="Z71" s="2077"/>
      <c r="AA71" s="2077"/>
      <c r="AB71" s="2040">
        <v>0</v>
      </c>
      <c r="AC71" s="2084"/>
      <c r="AD71" s="2045">
        <f>ROUND(SUM(D71:Z71),1)</f>
        <v>468</v>
      </c>
      <c r="AE71" s="2040"/>
      <c r="AF71" s="2084"/>
      <c r="AG71" s="2077">
        <f>'Exhibit G State'!AG71</f>
        <v>1068</v>
      </c>
      <c r="AH71" s="3639"/>
      <c r="AI71" s="2021"/>
      <c r="AJ71" s="2045">
        <f t="shared" ref="AJ71" si="20">ROUND(SUM(+AD71-AG71),1)</f>
        <v>-600</v>
      </c>
      <c r="AK71" s="2605"/>
      <c r="AL71" s="1765">
        <f>ROUND(IF(AG71=0,0,AJ71/ABS(AG71)),3)</f>
        <v>-0.56200000000000006</v>
      </c>
    </row>
    <row r="72" spans="1:38" s="2235" customFormat="1" ht="15" customHeight="1">
      <c r="A72" s="2517"/>
      <c r="B72" s="2538" t="s">
        <v>1086</v>
      </c>
      <c r="C72" s="2517"/>
      <c r="D72" s="2077">
        <f>'Exhibit G State'!D72+'Exhibit G Federal'!D43</f>
        <v>0.8</v>
      </c>
      <c r="E72" s="2077"/>
      <c r="F72" s="2077">
        <f>'Exhibit G State'!F72+'Exhibit G Federal'!F43</f>
        <v>1</v>
      </c>
      <c r="G72" s="2077"/>
      <c r="H72" s="2077">
        <f>'Exhibit G State'!H72+'Exhibit G Federal'!H43</f>
        <v>2.8</v>
      </c>
      <c r="I72" s="2583"/>
      <c r="J72" s="2077">
        <f>'Exhibit G State'!J72+'Exhibit G Federal'!J43</f>
        <v>0.30000000000000071</v>
      </c>
      <c r="K72" s="2596"/>
      <c r="L72" s="2077">
        <f>'Exhibit G State'!L72+'Exhibit G Federal'!L43</f>
        <v>0.59999999999999964</v>
      </c>
      <c r="M72" s="2596"/>
      <c r="N72" s="2077">
        <f>'Exhibit G State'!N72+'Exhibit G Federal'!N43</f>
        <v>0</v>
      </c>
      <c r="O72" s="2596"/>
      <c r="P72" s="2077">
        <f>'Exhibit G State'!P72+'Exhibit G Federal'!P43</f>
        <v>0.29999999999999982</v>
      </c>
      <c r="Q72" s="2596"/>
      <c r="R72" s="2077">
        <f>'Exhibit G State'!R72+'Exhibit G Federal'!R43</f>
        <v>0.29999999999999982</v>
      </c>
      <c r="S72" s="2596"/>
      <c r="T72" s="2077">
        <f>'Exhibit G State'!T72+'Exhibit G Federal'!T43</f>
        <v>0.30000000000000071</v>
      </c>
      <c r="U72" s="2596"/>
      <c r="V72" s="2077">
        <f>'Exhibit G State'!V72+'Exhibit G Federal'!V43</f>
        <v>0.5</v>
      </c>
      <c r="W72" s="2596"/>
      <c r="X72" s="2077">
        <f>'Exhibit G State'!X72+'Exhibit G Federal'!X43</f>
        <v>0.69999999999999929</v>
      </c>
      <c r="Y72" s="2596"/>
      <c r="Z72" s="2077"/>
      <c r="AA72" s="2077"/>
      <c r="AB72" s="2040">
        <v>0</v>
      </c>
      <c r="AC72" s="2084"/>
      <c r="AD72" s="2045">
        <f t="shared" si="14"/>
        <v>7.6</v>
      </c>
      <c r="AE72" s="2040"/>
      <c r="AF72" s="2084"/>
      <c r="AG72" s="2077">
        <f>'Exhibit G State'!AG72+'Exhibit G Federal'!AG43</f>
        <v>107</v>
      </c>
      <c r="AH72" s="3639"/>
      <c r="AI72" s="2021"/>
      <c r="AJ72" s="2045">
        <f t="shared" si="19"/>
        <v>-99.4</v>
      </c>
      <c r="AK72" s="2605"/>
      <c r="AL72" s="1770">
        <f t="shared" ref="AL72:AL75" si="21">ROUND(IF(AG72=0,0,AJ72/ABS(AG72)),3)</f>
        <v>-0.92900000000000005</v>
      </c>
    </row>
    <row r="73" spans="1:38" s="2235" customFormat="1" ht="15" customHeight="1">
      <c r="A73" s="2517"/>
      <c r="B73" s="2538" t="s">
        <v>1087</v>
      </c>
      <c r="C73" s="2517"/>
      <c r="D73" s="2077">
        <f>'Exhibit G State'!D73+'Exhibit G Federal'!D44</f>
        <v>0.9</v>
      </c>
      <c r="E73" s="2077"/>
      <c r="F73" s="2077">
        <f>'Exhibit G State'!F73+'Exhibit G Federal'!F44</f>
        <v>0</v>
      </c>
      <c r="G73" s="2077"/>
      <c r="H73" s="2077">
        <f>'Exhibit G State'!H73+'Exhibit G Federal'!H44</f>
        <v>0</v>
      </c>
      <c r="I73" s="2583"/>
      <c r="J73" s="2077">
        <f>'Exhibit G State'!J73+'Exhibit G Federal'!J44</f>
        <v>0</v>
      </c>
      <c r="K73" s="2596"/>
      <c r="L73" s="2077">
        <f>'Exhibit G State'!L73+'Exhibit G Federal'!L44</f>
        <v>0</v>
      </c>
      <c r="M73" s="2596"/>
      <c r="N73" s="2077">
        <f>'Exhibit G State'!N73+'Exhibit G Federal'!N44</f>
        <v>0</v>
      </c>
      <c r="O73" s="2596"/>
      <c r="P73" s="2077">
        <f>'Exhibit G State'!P73+'Exhibit G Federal'!P44</f>
        <v>0</v>
      </c>
      <c r="Q73" s="2596"/>
      <c r="R73" s="2077">
        <f>'Exhibit G State'!R73+'Exhibit G Federal'!R44</f>
        <v>0</v>
      </c>
      <c r="S73" s="2596"/>
      <c r="T73" s="2077">
        <f>'Exhibit G State'!T73+'Exhibit G Federal'!T44</f>
        <v>0</v>
      </c>
      <c r="U73" s="2596"/>
      <c r="V73" s="2077">
        <f>'Exhibit G State'!V73+'Exhibit G Federal'!V44</f>
        <v>0</v>
      </c>
      <c r="W73" s="2596"/>
      <c r="X73" s="2077">
        <f>'Exhibit G State'!X73+'Exhibit G Federal'!X44</f>
        <v>0</v>
      </c>
      <c r="Y73" s="2596"/>
      <c r="Z73" s="2077"/>
      <c r="AA73" s="2077"/>
      <c r="AB73" s="2040">
        <v>0</v>
      </c>
      <c r="AC73" s="2084"/>
      <c r="AD73" s="2045">
        <f t="shared" si="14"/>
        <v>0.9</v>
      </c>
      <c r="AE73" s="2040"/>
      <c r="AF73" s="2084"/>
      <c r="AG73" s="2077">
        <f>'Exhibit G State'!AG73+'Exhibit G Federal'!AG44</f>
        <v>0.1</v>
      </c>
      <c r="AH73" s="3639"/>
      <c r="AI73" s="2021"/>
      <c r="AJ73" s="2045">
        <f t="shared" si="19"/>
        <v>0.8</v>
      </c>
      <c r="AK73" s="2605"/>
      <c r="AL73" s="1765">
        <f>ROUND(IF(AG73=0,1,AJ73/ABS(AG73)),3)</f>
        <v>8</v>
      </c>
    </row>
    <row r="74" spans="1:38" s="2235" customFormat="1" ht="15" customHeight="1">
      <c r="A74" s="2517"/>
      <c r="B74" s="2538" t="s">
        <v>1088</v>
      </c>
      <c r="C74" s="2517"/>
      <c r="D74" s="2077">
        <f>'Exhibit G State'!D74+'Exhibit G Federal'!D45</f>
        <v>204.3</v>
      </c>
      <c r="E74" s="2077"/>
      <c r="F74" s="2077">
        <f>'Exhibit G State'!F74+'Exhibit G Federal'!F45</f>
        <v>156.19999999999999</v>
      </c>
      <c r="G74" s="2077"/>
      <c r="H74" s="2077">
        <f>'Exhibit G State'!H74+'Exhibit G Federal'!H45</f>
        <v>154.89999999999998</v>
      </c>
      <c r="I74" s="2583"/>
      <c r="J74" s="2077">
        <f>'Exhibit G State'!J74+'Exhibit G Federal'!J45</f>
        <v>222.30000000000013</v>
      </c>
      <c r="K74" s="2596"/>
      <c r="L74" s="2077">
        <f>'Exhibit G State'!L74+'Exhibit G Federal'!L45</f>
        <v>106.19999999999982</v>
      </c>
      <c r="M74" s="2596"/>
      <c r="N74" s="2077">
        <f>'Exhibit G State'!N74+'Exhibit G Federal'!N45</f>
        <v>243.2</v>
      </c>
      <c r="O74" s="2596"/>
      <c r="P74" s="2077">
        <f>'Exhibit G State'!P74+'Exhibit G Federal'!P45</f>
        <v>193.80000000000024</v>
      </c>
      <c r="Q74" s="2596"/>
      <c r="R74" s="2077">
        <f>'Exhibit G State'!R74+'Exhibit G Federal'!R45</f>
        <v>155.89999999999986</v>
      </c>
      <c r="S74" s="2596"/>
      <c r="T74" s="2077">
        <f>'Exhibit G State'!T74+'Exhibit G Federal'!T45</f>
        <v>187.69999999999976</v>
      </c>
      <c r="U74" s="2596"/>
      <c r="V74" s="2077">
        <f>'Exhibit G State'!V74+'Exhibit G Federal'!V45</f>
        <v>200.20000000000033</v>
      </c>
      <c r="W74" s="2596"/>
      <c r="X74" s="2077">
        <f>'Exhibit G State'!X74+'Exhibit G Federal'!X45</f>
        <v>230.19999999999982</v>
      </c>
      <c r="Y74" s="2596"/>
      <c r="Z74" s="2077"/>
      <c r="AA74" s="2077"/>
      <c r="AB74" s="2040">
        <v>0</v>
      </c>
      <c r="AC74" s="2084"/>
      <c r="AD74" s="2045">
        <f t="shared" si="14"/>
        <v>2054.9</v>
      </c>
      <c r="AE74" s="2040"/>
      <c r="AF74" s="2084"/>
      <c r="AG74" s="2077">
        <f>'Exhibit G State'!AG74+'Exhibit G Federal'!AG45</f>
        <v>1971.6</v>
      </c>
      <c r="AH74" s="3639"/>
      <c r="AI74" s="2021"/>
      <c r="AJ74" s="2045">
        <f t="shared" si="19"/>
        <v>83.3</v>
      </c>
      <c r="AK74" s="2605"/>
      <c r="AL74" s="1765">
        <f t="shared" si="21"/>
        <v>4.2000000000000003E-2</v>
      </c>
    </row>
    <row r="75" spans="1:38" s="2235" customFormat="1" ht="15" customHeight="1">
      <c r="A75" s="2517"/>
      <c r="B75" s="2538" t="s">
        <v>1089</v>
      </c>
      <c r="C75" s="2517"/>
      <c r="D75" s="2077">
        <f>'Exhibit G State'!D75+'Exhibit G Federal'!D46</f>
        <v>12.9</v>
      </c>
      <c r="E75" s="2077"/>
      <c r="F75" s="2077">
        <f>'Exhibit G State'!F75+'Exhibit G Federal'!F46</f>
        <v>9.6999999999999993</v>
      </c>
      <c r="G75" s="2077"/>
      <c r="H75" s="2077">
        <f>'Exhibit G State'!H75+'Exhibit G Federal'!H46</f>
        <v>15.2</v>
      </c>
      <c r="I75" s="2583"/>
      <c r="J75" s="2077">
        <f>'Exhibit G State'!J75+'Exhibit G Federal'!J46</f>
        <v>22.300000000000004</v>
      </c>
      <c r="K75" s="2596"/>
      <c r="L75" s="2077">
        <f>'Exhibit G State'!L75+'Exhibit G Federal'!L46</f>
        <v>9.1999999999999993</v>
      </c>
      <c r="M75" s="2596"/>
      <c r="N75" s="2077">
        <f>'Exhibit G State'!N75+'Exhibit G Federal'!N46</f>
        <v>12.099999999999991</v>
      </c>
      <c r="O75" s="2596"/>
      <c r="P75" s="2077">
        <f>'Exhibit G State'!P75+'Exhibit G Federal'!P46</f>
        <v>17.700000000000006</v>
      </c>
      <c r="Q75" s="2596"/>
      <c r="R75" s="2077">
        <f>'Exhibit G State'!R75+'Exhibit G Federal'!R46</f>
        <v>11.899999999999991</v>
      </c>
      <c r="S75" s="2596"/>
      <c r="T75" s="2077">
        <f>'Exhibit G State'!T75+'Exhibit G Federal'!T46</f>
        <v>12.399999999999999</v>
      </c>
      <c r="U75" s="2596"/>
      <c r="V75" s="2077">
        <f>'Exhibit G State'!V75+'Exhibit G Federal'!V46</f>
        <v>13.399999999999995</v>
      </c>
      <c r="W75" s="2596"/>
      <c r="X75" s="2077">
        <f>'Exhibit G State'!X75+'Exhibit G Federal'!X46</f>
        <v>10.200000000000003</v>
      </c>
      <c r="Y75" s="2596"/>
      <c r="Z75" s="2077"/>
      <c r="AA75" s="2077"/>
      <c r="AB75" s="2040">
        <v>0</v>
      </c>
      <c r="AC75" s="2084"/>
      <c r="AD75" s="2045">
        <f t="shared" si="14"/>
        <v>147</v>
      </c>
      <c r="AE75" s="2040"/>
      <c r="AF75" s="2084"/>
      <c r="AG75" s="2077">
        <f>'Exhibit G State'!AG75+'Exhibit G Federal'!AG46</f>
        <v>147.1</v>
      </c>
      <c r="AH75" s="3639"/>
      <c r="AI75" s="2021"/>
      <c r="AJ75" s="2045">
        <f t="shared" si="19"/>
        <v>-0.1</v>
      </c>
      <c r="AK75" s="2605"/>
      <c r="AL75" s="1765">
        <f t="shared" si="21"/>
        <v>-1E-3</v>
      </c>
    </row>
    <row r="76" spans="1:38" s="2235" customFormat="1" ht="15" customHeight="1">
      <c r="A76" s="2517"/>
      <c r="B76" s="2538" t="s">
        <v>1090</v>
      </c>
      <c r="C76" s="2517"/>
      <c r="D76" s="2077">
        <f>'Exhibit G State'!D76+'Exhibit G Federal'!D47</f>
        <v>7.6</v>
      </c>
      <c r="E76" s="2077"/>
      <c r="F76" s="2077">
        <f>'Exhibit G State'!F76+'Exhibit G Federal'!F47</f>
        <v>1.2000000000000011</v>
      </c>
      <c r="G76" s="2077"/>
      <c r="H76" s="2077">
        <f>'Exhibit G State'!H76+'Exhibit G Federal'!H47</f>
        <v>0.79999999999999893</v>
      </c>
      <c r="I76" s="2583"/>
      <c r="J76" s="2077">
        <f>'Exhibit G State'!J76+'Exhibit G Federal'!J47</f>
        <v>1</v>
      </c>
      <c r="K76" s="2596"/>
      <c r="L76" s="2077">
        <f>'Exhibit G State'!L76+'Exhibit G Federal'!L47</f>
        <v>5.9</v>
      </c>
      <c r="M76" s="2596"/>
      <c r="N76" s="2077">
        <f>'Exhibit G State'!N76+'Exhibit G Federal'!N47</f>
        <v>0.39999999999999858</v>
      </c>
      <c r="O76" s="2596"/>
      <c r="P76" s="2077">
        <f>'Exhibit G State'!P76+'Exhibit G Federal'!P47</f>
        <v>0.40000000000000213</v>
      </c>
      <c r="Q76" s="2596"/>
      <c r="R76" s="2077">
        <f>'Exhibit G State'!R76+'Exhibit G Federal'!R47</f>
        <v>3.4000000000000021</v>
      </c>
      <c r="S76" s="2596"/>
      <c r="T76" s="2077">
        <f>'Exhibit G State'!T76+'Exhibit G Federal'!T47</f>
        <v>0.39999999999999858</v>
      </c>
      <c r="U76" s="2596"/>
      <c r="V76" s="2077">
        <f>'Exhibit G State'!V76+'Exhibit G Federal'!V47</f>
        <v>24.299999999999997</v>
      </c>
      <c r="W76" s="2596"/>
      <c r="X76" s="2077">
        <f>'Exhibit G State'!X76+'Exhibit G Federal'!X47</f>
        <v>0.80000000000000426</v>
      </c>
      <c r="Y76" s="2596"/>
      <c r="Z76" s="2077"/>
      <c r="AA76" s="2077"/>
      <c r="AB76" s="2040">
        <v>0</v>
      </c>
      <c r="AC76" s="2084"/>
      <c r="AD76" s="2045">
        <f t="shared" si="14"/>
        <v>46.2</v>
      </c>
      <c r="AE76" s="2040"/>
      <c r="AF76" s="2084"/>
      <c r="AG76" s="2077">
        <f>'Exhibit G State'!AG76+'Exhibit G Federal'!AG47</f>
        <v>74.600000000000009</v>
      </c>
      <c r="AH76" s="3639"/>
      <c r="AI76" s="2021"/>
      <c r="AJ76" s="2045">
        <f t="shared" si="19"/>
        <v>-28.4</v>
      </c>
      <c r="AK76" s="2605"/>
      <c r="AL76" s="1770">
        <f>ROUND(IF(AG76=0,1,AJ76/ABS(AG76)),3)</f>
        <v>-0.38100000000000001</v>
      </c>
    </row>
    <row r="77" spans="1:38" s="2235" customFormat="1" ht="15" customHeight="1">
      <c r="A77" s="2517"/>
      <c r="B77" s="2538" t="s">
        <v>1091</v>
      </c>
      <c r="C77" s="2517"/>
      <c r="D77" s="2077">
        <f>'Exhibit G State'!D77+'Exhibit G Federal'!D48</f>
        <v>7.5</v>
      </c>
      <c r="E77" s="2077"/>
      <c r="F77" s="2077">
        <f>'Exhibit G State'!F77+'Exhibit G Federal'!F48</f>
        <v>3.0999999999999996</v>
      </c>
      <c r="G77" s="2077"/>
      <c r="H77" s="2077">
        <f>'Exhibit G State'!H77+'Exhibit G Federal'!H48</f>
        <v>8.5000000000000018</v>
      </c>
      <c r="I77" s="2583"/>
      <c r="J77" s="2077">
        <f>'Exhibit G State'!J77+'Exhibit G Federal'!J48</f>
        <v>7.4999999999999982</v>
      </c>
      <c r="K77" s="2596"/>
      <c r="L77" s="2077">
        <f>'Exhibit G State'!L77+'Exhibit G Federal'!L48</f>
        <v>1.7000000000000028</v>
      </c>
      <c r="M77" s="2596"/>
      <c r="N77" s="2077">
        <f>'Exhibit G State'!N77+'Exhibit G Federal'!N48</f>
        <v>10.9</v>
      </c>
      <c r="O77" s="2596"/>
      <c r="P77" s="2077">
        <f>'Exhibit G State'!P77+'Exhibit G Federal'!P48</f>
        <v>2.2999999999999972</v>
      </c>
      <c r="Q77" s="2596"/>
      <c r="R77" s="2077">
        <f>'Exhibit G State'!R77+'Exhibit G Federal'!R48</f>
        <v>2.2000000000000011</v>
      </c>
      <c r="S77" s="2596"/>
      <c r="T77" s="2077">
        <f>'Exhibit G State'!T77+'Exhibit G Federal'!T48</f>
        <v>10.799999999999997</v>
      </c>
      <c r="U77" s="2596"/>
      <c r="V77" s="2077">
        <f>'Exhibit G State'!V77+'Exhibit G Federal'!V48</f>
        <v>2.5000000000000018</v>
      </c>
      <c r="W77" s="2596"/>
      <c r="X77" s="2077">
        <f>'Exhibit G State'!X77+'Exhibit G Federal'!X48</f>
        <v>3.7999999999999954</v>
      </c>
      <c r="Y77" s="2596"/>
      <c r="Z77" s="2077"/>
      <c r="AA77" s="2077"/>
      <c r="AB77" s="2040">
        <v>0</v>
      </c>
      <c r="AC77" s="2084"/>
      <c r="AD77" s="2045">
        <f t="shared" si="14"/>
        <v>60.8</v>
      </c>
      <c r="AE77" s="2040"/>
      <c r="AF77" s="2084"/>
      <c r="AG77" s="2077">
        <f>'Exhibit G State'!AG77+'Exhibit G Federal'!AG48</f>
        <v>83.9</v>
      </c>
      <c r="AH77" s="3639"/>
      <c r="AI77" s="2021"/>
      <c r="AJ77" s="2045">
        <f t="shared" si="19"/>
        <v>-23.1</v>
      </c>
      <c r="AK77" s="2605"/>
      <c r="AL77" s="1765">
        <f>ROUND(IF(AG77=0,0,AJ77/ABS(AG77)),3)</f>
        <v>-0.27500000000000002</v>
      </c>
    </row>
    <row r="78" spans="1:38" s="2235" customFormat="1" ht="15" customHeight="1">
      <c r="A78" s="2517"/>
      <c r="B78" s="2538" t="s">
        <v>1092</v>
      </c>
      <c r="C78" s="2517"/>
      <c r="D78" s="2077">
        <f>'Exhibit G State'!D78+'Exhibit G Federal'!D49</f>
        <v>41.199999999999996</v>
      </c>
      <c r="E78" s="2077"/>
      <c r="F78" s="2077">
        <f>'Exhibit G State'!F78+'Exhibit G Federal'!F49</f>
        <v>36.9</v>
      </c>
      <c r="G78" s="2077"/>
      <c r="H78" s="2077">
        <f>'Exhibit G State'!H78+'Exhibit G Federal'!H49</f>
        <v>57.599999999999987</v>
      </c>
      <c r="I78" s="2583"/>
      <c r="J78" s="2077">
        <f>'Exhibit G State'!J78+'Exhibit G Federal'!J49</f>
        <v>39.20000000000001</v>
      </c>
      <c r="K78" s="2596"/>
      <c r="L78" s="2077">
        <f>'Exhibit G State'!L78+'Exhibit G Federal'!L49</f>
        <v>43.8</v>
      </c>
      <c r="M78" s="2596"/>
      <c r="N78" s="2077">
        <f>'Exhibit G State'!N78+'Exhibit G Federal'!N49</f>
        <v>67.500000000000028</v>
      </c>
      <c r="O78" s="2596"/>
      <c r="P78" s="2077">
        <f>'Exhibit G State'!P78+'Exhibit G Federal'!P49</f>
        <v>36.800000000000018</v>
      </c>
      <c r="Q78" s="2596"/>
      <c r="R78" s="2077">
        <f>'Exhibit G State'!R78+'Exhibit G Federal'!R49</f>
        <v>33.500000000000043</v>
      </c>
      <c r="S78" s="2596"/>
      <c r="T78" s="2077">
        <f>'Exhibit G State'!T78+'Exhibit G Federal'!T49</f>
        <v>35.89999999999997</v>
      </c>
      <c r="U78" s="2596"/>
      <c r="V78" s="2077">
        <f>'Exhibit G State'!V78+'Exhibit G Federal'!V49</f>
        <v>45.100000000000065</v>
      </c>
      <c r="W78" s="2596"/>
      <c r="X78" s="2077">
        <f>'Exhibit G State'!X78+'Exhibit G Federal'!X49</f>
        <v>60.499999999999957</v>
      </c>
      <c r="Y78" s="2596"/>
      <c r="Z78" s="2077"/>
      <c r="AA78" s="2077"/>
      <c r="AB78" s="2040">
        <v>0</v>
      </c>
      <c r="AC78" s="2084"/>
      <c r="AD78" s="2045">
        <f t="shared" si="14"/>
        <v>498</v>
      </c>
      <c r="AE78" s="2040"/>
      <c r="AF78" s="2084"/>
      <c r="AG78" s="2077">
        <f>'Exhibit G State'!AG78+'Exhibit G Federal'!AG49</f>
        <v>445.7</v>
      </c>
      <c r="AH78" s="3639"/>
      <c r="AI78" s="2021"/>
      <c r="AJ78" s="2045">
        <f t="shared" si="19"/>
        <v>52.3</v>
      </c>
      <c r="AK78" s="2605"/>
      <c r="AL78" s="1770">
        <f>ROUND(IF(AG78=0,0,AJ78/ABS(AG78)),3)</f>
        <v>0.11700000000000001</v>
      </c>
    </row>
    <row r="79" spans="1:38" s="2235" customFormat="1" ht="15" customHeight="1">
      <c r="A79" s="2517"/>
      <c r="B79" s="2538" t="s">
        <v>1064</v>
      </c>
      <c r="C79" s="2517"/>
      <c r="D79" s="2077">
        <f>'Exhibit G State'!D79+'Exhibit G Federal'!D50</f>
        <v>0.9</v>
      </c>
      <c r="E79" s="2077"/>
      <c r="F79" s="2077">
        <f>'Exhibit G State'!F79+'Exhibit G Federal'!F50</f>
        <v>0.79999999999999993</v>
      </c>
      <c r="G79" s="2077"/>
      <c r="H79" s="2077">
        <f>'Exhibit G State'!H79+'Exhibit G Federal'!H50</f>
        <v>1.5000000000000004</v>
      </c>
      <c r="I79" s="2583"/>
      <c r="J79" s="2077">
        <f>'Exhibit G State'!J79+'Exhibit G Federal'!J50</f>
        <v>2.4999999999999996</v>
      </c>
      <c r="K79" s="2596"/>
      <c r="L79" s="2077">
        <f>'Exhibit G State'!L79+'Exhibit G Federal'!L50</f>
        <v>1.6999999999999997</v>
      </c>
      <c r="M79" s="2596"/>
      <c r="N79" s="2077">
        <f>'Exhibit G State'!N79+'Exhibit G Federal'!N50</f>
        <v>2.4999999999999996</v>
      </c>
      <c r="O79" s="2596"/>
      <c r="P79" s="2077">
        <f>'Exhibit G State'!P79+'Exhibit G Federal'!P50</f>
        <v>0.79999999999999893</v>
      </c>
      <c r="Q79" s="2596"/>
      <c r="R79" s="2077">
        <f>'Exhibit G State'!R79+'Exhibit G Federal'!R50</f>
        <v>1.5000000000000004</v>
      </c>
      <c r="S79" s="2596"/>
      <c r="T79" s="2077">
        <f>'Exhibit G State'!T79+'Exhibit G Federal'!T50</f>
        <v>1.3000000000000007</v>
      </c>
      <c r="U79" s="2596"/>
      <c r="V79" s="2077">
        <f>'Exhibit G State'!V79+'Exhibit G Federal'!V50</f>
        <v>1.5</v>
      </c>
      <c r="W79" s="2596"/>
      <c r="X79" s="2077">
        <f>'Exhibit G State'!X79+'Exhibit G Federal'!X50</f>
        <v>1.2999999999999989</v>
      </c>
      <c r="Y79" s="2596"/>
      <c r="Z79" s="2077"/>
      <c r="AA79" s="2077"/>
      <c r="AB79" s="2040">
        <v>0</v>
      </c>
      <c r="AC79" s="2084"/>
      <c r="AD79" s="2040">
        <f t="shared" si="14"/>
        <v>16.3</v>
      </c>
      <c r="AE79" s="2040"/>
      <c r="AF79" s="2084"/>
      <c r="AG79" s="2077">
        <f>'Exhibit G State'!AG79+'Exhibit G Federal'!AG50</f>
        <v>22.2</v>
      </c>
      <c r="AH79" s="3639"/>
      <c r="AI79" s="2021"/>
      <c r="AJ79" s="2045">
        <f t="shared" si="19"/>
        <v>-5.9</v>
      </c>
      <c r="AK79" s="2605"/>
      <c r="AL79" s="1765">
        <f>ROUND(IF(AG79=0,0,AJ79/ABS(AG79)),3)</f>
        <v>-0.26600000000000001</v>
      </c>
    </row>
    <row r="80" spans="1:38" s="2235" customFormat="1" ht="15" customHeight="1">
      <c r="A80" s="2517"/>
      <c r="B80" s="2538" t="s">
        <v>1065</v>
      </c>
      <c r="C80" s="2517"/>
      <c r="D80" s="2077">
        <f>'Exhibit G State'!D80+'Exhibit G Federal'!D51</f>
        <v>52</v>
      </c>
      <c r="E80" s="2077"/>
      <c r="F80" s="2077">
        <f>'Exhibit G State'!F80+'Exhibit G Federal'!F51</f>
        <v>48.099999999999994</v>
      </c>
      <c r="G80" s="2077"/>
      <c r="H80" s="2077">
        <f>'Exhibit G State'!H80+'Exhibit G Federal'!H51</f>
        <v>34.900000000000006</v>
      </c>
      <c r="I80" s="2583"/>
      <c r="J80" s="2077">
        <f>'Exhibit G State'!J80+'Exhibit G Federal'!J51</f>
        <v>45</v>
      </c>
      <c r="K80" s="2596"/>
      <c r="L80" s="2077">
        <f>'Exhibit G State'!L80+'Exhibit G Federal'!L51</f>
        <v>240</v>
      </c>
      <c r="M80" s="2596"/>
      <c r="N80" s="2077">
        <f>'Exhibit G State'!N80+'Exhibit G Federal'!N51</f>
        <v>309.89999999999998</v>
      </c>
      <c r="O80" s="2596"/>
      <c r="P80" s="2077">
        <f>'Exhibit G State'!P80+'Exhibit G Federal'!P51</f>
        <v>137.5</v>
      </c>
      <c r="Q80" s="2596"/>
      <c r="R80" s="2077">
        <f>'Exhibit G State'!R80+'Exhibit G Federal'!R51</f>
        <v>37.5</v>
      </c>
      <c r="S80" s="2596"/>
      <c r="T80" s="2077">
        <f>'Exhibit G State'!T80+'Exhibit G Federal'!T51</f>
        <v>14.100000000000023</v>
      </c>
      <c r="U80" s="2596"/>
      <c r="V80" s="2077">
        <f>'Exhibit G State'!V80+'Exhibit G Federal'!V51</f>
        <v>261.79999999999995</v>
      </c>
      <c r="W80" s="2596"/>
      <c r="X80" s="2077">
        <f>'Exhibit G State'!X80+'Exhibit G Federal'!X51</f>
        <v>352.60000000000014</v>
      </c>
      <c r="Y80" s="2596"/>
      <c r="Z80" s="2077"/>
      <c r="AA80" s="2077"/>
      <c r="AB80" s="2040">
        <v>0</v>
      </c>
      <c r="AC80" s="2084"/>
      <c r="AD80" s="2040">
        <f t="shared" si="14"/>
        <v>1533.4</v>
      </c>
      <c r="AE80" s="2040"/>
      <c r="AF80" s="2084"/>
      <c r="AG80" s="2077">
        <f>'Exhibit G State'!AG80+'Exhibit G Federal'!AG51</f>
        <v>1691.8</v>
      </c>
      <c r="AH80" s="3639"/>
      <c r="AI80" s="2021"/>
      <c r="AJ80" s="2045">
        <f t="shared" si="19"/>
        <v>-158.4</v>
      </c>
      <c r="AK80" s="2605"/>
      <c r="AL80" s="1765">
        <f>ROUND(IF(AG80=0,0,AJ80/ABS(AG80)),3)</f>
        <v>-9.4E-2</v>
      </c>
    </row>
    <row r="81" spans="1:45" s="2611" customFormat="1" ht="15" customHeight="1">
      <c r="A81" s="2608"/>
      <c r="B81" s="2525" t="s">
        <v>1232</v>
      </c>
      <c r="C81" s="2608"/>
      <c r="D81" s="1488">
        <f>ROUND(SUM(D42:D80),1)</f>
        <v>1571.9</v>
      </c>
      <c r="E81" s="2583"/>
      <c r="F81" s="1488">
        <f>ROUND(SUM(F42:F80),1)</f>
        <v>1462.6</v>
      </c>
      <c r="G81" s="2583"/>
      <c r="H81" s="2087">
        <f>ROUND(SUM(H42:H80),1)</f>
        <v>1521.3</v>
      </c>
      <c r="I81" s="2583"/>
      <c r="J81" s="2087">
        <f>ROUND(SUM(J42:J80),1)</f>
        <v>1545.8</v>
      </c>
      <c r="K81" s="2596"/>
      <c r="L81" s="1488">
        <f>ROUND(SUM(L42:L80),1)</f>
        <v>1444.1</v>
      </c>
      <c r="M81" s="2596"/>
      <c r="N81" s="1488">
        <f>ROUND(SUM(N42:N80),1)</f>
        <v>1885.7</v>
      </c>
      <c r="O81" s="2596"/>
      <c r="P81" s="1488">
        <f>ROUND(SUM(P42:P80),1)</f>
        <v>1614.4</v>
      </c>
      <c r="Q81" s="2596"/>
      <c r="R81" s="1488">
        <f>ROUND(SUM(R42:R80),1)</f>
        <v>1252.8</v>
      </c>
      <c r="S81" s="2596"/>
      <c r="T81" s="1488">
        <f>ROUND(SUM(T42:T80),1)</f>
        <v>1462.6</v>
      </c>
      <c r="U81" s="2596"/>
      <c r="V81" s="1488">
        <f>ROUND(SUM(V42:V80),1)</f>
        <v>2211.4</v>
      </c>
      <c r="W81" s="2596"/>
      <c r="X81" s="1488">
        <f>ROUND(SUM(X42:X80),1)</f>
        <v>1861.3</v>
      </c>
      <c r="Y81" s="2596"/>
      <c r="Z81" s="1488">
        <f>ROUND(SUM(Z42:Z80),1)</f>
        <v>0</v>
      </c>
      <c r="AA81" s="1490"/>
      <c r="AB81" s="2078">
        <f>SUM(AB42:AB80)</f>
        <v>0</v>
      </c>
      <c r="AC81" s="2609"/>
      <c r="AD81" s="1488">
        <f>ROUND(SUM(AD42:AD80),1)</f>
        <v>17833.900000000001</v>
      </c>
      <c r="AE81" s="2095"/>
      <c r="AF81" s="2609"/>
      <c r="AG81" s="1488">
        <f>ROUND(SUM(AG42:AG80),1)</f>
        <v>18217</v>
      </c>
      <c r="AH81" s="3638"/>
      <c r="AI81" s="1490"/>
      <c r="AJ81" s="1488">
        <f>ROUND(SUM(AJ42:AJ80),1)</f>
        <v>-383.1</v>
      </c>
      <c r="AK81" s="2610"/>
      <c r="AL81" s="1861">
        <f>ROUND(SUM(+AJ81/AG81),3)</f>
        <v>-2.1000000000000001E-2</v>
      </c>
    </row>
    <row r="82" spans="1:45" ht="15" customHeight="1">
      <c r="A82" s="2089"/>
      <c r="B82" s="2612"/>
      <c r="C82" s="2089"/>
      <c r="D82" s="2605"/>
      <c r="F82" s="2605"/>
      <c r="H82" s="1471"/>
      <c r="J82" s="1471"/>
      <c r="L82" s="2051"/>
      <c r="N82" s="2051"/>
      <c r="P82" s="2051"/>
      <c r="R82" s="2051"/>
      <c r="T82" s="2039"/>
      <c r="V82" s="2060"/>
      <c r="X82" s="2060"/>
      <c r="Z82" s="2060"/>
      <c r="AA82" s="2605"/>
      <c r="AB82" s="2051"/>
      <c r="AC82" s="2082"/>
      <c r="AD82" s="2040"/>
      <c r="AE82" s="2040"/>
      <c r="AF82" s="2084"/>
      <c r="AG82" s="2040"/>
      <c r="AH82" s="3635"/>
      <c r="AI82" s="2052"/>
      <c r="AJ82" s="1471"/>
      <c r="AK82" s="2597"/>
      <c r="AL82" s="1459"/>
    </row>
    <row r="83" spans="1:45" s="2235" customFormat="1" ht="15" customHeight="1">
      <c r="A83" s="2517"/>
      <c r="B83" s="2613" t="s">
        <v>150</v>
      </c>
      <c r="C83" s="2517"/>
      <c r="D83" s="2077">
        <f>'Exhibit G State'!D83+'Exhibit G Federal'!D54</f>
        <v>6203.7</v>
      </c>
      <c r="E83" s="2607"/>
      <c r="F83" s="2077">
        <f>'Exhibit G State'!F83+'Exhibit G Federal'!F54</f>
        <v>4816.3</v>
      </c>
      <c r="G83" s="2607"/>
      <c r="H83" s="2077">
        <f>'Exhibit G State'!H83+'Exhibit G Federal'!H54</f>
        <v>5671.5999999999995</v>
      </c>
      <c r="I83" s="2583"/>
      <c r="J83" s="2077">
        <f>'Exhibit G State'!J83+'Exhibit G Federal'!J54</f>
        <v>3118.1000000000008</v>
      </c>
      <c r="K83" s="2596"/>
      <c r="L83" s="2077">
        <f>'Exhibit G State'!L83+'Exhibit G Federal'!L54</f>
        <v>5873.3999999999978</v>
      </c>
      <c r="M83" s="2596"/>
      <c r="N83" s="2077">
        <f>'Exhibit G State'!N83+'Exhibit G Federal'!N54</f>
        <v>5484.0000000000027</v>
      </c>
      <c r="O83" s="2596"/>
      <c r="P83" s="2077">
        <f>'Exhibit G State'!P83+'Exhibit G Federal'!P54</f>
        <v>5367.9000000000005</v>
      </c>
      <c r="Q83" s="2596"/>
      <c r="R83" s="2077">
        <f>'Exhibit G State'!R83+'Exhibit G Federal'!R54</f>
        <v>5209.9000000000005</v>
      </c>
      <c r="S83" s="2596"/>
      <c r="T83" s="2077">
        <f>'Exhibit G State'!T83+'Exhibit G Federal'!T54</f>
        <v>6447.1000000000013</v>
      </c>
      <c r="U83" s="2596"/>
      <c r="V83" s="2077">
        <f>'Exhibit G State'!V83+'Exhibit G Federal'!V54</f>
        <v>5382.9999999999982</v>
      </c>
      <c r="W83" s="2596"/>
      <c r="X83" s="2077">
        <f>'Exhibit G State'!X83+'Exhibit G Federal'!X54</f>
        <v>4983.1000000000004</v>
      </c>
      <c r="Y83" s="2596"/>
      <c r="Z83" s="2077"/>
      <c r="AA83" s="2077"/>
      <c r="AB83" s="2614">
        <v>0</v>
      </c>
      <c r="AC83" s="2084"/>
      <c r="AD83" s="2040">
        <f t="shared" si="14"/>
        <v>58558.1</v>
      </c>
      <c r="AE83" s="2040"/>
      <c r="AF83" s="2084"/>
      <c r="AG83" s="2077">
        <f>'Exhibit G State'!AG83+'Exhibit G Federal'!AG54</f>
        <v>54448.799999999996</v>
      </c>
      <c r="AH83" s="3635"/>
      <c r="AI83" s="2021"/>
      <c r="AJ83" s="2086">
        <f>ROUND(SUM(+AD83-AG83),1)</f>
        <v>4109.3</v>
      </c>
      <c r="AK83" s="2615"/>
      <c r="AL83" s="1765">
        <f>ROUND(IF(AG83=0,0,AJ83/ABS(AG83)),3)</f>
        <v>7.4999999999999997E-2</v>
      </c>
    </row>
    <row r="84" spans="1:45" ht="15" customHeight="1">
      <c r="A84" s="2089"/>
      <c r="B84" s="2089"/>
      <c r="C84" s="2089"/>
      <c r="D84" s="2050"/>
      <c r="F84" s="2050"/>
      <c r="H84" s="2546"/>
      <c r="J84" s="2546"/>
      <c r="L84" s="2050"/>
      <c r="N84" s="2050"/>
      <c r="P84" s="2050"/>
      <c r="R84" s="2050"/>
      <c r="T84" s="2096"/>
      <c r="V84" s="2050"/>
      <c r="X84" s="2050"/>
      <c r="Z84" s="2050"/>
      <c r="AA84" s="2052"/>
      <c r="AB84" s="2616"/>
      <c r="AC84" s="2052"/>
      <c r="AD84" s="2096"/>
      <c r="AE84" s="2040"/>
      <c r="AF84" s="2084"/>
      <c r="AG84" s="2096"/>
      <c r="AH84" s="3635"/>
      <c r="AI84" s="2052"/>
      <c r="AJ84" s="2617"/>
      <c r="AL84" s="1474"/>
    </row>
    <row r="85" spans="1:45" ht="15" customHeight="1">
      <c r="A85" s="2089"/>
      <c r="B85" s="2479" t="s">
        <v>151</v>
      </c>
      <c r="C85" s="2089"/>
      <c r="D85" s="1489">
        <f>ROUND(SUM(D83+D81+D38),1)</f>
        <v>8177.4</v>
      </c>
      <c r="F85" s="1489">
        <f>ROUND(SUM(F83+F81+F38),1)</f>
        <v>6466.2</v>
      </c>
      <c r="H85" s="1489">
        <f>ROUND(SUM(H83+H81+H38),1)</f>
        <v>7656.3</v>
      </c>
      <c r="J85" s="1489">
        <f>ROUND(SUM(J83+J81+J38),1)</f>
        <v>4912.1000000000004</v>
      </c>
      <c r="L85" s="1489">
        <f t="shared" ref="L85:V85" si="22">ROUND(SUM(L83+L81+L38),1)</f>
        <v>7535.8</v>
      </c>
      <c r="N85" s="1489">
        <f t="shared" ref="N85" si="23">ROUND(SUM(N83+N81+N38),1)</f>
        <v>7825.8</v>
      </c>
      <c r="P85" s="1489">
        <f>ROUND(SUM(P83+P81+P38),1)</f>
        <v>7213.2</v>
      </c>
      <c r="R85" s="1489">
        <f t="shared" ref="R85" si="24">ROUND(SUM(R83+R81+R38),1)</f>
        <v>6690.5</v>
      </c>
      <c r="T85" s="2095">
        <f t="shared" si="22"/>
        <v>8441.6</v>
      </c>
      <c r="V85" s="1489">
        <f t="shared" si="22"/>
        <v>9930</v>
      </c>
      <c r="X85" s="1489">
        <f t="shared" ref="X85:Z85" si="25">ROUND(SUM(X83+X81+X38),1)</f>
        <v>7064.4</v>
      </c>
      <c r="Z85" s="1489">
        <f t="shared" si="25"/>
        <v>0</v>
      </c>
      <c r="AA85" s="1489"/>
      <c r="AB85" s="2618">
        <f t="shared" ref="AB85" si="26">ROUND(SUM(AB83+AB81+AB38),1)</f>
        <v>0</v>
      </c>
      <c r="AC85" s="2085"/>
      <c r="AD85" s="2095">
        <f>ROUND(SUM(AD83+AD81+AD38),1)</f>
        <v>81913.3</v>
      </c>
      <c r="AE85" s="2095"/>
      <c r="AF85" s="2609"/>
      <c r="AG85" s="2095">
        <f>ROUND(SUM(AG83+AG81+AG38),1)</f>
        <v>78306.5</v>
      </c>
      <c r="AH85" s="3638"/>
      <c r="AI85" s="1472"/>
      <c r="AJ85" s="2097">
        <f>ROUND(SUM(AJ83+AJ81+AJ38),1)</f>
        <v>3606.8</v>
      </c>
      <c r="AK85" s="2619"/>
      <c r="AL85" s="1464">
        <f>ROUND(SUM(+AJ85/AG85),3)</f>
        <v>4.5999999999999999E-2</v>
      </c>
    </row>
    <row r="86" spans="1:45" ht="15" customHeight="1">
      <c r="A86" s="2089"/>
      <c r="B86" s="2089"/>
      <c r="C86" s="2089"/>
      <c r="D86" s="2050"/>
      <c r="F86" s="2050"/>
      <c r="H86" s="2546"/>
      <c r="J86" s="2546"/>
      <c r="L86" s="2050"/>
      <c r="N86" s="2050"/>
      <c r="P86" s="2050"/>
      <c r="R86" s="2050"/>
      <c r="T86" s="2096"/>
      <c r="V86" s="2050"/>
      <c r="X86" s="2050"/>
      <c r="Z86" s="2050"/>
      <c r="AA86" s="2052"/>
      <c r="AB86" s="2051"/>
      <c r="AC86" s="2082"/>
      <c r="AD86" s="2096"/>
      <c r="AE86" s="2040"/>
      <c r="AF86" s="2084"/>
      <c r="AG86" s="2096"/>
      <c r="AH86" s="3635"/>
      <c r="AI86" s="2052"/>
      <c r="AJ86" s="1471"/>
      <c r="AL86" s="1459"/>
    </row>
    <row r="87" spans="1:45" ht="15" customHeight="1">
      <c r="A87" s="2089"/>
      <c r="B87" s="2590" t="s">
        <v>23</v>
      </c>
      <c r="C87" s="2089"/>
      <c r="D87" s="2051"/>
      <c r="F87" s="2051"/>
      <c r="H87" s="1471"/>
      <c r="J87" s="1471"/>
      <c r="L87" s="2051"/>
      <c r="N87" s="2051"/>
      <c r="P87" s="2051"/>
      <c r="R87" s="2051"/>
      <c r="T87" s="2040"/>
      <c r="V87" s="2051"/>
      <c r="X87" s="2051"/>
      <c r="Z87" s="2051"/>
      <c r="AA87" s="2051"/>
      <c r="AB87" s="2051"/>
      <c r="AC87" s="2082"/>
      <c r="AD87" s="2040"/>
      <c r="AE87" s="3301"/>
      <c r="AF87" s="3293"/>
      <c r="AG87" s="2040"/>
      <c r="AH87" s="3635"/>
      <c r="AI87" s="2052"/>
      <c r="AJ87" s="1471"/>
      <c r="AL87" s="1459"/>
    </row>
    <row r="88" spans="1:45" ht="15" customHeight="1">
      <c r="A88" s="2089"/>
      <c r="B88" s="2521" t="s">
        <v>152</v>
      </c>
      <c r="C88" s="2089"/>
      <c r="D88" s="2605"/>
      <c r="F88" s="2605"/>
      <c r="H88" s="2045"/>
      <c r="J88" s="2045"/>
      <c r="L88" s="2040"/>
      <c r="N88" s="2040"/>
      <c r="P88" s="2040"/>
      <c r="R88" s="2040"/>
      <c r="T88" s="2039"/>
      <c r="V88" s="2060"/>
      <c r="X88" s="2060"/>
      <c r="Z88" s="2060"/>
      <c r="AA88" s="2605"/>
      <c r="AB88" s="2051"/>
      <c r="AC88" s="2082"/>
      <c r="AD88" s="2040"/>
      <c r="AE88" s="2040"/>
      <c r="AF88" s="2084"/>
      <c r="AG88" s="2040"/>
      <c r="AH88" s="3635"/>
      <c r="AI88" s="2052"/>
      <c r="AJ88" s="1471"/>
      <c r="AL88" s="1475"/>
    </row>
    <row r="89" spans="1:45" s="2235" customFormat="1" ht="15" customHeight="1">
      <c r="A89" s="2517"/>
      <c r="B89" s="2620" t="s">
        <v>25</v>
      </c>
      <c r="C89" s="2517"/>
      <c r="D89" s="2077">
        <f>'Exhibit G State'!D89+'Exhibit G Federal'!D60</f>
        <v>337.7</v>
      </c>
      <c r="E89" s="2607"/>
      <c r="F89" s="2077">
        <f>'Exhibit G State'!F89+'Exhibit G Federal'!F60</f>
        <v>591.1</v>
      </c>
      <c r="G89" s="2607"/>
      <c r="H89" s="2077">
        <f>'Exhibit G State'!H89+'Exhibit G Federal'!H60</f>
        <v>611.40000000000009</v>
      </c>
      <c r="I89" s="2583"/>
      <c r="J89" s="2077">
        <f>'Exhibit G State'!J89+'Exhibit G Federal'!J60</f>
        <v>288.09999999999985</v>
      </c>
      <c r="K89" s="2596"/>
      <c r="L89" s="2077">
        <f>'Exhibit G State'!L89+'Exhibit G Federal'!L60</f>
        <v>233.80000000000018</v>
      </c>
      <c r="M89" s="2596"/>
      <c r="N89" s="2077">
        <f>'Exhibit G State'!N89+'Exhibit G Federal'!N60</f>
        <v>2698.8</v>
      </c>
      <c r="O89" s="2596"/>
      <c r="P89" s="2077">
        <f>'Exhibit G State'!P89+'Exhibit G Federal'!P60</f>
        <v>354.60000000000025</v>
      </c>
      <c r="Q89" s="2596"/>
      <c r="R89" s="2077">
        <f>'Exhibit G State'!R89+'Exhibit G Federal'!R60</f>
        <v>378.6</v>
      </c>
      <c r="S89" s="2596"/>
      <c r="T89" s="2077">
        <f>'Exhibit G State'!T89+'Exhibit G Federal'!T60</f>
        <v>509.79999999999973</v>
      </c>
      <c r="U89" s="2596"/>
      <c r="V89" s="2077">
        <f>'Exhibit G State'!V89+'Exhibit G Federal'!V60</f>
        <v>2554.9000000000005</v>
      </c>
      <c r="W89" s="2596"/>
      <c r="X89" s="2077">
        <f>'Exhibit G State'!X89+'Exhibit G Federal'!X60</f>
        <v>404.80000000000007</v>
      </c>
      <c r="Y89" s="2596"/>
      <c r="Z89" s="2077"/>
      <c r="AA89" s="2077"/>
      <c r="AB89" s="2040">
        <v>0</v>
      </c>
      <c r="AC89" s="2084"/>
      <c r="AD89" s="2040">
        <f>ROUND(SUM(D89:Z89),1)</f>
        <v>8963.6</v>
      </c>
      <c r="AE89" s="2040"/>
      <c r="AF89" s="2084"/>
      <c r="AG89" s="2077">
        <f>'Exhibit G State'!AG89+'Exhibit G Federal'!AG60</f>
        <v>8875.1999999999989</v>
      </c>
      <c r="AH89" s="3635"/>
      <c r="AI89" s="2021"/>
      <c r="AJ89" s="2045">
        <f>ROUND(SUM(+AD89-AG89),1)</f>
        <v>88.4</v>
      </c>
      <c r="AK89" s="2615"/>
      <c r="AL89" s="1765">
        <f>ROUND(IF(AG89=0,0,AJ89/ABS(AG89)),3)</f>
        <v>0.01</v>
      </c>
      <c r="AR89" s="2036"/>
      <c r="AS89" s="2621"/>
    </row>
    <row r="90" spans="1:45" s="2235" customFormat="1" ht="15" customHeight="1">
      <c r="A90" s="2517"/>
      <c r="B90" s="2620" t="s">
        <v>26</v>
      </c>
      <c r="C90" s="2517"/>
      <c r="D90" s="2077">
        <f>'Exhibit G State'!D90+'Exhibit G Federal'!D61</f>
        <v>0.2</v>
      </c>
      <c r="E90" s="2607"/>
      <c r="F90" s="2077">
        <f>'Exhibit G State'!F90+'Exhibit G Federal'!F61</f>
        <v>0.1</v>
      </c>
      <c r="G90" s="2607"/>
      <c r="H90" s="2077">
        <f>'Exhibit G State'!H90+'Exhibit G Federal'!H61</f>
        <v>0.5</v>
      </c>
      <c r="I90" s="2583"/>
      <c r="J90" s="2077">
        <f>'Exhibit G State'!J90+'Exhibit G Federal'!J61</f>
        <v>-9.9999999999999978E-2</v>
      </c>
      <c r="K90" s="2596"/>
      <c r="L90" s="2077">
        <f>'Exhibit G State'!L90+'Exhibit G Federal'!L61</f>
        <v>0.19999999999999996</v>
      </c>
      <c r="M90" s="2596"/>
      <c r="N90" s="2077">
        <f>'Exhibit G State'!N90+'Exhibit G Federal'!N61</f>
        <v>0.50000000000000011</v>
      </c>
      <c r="O90" s="2596"/>
      <c r="P90" s="2077">
        <f>'Exhibit G State'!P90+'Exhibit G Federal'!P61</f>
        <v>9.9999999999999978E-2</v>
      </c>
      <c r="Q90" s="2596"/>
      <c r="R90" s="2077">
        <f>'Exhibit G State'!R90+'Exhibit G Federal'!R61</f>
        <v>0.19999999999999996</v>
      </c>
      <c r="S90" s="2596"/>
      <c r="T90" s="2077">
        <f>'Exhibit G State'!T90+'Exhibit G Federal'!T61</f>
        <v>0.7</v>
      </c>
      <c r="U90" s="2596"/>
      <c r="V90" s="2077">
        <f>'Exhibit G State'!V90+'Exhibit G Federal'!V61</f>
        <v>0.49999999999999989</v>
      </c>
      <c r="W90" s="2596"/>
      <c r="X90" s="2077">
        <f>'Exhibit G State'!X90+'Exhibit G Federal'!X61</f>
        <v>2.1999999999999997</v>
      </c>
      <c r="Y90" s="2596"/>
      <c r="Z90" s="2077"/>
      <c r="AA90" s="2077"/>
      <c r="AB90" s="2040">
        <v>0</v>
      </c>
      <c r="AC90" s="2084"/>
      <c r="AD90" s="2040">
        <f>ROUND(SUM(D90:Z90),1)</f>
        <v>5.0999999999999996</v>
      </c>
      <c r="AE90" s="2040"/>
      <c r="AF90" s="2084"/>
      <c r="AG90" s="2077">
        <f>'Exhibit G State'!AG90+'Exhibit G Federal'!AG61</f>
        <v>6.3999999999999995</v>
      </c>
      <c r="AH90" s="3635"/>
      <c r="AI90" s="2021"/>
      <c r="AJ90" s="2045">
        <f>ROUND(SUM(+AD90-AG90),1)</f>
        <v>-1.3</v>
      </c>
      <c r="AK90" s="2615"/>
      <c r="AL90" s="1770">
        <f>ROUND(IF(AG90=0,1,AJ90/ABS(AG90)),3)</f>
        <v>-0.20300000000000001</v>
      </c>
      <c r="AR90" s="2621"/>
      <c r="AS90" s="2621"/>
    </row>
    <row r="91" spans="1:45" s="2235" customFormat="1" ht="15" customHeight="1">
      <c r="A91" s="2517"/>
      <c r="B91" s="2620" t="s">
        <v>27</v>
      </c>
      <c r="C91" s="2517"/>
      <c r="D91" s="2077">
        <f>'Exhibit G State'!D91+'Exhibit G Federal'!D62</f>
        <v>27.4</v>
      </c>
      <c r="E91" s="2607"/>
      <c r="F91" s="2077">
        <f>'Exhibit G State'!F91+'Exhibit G Federal'!F62</f>
        <v>22.200000000000003</v>
      </c>
      <c r="G91" s="2607"/>
      <c r="H91" s="2077">
        <f>'Exhibit G State'!H91+'Exhibit G Federal'!H62</f>
        <v>10.499999999999996</v>
      </c>
      <c r="I91" s="2583"/>
      <c r="J91" s="2077">
        <f>'Exhibit G State'!J91+'Exhibit G Federal'!J62</f>
        <v>21.4</v>
      </c>
      <c r="K91" s="2596"/>
      <c r="L91" s="2077">
        <f>'Exhibit G State'!L91+'Exhibit G Federal'!L62</f>
        <v>24.200000000000003</v>
      </c>
      <c r="M91" s="2596"/>
      <c r="N91" s="2077">
        <f>'Exhibit G State'!N91+'Exhibit G Federal'!N62</f>
        <v>24.999999999999996</v>
      </c>
      <c r="O91" s="2596"/>
      <c r="P91" s="2077">
        <f>'Exhibit G State'!P91+'Exhibit G Federal'!P62</f>
        <v>16.199999999999996</v>
      </c>
      <c r="Q91" s="2596"/>
      <c r="R91" s="2077">
        <f>'Exhibit G State'!R91+'Exhibit G Federal'!R62</f>
        <v>22.60000000000003</v>
      </c>
      <c r="S91" s="2596"/>
      <c r="T91" s="2077">
        <f>'Exhibit G State'!T91+'Exhibit G Federal'!T62</f>
        <v>38.899999999999991</v>
      </c>
      <c r="U91" s="2596"/>
      <c r="V91" s="2077">
        <f>'Exhibit G State'!V91+'Exhibit G Federal'!V62</f>
        <v>22.19999999999996</v>
      </c>
      <c r="W91" s="2596"/>
      <c r="X91" s="2077">
        <f>'Exhibit G State'!X91+'Exhibit G Federal'!X62</f>
        <v>36.300000000000004</v>
      </c>
      <c r="Y91" s="2596"/>
      <c r="Z91" s="2077"/>
      <c r="AA91" s="2077"/>
      <c r="AB91" s="2040">
        <v>0</v>
      </c>
      <c r="AC91" s="2084"/>
      <c r="AD91" s="2040">
        <f>ROUND(SUM(D91:Z91),1)</f>
        <v>266.89999999999998</v>
      </c>
      <c r="AE91" s="2040"/>
      <c r="AF91" s="2084"/>
      <c r="AG91" s="2077">
        <f>'Exhibit G State'!AG91+'Exhibit G Federal'!AG62</f>
        <v>194.5</v>
      </c>
      <c r="AH91" s="3635"/>
      <c r="AI91" s="2021"/>
      <c r="AJ91" s="2045">
        <f>ROUND(SUM(+AD91-AG91),1)</f>
        <v>72.400000000000006</v>
      </c>
      <c r="AK91" s="2615"/>
      <c r="AL91" s="1765">
        <f>ROUND(IF(AG91=0,0,AJ91/ABS(AG91)),3)</f>
        <v>0.372</v>
      </c>
      <c r="AR91" s="2621"/>
      <c r="AS91" s="2621"/>
    </row>
    <row r="92" spans="1:45" s="2235" customFormat="1" ht="15" customHeight="1">
      <c r="A92" s="2517"/>
      <c r="B92" s="2620" t="s">
        <v>28</v>
      </c>
      <c r="C92" s="2517"/>
      <c r="D92" s="2021"/>
      <c r="E92" s="2583"/>
      <c r="F92" s="2021"/>
      <c r="G92" s="2583"/>
      <c r="H92" s="2021"/>
      <c r="I92" s="2583"/>
      <c r="J92" s="2021"/>
      <c r="K92" s="2596"/>
      <c r="L92" s="2021"/>
      <c r="M92" s="2596"/>
      <c r="N92" s="2021"/>
      <c r="O92" s="2596"/>
      <c r="P92" s="2021"/>
      <c r="Q92" s="2596"/>
      <c r="R92" s="2021"/>
      <c r="S92" s="2596"/>
      <c r="T92" s="2021"/>
      <c r="U92" s="2596"/>
      <c r="V92" s="2021"/>
      <c r="W92" s="2596"/>
      <c r="X92" s="2021"/>
      <c r="Y92" s="2596"/>
      <c r="Z92" s="2021"/>
      <c r="AA92" s="2021"/>
      <c r="AB92" s="2040"/>
      <c r="AC92" s="2084"/>
      <c r="AD92" s="2040"/>
      <c r="AE92" s="2040"/>
      <c r="AF92" s="2084"/>
      <c r="AG92" s="2021"/>
      <c r="AH92" s="3635"/>
      <c r="AI92" s="2021"/>
      <c r="AJ92" s="2045" t="s">
        <v>15</v>
      </c>
      <c r="AK92" s="2622" t="s">
        <v>15</v>
      </c>
      <c r="AL92" s="1476" t="s">
        <v>15</v>
      </c>
      <c r="AR92" s="2036"/>
      <c r="AS92" s="2036"/>
    </row>
    <row r="93" spans="1:45" s="2235" customFormat="1" ht="15" customHeight="1">
      <c r="A93" s="2517"/>
      <c r="B93" s="2623" t="s">
        <v>29</v>
      </c>
      <c r="C93" s="2517"/>
      <c r="D93" s="2077">
        <f>'Exhibit G State'!D93+'Exhibit G Federal'!D64</f>
        <v>3115.4</v>
      </c>
      <c r="E93" s="2607"/>
      <c r="F93" s="2077">
        <f>'Exhibit G State'!F93+'Exhibit G Federal'!F64</f>
        <v>4563.0999999999995</v>
      </c>
      <c r="G93" s="2607"/>
      <c r="H93" s="2077">
        <f>'Exhibit G State'!H93+'Exhibit G Federal'!H64</f>
        <v>3463.9999999999995</v>
      </c>
      <c r="I93" s="2583"/>
      <c r="J93" s="2077">
        <f>'Exhibit G State'!J93+'Exhibit G Federal'!J64</f>
        <v>3585.5000000000009</v>
      </c>
      <c r="K93" s="2596"/>
      <c r="L93" s="2077">
        <f>'Exhibit G State'!L93+'Exhibit G Federal'!L64</f>
        <v>4433.1999999999971</v>
      </c>
      <c r="M93" s="2596"/>
      <c r="N93" s="2077">
        <f>'Exhibit G State'!N93+'Exhibit G Federal'!N64</f>
        <v>3752.2</v>
      </c>
      <c r="O93" s="2596"/>
      <c r="P93" s="2077">
        <f>'Exhibit G State'!P93+'Exhibit G Federal'!P64</f>
        <v>4029.3000000000025</v>
      </c>
      <c r="Q93" s="2596"/>
      <c r="R93" s="2077">
        <f>'Exhibit G State'!R93+'Exhibit G Federal'!R64</f>
        <v>4013.6999999999994</v>
      </c>
      <c r="S93" s="2596"/>
      <c r="T93" s="2077">
        <f>'Exhibit G State'!T93+'Exhibit G Federal'!T64</f>
        <v>3696.2000000000007</v>
      </c>
      <c r="U93" s="2596"/>
      <c r="V93" s="2077">
        <f>'Exhibit G State'!V93+'Exhibit G Federal'!V64</f>
        <v>4491.3999999999978</v>
      </c>
      <c r="W93" s="2596"/>
      <c r="X93" s="2077">
        <f>'Exhibit G State'!X93+'Exhibit G Federal'!X64</f>
        <v>3923.4000000000055</v>
      </c>
      <c r="Y93" s="2596"/>
      <c r="Z93" s="2077"/>
      <c r="AA93" s="2077"/>
      <c r="AB93" s="2040">
        <v>0</v>
      </c>
      <c r="AC93" s="2084"/>
      <c r="AD93" s="2040">
        <f t="shared" ref="AD93:AD98" si="27">ROUND(SUM(D93:Z93),1)</f>
        <v>43067.4</v>
      </c>
      <c r="AE93" s="2040"/>
      <c r="AF93" s="2084"/>
      <c r="AG93" s="2077">
        <f>'Exhibit G State'!AG93+'Exhibit G Federal'!AG64</f>
        <v>41421.700000000004</v>
      </c>
      <c r="AH93" s="3635"/>
      <c r="AI93" s="2021"/>
      <c r="AJ93" s="2045">
        <f t="shared" ref="AJ93:AJ98" si="28">ROUND(SUM(+AD93-AG93),1)</f>
        <v>1645.7</v>
      </c>
      <c r="AK93" s="2615"/>
      <c r="AL93" s="1765">
        <f t="shared" ref="AL93:AL98" si="29">ROUND(IF(AG93=0,0,AJ93/ABS(AG93)),3)</f>
        <v>0.04</v>
      </c>
      <c r="AR93" s="2036"/>
      <c r="AS93" s="2036"/>
    </row>
    <row r="94" spans="1:45" s="2235" customFormat="1" ht="15" customHeight="1">
      <c r="A94" s="2517"/>
      <c r="B94" s="2620" t="s">
        <v>30</v>
      </c>
      <c r="C94" s="2517"/>
      <c r="D94" s="2077">
        <f>'Exhibit G State'!D94+'Exhibit G Federal'!D65</f>
        <v>543.4</v>
      </c>
      <c r="E94" s="2607"/>
      <c r="F94" s="2077">
        <f>'Exhibit G State'!F94+'Exhibit G Federal'!F65</f>
        <v>520.5</v>
      </c>
      <c r="G94" s="2607"/>
      <c r="H94" s="2077">
        <f>'Exhibit G State'!H94+'Exhibit G Federal'!H65</f>
        <v>805.50000000000023</v>
      </c>
      <c r="I94" s="2583"/>
      <c r="J94" s="2077">
        <f>'Exhibit G State'!J94+'Exhibit G Federal'!J65</f>
        <v>508.59999999999991</v>
      </c>
      <c r="K94" s="2596"/>
      <c r="L94" s="2077">
        <f>'Exhibit G State'!L94+'Exhibit G Federal'!L65</f>
        <v>652.9</v>
      </c>
      <c r="M94" s="2596"/>
      <c r="N94" s="2077">
        <f>'Exhibit G State'!N94+'Exhibit G Federal'!N65</f>
        <v>720.99999999999943</v>
      </c>
      <c r="O94" s="2596"/>
      <c r="P94" s="2077">
        <f>'Exhibit G State'!P94+'Exhibit G Federal'!P65</f>
        <v>509.60000000000025</v>
      </c>
      <c r="Q94" s="2596"/>
      <c r="R94" s="2077">
        <f>'Exhibit G State'!R94+'Exhibit G Federal'!R65</f>
        <v>455.39999999999975</v>
      </c>
      <c r="S94" s="2596"/>
      <c r="T94" s="2077">
        <f>'Exhibit G State'!T94+'Exhibit G Federal'!T65</f>
        <v>721.80000000000007</v>
      </c>
      <c r="U94" s="2596"/>
      <c r="V94" s="2077">
        <f>'Exhibit G State'!V94+'Exhibit G Federal'!V65</f>
        <v>617.40000000000032</v>
      </c>
      <c r="W94" s="2596"/>
      <c r="X94" s="2077">
        <f>'Exhibit G State'!X94+'Exhibit G Federal'!X65</f>
        <v>560.20000000000027</v>
      </c>
      <c r="Y94" s="2596"/>
      <c r="Z94" s="2077"/>
      <c r="AA94" s="2077"/>
      <c r="AB94" s="2040">
        <v>0</v>
      </c>
      <c r="AC94" s="2084"/>
      <c r="AD94" s="2040">
        <f t="shared" si="27"/>
        <v>6616.3</v>
      </c>
      <c r="AE94" s="2040"/>
      <c r="AF94" s="2084"/>
      <c r="AG94" s="2077">
        <f>'Exhibit G State'!AG94+'Exhibit G Federal'!AG65</f>
        <v>6827.5</v>
      </c>
      <c r="AH94" s="3635"/>
      <c r="AI94" s="2021"/>
      <c r="AJ94" s="2045">
        <f t="shared" si="28"/>
        <v>-211.2</v>
      </c>
      <c r="AK94" s="2615"/>
      <c r="AL94" s="1765">
        <f t="shared" si="29"/>
        <v>-3.1E-2</v>
      </c>
      <c r="AR94" s="2036"/>
      <c r="AS94" s="2036"/>
    </row>
    <row r="95" spans="1:45" s="2235" customFormat="1" ht="15" customHeight="1">
      <c r="A95" s="2517"/>
      <c r="B95" s="2620" t="s">
        <v>31</v>
      </c>
      <c r="C95" s="2517"/>
      <c r="D95" s="2077">
        <f>'Exhibit G State'!D95+'Exhibit G Federal'!D66</f>
        <v>136.30000000000001</v>
      </c>
      <c r="E95" s="2607"/>
      <c r="F95" s="2077">
        <f>'Exhibit G State'!F95+'Exhibit G Federal'!F66</f>
        <v>164.9</v>
      </c>
      <c r="G95" s="2607"/>
      <c r="H95" s="2077">
        <f>'Exhibit G State'!H95+'Exhibit G Federal'!H66</f>
        <v>58.79999999999999</v>
      </c>
      <c r="I95" s="2583"/>
      <c r="J95" s="2077">
        <f>'Exhibit G State'!J95+'Exhibit G Federal'!J66</f>
        <v>69.300000000000011</v>
      </c>
      <c r="K95" s="2596"/>
      <c r="L95" s="2077">
        <f>'Exhibit G State'!L95+'Exhibit G Federal'!L66</f>
        <v>86.4</v>
      </c>
      <c r="M95" s="2596"/>
      <c r="N95" s="2077">
        <f>'Exhibit G State'!N95+'Exhibit G Federal'!N66</f>
        <v>66.899999999999977</v>
      </c>
      <c r="O95" s="2596"/>
      <c r="P95" s="2077">
        <f>'Exhibit G State'!P95+'Exhibit G Federal'!P66</f>
        <v>156.00000000000006</v>
      </c>
      <c r="Q95" s="2596"/>
      <c r="R95" s="2077">
        <f>'Exhibit G State'!R95+'Exhibit G Federal'!R66</f>
        <v>192.1999999999999</v>
      </c>
      <c r="S95" s="2596"/>
      <c r="T95" s="2077">
        <f>'Exhibit G State'!T95+'Exhibit G Federal'!T66</f>
        <v>109.50000000000014</v>
      </c>
      <c r="U95" s="2596"/>
      <c r="V95" s="2077">
        <f>'Exhibit G State'!V95+'Exhibit G Federal'!V66</f>
        <v>188.3</v>
      </c>
      <c r="W95" s="2596"/>
      <c r="X95" s="2077">
        <f>'Exhibit G State'!X95+'Exhibit G Federal'!X66</f>
        <v>190.19999999999993</v>
      </c>
      <c r="Y95" s="2596"/>
      <c r="Z95" s="2077"/>
      <c r="AA95" s="2077"/>
      <c r="AB95" s="2040">
        <v>0</v>
      </c>
      <c r="AC95" s="2084"/>
      <c r="AD95" s="2040">
        <f t="shared" si="27"/>
        <v>1418.8</v>
      </c>
      <c r="AE95" s="2040"/>
      <c r="AF95" s="2084"/>
      <c r="AG95" s="2077">
        <f>'Exhibit G State'!AG95+'Exhibit G Federal'!AG66</f>
        <v>1244.5</v>
      </c>
      <c r="AH95" s="3635"/>
      <c r="AI95" s="2021"/>
      <c r="AJ95" s="2045">
        <f t="shared" si="28"/>
        <v>174.3</v>
      </c>
      <c r="AK95" s="2615"/>
      <c r="AL95" s="1765">
        <f t="shared" si="29"/>
        <v>0.14000000000000001</v>
      </c>
      <c r="AR95" s="2036"/>
      <c r="AS95" s="2036"/>
    </row>
    <row r="96" spans="1:45" s="2235" customFormat="1" ht="15" customHeight="1">
      <c r="A96" s="2517"/>
      <c r="B96" s="2620" t="s">
        <v>32</v>
      </c>
      <c r="C96" s="2517"/>
      <c r="D96" s="2077">
        <f>'Exhibit G State'!D96+'Exhibit G Federal'!D67</f>
        <v>152.30000000000001</v>
      </c>
      <c r="E96" s="2607"/>
      <c r="F96" s="2077">
        <f>'Exhibit G State'!F96+'Exhibit G Federal'!F67</f>
        <v>120.00000000000001</v>
      </c>
      <c r="G96" s="2607"/>
      <c r="H96" s="2077">
        <f>'Exhibit G State'!H96+'Exhibit G Federal'!H67</f>
        <v>271.19999999999993</v>
      </c>
      <c r="I96" s="2583"/>
      <c r="J96" s="2077">
        <f>'Exhibit G State'!J96+'Exhibit G Federal'!J67</f>
        <v>318.40000000000009</v>
      </c>
      <c r="K96" s="2596"/>
      <c r="L96" s="2077">
        <f>'Exhibit G State'!L96+'Exhibit G Federal'!L67</f>
        <v>185.19999999999996</v>
      </c>
      <c r="M96" s="2596"/>
      <c r="N96" s="2077">
        <f>'Exhibit G State'!N96+'Exhibit G Federal'!N67</f>
        <v>492.99999999999994</v>
      </c>
      <c r="O96" s="2596"/>
      <c r="P96" s="2077">
        <f>'Exhibit G State'!P96+'Exhibit G Federal'!P67</f>
        <v>1063.4000000000001</v>
      </c>
      <c r="Q96" s="2596"/>
      <c r="R96" s="2077">
        <f>'Exhibit G State'!R96+'Exhibit G Federal'!R67</f>
        <v>514.80000000000041</v>
      </c>
      <c r="S96" s="2596"/>
      <c r="T96" s="2077">
        <f>'Exhibit G State'!T96+'Exhibit G Federal'!T67</f>
        <v>114.29999999999981</v>
      </c>
      <c r="U96" s="2596"/>
      <c r="V96" s="2077">
        <f>'Exhibit G State'!V96+'Exhibit G Federal'!V67</f>
        <v>402.4000000000002</v>
      </c>
      <c r="W96" s="2596"/>
      <c r="X96" s="2077">
        <f>'Exhibit G State'!X96+'Exhibit G Federal'!X67</f>
        <v>275.10000000000002</v>
      </c>
      <c r="Y96" s="2596"/>
      <c r="Z96" s="2077"/>
      <c r="AA96" s="2077"/>
      <c r="AB96" s="2040">
        <v>0</v>
      </c>
      <c r="AC96" s="2084"/>
      <c r="AD96" s="2040">
        <f t="shared" si="27"/>
        <v>3910.1</v>
      </c>
      <c r="AE96" s="2040"/>
      <c r="AF96" s="2084"/>
      <c r="AG96" s="2077">
        <f>'Exhibit G State'!AG96+'Exhibit G Federal'!AG67</f>
        <v>4207.3</v>
      </c>
      <c r="AH96" s="3635"/>
      <c r="AI96" s="2021"/>
      <c r="AJ96" s="2045">
        <f t="shared" si="28"/>
        <v>-297.2</v>
      </c>
      <c r="AK96" s="2615"/>
      <c r="AL96" s="1765">
        <f t="shared" si="29"/>
        <v>-7.0999999999999994E-2</v>
      </c>
      <c r="AR96" s="2036"/>
      <c r="AS96" s="2036"/>
    </row>
    <row r="97" spans="1:46" s="2235" customFormat="1" ht="15" customHeight="1">
      <c r="A97" s="2517"/>
      <c r="B97" s="2620" t="s">
        <v>33</v>
      </c>
      <c r="C97" s="2517"/>
      <c r="D97" s="2077">
        <f>'Exhibit G State'!D97+'Exhibit G Federal'!D68</f>
        <v>1.4000000000000001</v>
      </c>
      <c r="E97" s="2607"/>
      <c r="F97" s="2077">
        <f>'Exhibit G State'!F97+'Exhibit G Federal'!F68</f>
        <v>7.8999999999999995</v>
      </c>
      <c r="G97" s="2607"/>
      <c r="H97" s="2077">
        <f>'Exhibit G State'!H97+'Exhibit G Federal'!H68</f>
        <v>1.5000000000000007</v>
      </c>
      <c r="I97" s="2583"/>
      <c r="J97" s="2077">
        <f>'Exhibit G State'!J97+'Exhibit G Federal'!J68</f>
        <v>6.6000000000000014</v>
      </c>
      <c r="K97" s="2596"/>
      <c r="L97" s="2077">
        <f>'Exhibit G State'!L97+'Exhibit G Federal'!L68</f>
        <v>5.6999999999999975</v>
      </c>
      <c r="M97" s="2596"/>
      <c r="N97" s="2077">
        <f>'Exhibit G State'!N97+'Exhibit G Federal'!N68</f>
        <v>5.1999999999999984</v>
      </c>
      <c r="O97" s="2596"/>
      <c r="P97" s="2077">
        <f>'Exhibit G State'!P97+'Exhibit G Federal'!P68</f>
        <v>1.9000000000000004</v>
      </c>
      <c r="Q97" s="2596"/>
      <c r="R97" s="2077">
        <f>'Exhibit G State'!R97+'Exhibit G Federal'!R68</f>
        <v>15.800000000000002</v>
      </c>
      <c r="S97" s="2596"/>
      <c r="T97" s="2077">
        <f>'Exhibit G State'!T97+'Exhibit G Federal'!T68</f>
        <v>6</v>
      </c>
      <c r="U97" s="2596"/>
      <c r="V97" s="2077">
        <f>'Exhibit G State'!V97+'Exhibit G Federal'!V68</f>
        <v>1.1000000000000032</v>
      </c>
      <c r="W97" s="2596"/>
      <c r="X97" s="2077">
        <f>'Exhibit G State'!X97+'Exhibit G Federal'!X68</f>
        <v>8.7000000000000028</v>
      </c>
      <c r="Y97" s="2596"/>
      <c r="Z97" s="2077"/>
      <c r="AA97" s="2077"/>
      <c r="AB97" s="2040">
        <v>0</v>
      </c>
      <c r="AC97" s="2084"/>
      <c r="AD97" s="2040">
        <f t="shared" si="27"/>
        <v>61.8</v>
      </c>
      <c r="AE97" s="2040"/>
      <c r="AF97" s="2084"/>
      <c r="AG97" s="2077">
        <f>'Exhibit G State'!AG97+'Exhibit G Federal'!AG68</f>
        <v>70.8</v>
      </c>
      <c r="AH97" s="3635"/>
      <c r="AI97" s="2021"/>
      <c r="AJ97" s="2045">
        <f t="shared" si="28"/>
        <v>-9</v>
      </c>
      <c r="AK97" s="2615"/>
      <c r="AL97" s="1770">
        <f>ROUND(IF(AG97=0,0,AJ97/ABS(AG97)),3)</f>
        <v>-0.127</v>
      </c>
      <c r="AR97" s="2621"/>
      <c r="AS97" s="2621"/>
    </row>
    <row r="98" spans="1:46" s="2235" customFormat="1" ht="15" customHeight="1">
      <c r="A98" s="2517"/>
      <c r="B98" s="2620" t="s">
        <v>34</v>
      </c>
      <c r="C98" s="2517"/>
      <c r="D98" s="2077">
        <f>'Exhibit G State'!D98+'Exhibit G Federal'!D69</f>
        <v>72.3</v>
      </c>
      <c r="E98" s="2607"/>
      <c r="F98" s="2077">
        <f>'Exhibit G State'!F98+'Exhibit G Federal'!F69</f>
        <v>408.5</v>
      </c>
      <c r="G98" s="2607"/>
      <c r="H98" s="2077">
        <f>'Exhibit G State'!H98+'Exhibit G Federal'!H69</f>
        <v>269.7</v>
      </c>
      <c r="I98" s="2583"/>
      <c r="J98" s="2077">
        <f>'Exhibit G State'!J98+'Exhibit G Federal'!J69</f>
        <v>278.10000000000008</v>
      </c>
      <c r="K98" s="2596"/>
      <c r="L98" s="2077">
        <f>'Exhibit G State'!L98+'Exhibit G Federal'!L69</f>
        <v>369.00000000000006</v>
      </c>
      <c r="M98" s="2596"/>
      <c r="N98" s="2077">
        <f>'Exhibit G State'!N98+'Exhibit G Federal'!N69</f>
        <v>330.49999999999977</v>
      </c>
      <c r="O98" s="2596"/>
      <c r="P98" s="2077">
        <f>'Exhibit G State'!P98+'Exhibit G Federal'!P69</f>
        <v>284.00000000000023</v>
      </c>
      <c r="Q98" s="2596"/>
      <c r="R98" s="2077">
        <f>'Exhibit G State'!R98+'Exhibit G Federal'!R69</f>
        <v>479.49999999999943</v>
      </c>
      <c r="S98" s="2596"/>
      <c r="T98" s="2077">
        <f>'Exhibit G State'!T98+'Exhibit G Federal'!T69</f>
        <v>734.60000000000014</v>
      </c>
      <c r="U98" s="2596"/>
      <c r="V98" s="2077">
        <f>'Exhibit G State'!V98+'Exhibit G Federal'!V69</f>
        <v>70.90000000000046</v>
      </c>
      <c r="W98" s="2596"/>
      <c r="X98" s="2077">
        <f>'Exhibit G State'!X98+'Exhibit G Federal'!X69</f>
        <v>96.3</v>
      </c>
      <c r="Y98" s="2596"/>
      <c r="Z98" s="2077"/>
      <c r="AA98" s="2077"/>
      <c r="AB98" s="2040">
        <v>0</v>
      </c>
      <c r="AC98" s="2084"/>
      <c r="AD98" s="2021">
        <f t="shared" si="27"/>
        <v>3393.4</v>
      </c>
      <c r="AE98" s="2040"/>
      <c r="AF98" s="2084"/>
      <c r="AG98" s="2077">
        <f>'Exhibit G State'!AG98+'Exhibit G Federal'!AG69</f>
        <v>3513.4</v>
      </c>
      <c r="AH98" s="3635"/>
      <c r="AI98" s="2021"/>
      <c r="AJ98" s="2086">
        <f t="shared" si="28"/>
        <v>-120</v>
      </c>
      <c r="AK98" s="2615"/>
      <c r="AL98" s="1853">
        <f t="shared" si="29"/>
        <v>-3.4000000000000002E-2</v>
      </c>
      <c r="AM98" s="2624"/>
      <c r="AR98" s="2063"/>
      <c r="AS98" s="2063"/>
      <c r="AT98" s="2234"/>
    </row>
    <row r="99" spans="1:46" ht="15" customHeight="1">
      <c r="A99" s="2089"/>
      <c r="B99" s="2479" t="s">
        <v>1197</v>
      </c>
      <c r="C99" s="2089"/>
      <c r="D99" s="2078">
        <f>ROUND(SUM(D89:D98),1)</f>
        <v>4386.3999999999996</v>
      </c>
      <c r="F99" s="2078">
        <f>ROUND(SUM(F89:F98),1)</f>
        <v>6398.3</v>
      </c>
      <c r="H99" s="2526">
        <f>ROUND(SUM(H89:H98),1)</f>
        <v>5493.1</v>
      </c>
      <c r="J99" s="2526">
        <f>ROUND(SUM(J89:J98),1)</f>
        <v>5075.8999999999996</v>
      </c>
      <c r="L99" s="2078">
        <f t="shared" ref="L99:V99" si="30">ROUND(SUM(L89:L98),1)</f>
        <v>5990.6</v>
      </c>
      <c r="N99" s="2078">
        <f t="shared" ref="N99:P99" si="31">ROUND(SUM(N89:N98),1)</f>
        <v>8093.1</v>
      </c>
      <c r="P99" s="2078">
        <f t="shared" si="31"/>
        <v>6415.1</v>
      </c>
      <c r="R99" s="2078">
        <f t="shared" ref="R99" si="32">ROUND(SUM(R89:R98),1)</f>
        <v>6072.8</v>
      </c>
      <c r="T99" s="2062">
        <f t="shared" si="30"/>
        <v>5931.8</v>
      </c>
      <c r="V99" s="2078">
        <f t="shared" si="30"/>
        <v>8349.1</v>
      </c>
      <c r="X99" s="2078">
        <f t="shared" ref="X99:Z99" si="33">ROUND(SUM(X89:X98),1)</f>
        <v>5497.2</v>
      </c>
      <c r="Z99" s="2078">
        <f t="shared" si="33"/>
        <v>0</v>
      </c>
      <c r="AA99" s="1472"/>
      <c r="AB99" s="2078">
        <f>ROUND(SUM(AB89:AB98),1)</f>
        <v>0</v>
      </c>
      <c r="AC99" s="2085"/>
      <c r="AD99" s="2062">
        <f>ROUND(SUM(AD89:AD98),1)</f>
        <v>67703.399999999994</v>
      </c>
      <c r="AE99" s="2095"/>
      <c r="AF99" s="2609"/>
      <c r="AG99" s="2062">
        <f>ROUND(SUM(AG89:AG98),1)</f>
        <v>66361.3</v>
      </c>
      <c r="AH99" s="3638"/>
      <c r="AI99" s="1472"/>
      <c r="AJ99" s="2078">
        <f>ROUND(SUM(AJ89:AJ98),1)</f>
        <v>1342.1</v>
      </c>
      <c r="AK99" s="2098"/>
      <c r="AL99" s="1464">
        <f>ROUND(SUM(+AJ99/AG99),3)</f>
        <v>0.02</v>
      </c>
      <c r="AR99" s="2066"/>
      <c r="AS99" s="2063"/>
      <c r="AT99" s="2066"/>
    </row>
    <row r="100" spans="1:46" s="2235" customFormat="1" ht="15" customHeight="1">
      <c r="A100" s="2517"/>
      <c r="B100" s="2517" t="s">
        <v>170</v>
      </c>
      <c r="C100" s="2517"/>
      <c r="D100" s="2040"/>
      <c r="E100" s="2583"/>
      <c r="F100" s="2040"/>
      <c r="G100" s="2583"/>
      <c r="H100" s="1471"/>
      <c r="I100" s="2583"/>
      <c r="J100" s="1471"/>
      <c r="K100" s="2596"/>
      <c r="L100" s="2040"/>
      <c r="M100" s="2596"/>
      <c r="N100" s="2040"/>
      <c r="O100" s="2596"/>
      <c r="P100" s="2040"/>
      <c r="Q100" s="2596"/>
      <c r="R100" s="2040"/>
      <c r="S100" s="2596"/>
      <c r="T100" s="2040"/>
      <c r="U100" s="2596"/>
      <c r="V100" s="2040"/>
      <c r="W100" s="2596"/>
      <c r="X100" s="2040"/>
      <c r="Y100" s="2596"/>
      <c r="Z100" s="2040"/>
      <c r="AA100" s="2040"/>
      <c r="AB100" s="2040"/>
      <c r="AC100" s="2084"/>
      <c r="AD100" s="2040"/>
      <c r="AE100" s="2040"/>
      <c r="AF100" s="2084"/>
      <c r="AG100" s="2040"/>
      <c r="AH100" s="3635"/>
      <c r="AI100" s="2021"/>
      <c r="AJ100" s="2045"/>
      <c r="AL100" s="1859"/>
      <c r="AS100" s="2036"/>
    </row>
    <row r="101" spans="1:46" s="2235" customFormat="1" ht="15" customHeight="1">
      <c r="A101" s="2517"/>
      <c r="B101" s="2517" t="s">
        <v>154</v>
      </c>
      <c r="C101" s="2517"/>
      <c r="D101" s="2077">
        <f>'Exhibit G State'!D101+'Exhibit G Federal'!D72</f>
        <v>451</v>
      </c>
      <c r="E101" s="2607"/>
      <c r="F101" s="2077">
        <f>'Exhibit G State'!F101+'Exhibit G Federal'!F72</f>
        <v>645.79999999999995</v>
      </c>
      <c r="G101" s="2607"/>
      <c r="H101" s="2077">
        <f>'Exhibit G State'!H101+'Exhibit G Federal'!H72</f>
        <v>448.69999999999993</v>
      </c>
      <c r="I101" s="2583"/>
      <c r="J101" s="2077">
        <f>'Exhibit G State'!J101+'Exhibit G Federal'!J72</f>
        <v>493.7000000000001</v>
      </c>
      <c r="K101" s="2596"/>
      <c r="L101" s="2077">
        <f>'Exhibit G State'!L101+'Exhibit G Federal'!L72</f>
        <v>400.09999999999991</v>
      </c>
      <c r="M101" s="2596"/>
      <c r="N101" s="2077">
        <f>'Exhibit G State'!N101+'Exhibit G Federal'!N72</f>
        <v>439.10000000000048</v>
      </c>
      <c r="O101" s="2596"/>
      <c r="P101" s="2077">
        <f>'Exhibit G State'!P101+'Exhibit G Federal'!P72</f>
        <v>634.99999999999977</v>
      </c>
      <c r="Q101" s="2596"/>
      <c r="R101" s="2077">
        <f>'Exhibit G State'!R101+'Exhibit G Federal'!R72</f>
        <v>445.2</v>
      </c>
      <c r="S101" s="2596"/>
      <c r="T101" s="2077">
        <f>'Exhibit G State'!T101+'Exhibit G Federal'!T72</f>
        <v>460.9</v>
      </c>
      <c r="U101" s="2596"/>
      <c r="V101" s="2077">
        <f>'Exhibit G State'!V101+'Exhibit G Federal'!V72</f>
        <v>447.70000000000061</v>
      </c>
      <c r="W101" s="2596"/>
      <c r="X101" s="2077">
        <f>'Exhibit G State'!X101+'Exhibit G Federal'!X72</f>
        <v>455.29999999999984</v>
      </c>
      <c r="Y101" s="2596"/>
      <c r="Z101" s="2077"/>
      <c r="AA101" s="2077"/>
      <c r="AB101" s="2040">
        <v>0</v>
      </c>
      <c r="AC101" s="2084"/>
      <c r="AD101" s="2040">
        <f>ROUND(SUM(D101:Z101),1)</f>
        <v>5322.5</v>
      </c>
      <c r="AE101" s="2040"/>
      <c r="AF101" s="2084"/>
      <c r="AG101" s="2077">
        <f>'Exhibit G State'!AG101+'Exhibit G Federal'!AG72</f>
        <v>5169.6000000000004</v>
      </c>
      <c r="AH101" s="3635"/>
      <c r="AI101" s="2021"/>
      <c r="AJ101" s="2045">
        <f>ROUND(SUM(+AD101-AG101),1)</f>
        <v>152.9</v>
      </c>
      <c r="AK101" s="2605"/>
      <c r="AL101" s="1765">
        <f>ROUND(IF(AG101=0,0,AJ101/ABS(AG101)),3)</f>
        <v>0.03</v>
      </c>
    </row>
    <row r="102" spans="1:46" s="2235" customFormat="1" ht="15" customHeight="1">
      <c r="A102" s="2517"/>
      <c r="B102" s="2517" t="s">
        <v>171</v>
      </c>
      <c r="C102" s="2517"/>
      <c r="D102" s="2077">
        <f>'Exhibit G State'!D102+'Exhibit G Federal'!D73</f>
        <v>314.39999999999998</v>
      </c>
      <c r="E102" s="2607"/>
      <c r="F102" s="2077">
        <f>'Exhibit G State'!F102+'Exhibit G Federal'!F73</f>
        <v>324.8</v>
      </c>
      <c r="G102" s="2607"/>
      <c r="H102" s="2077">
        <f>'Exhibit G State'!H102+'Exhibit G Federal'!H73</f>
        <v>294.39999999999998</v>
      </c>
      <c r="I102" s="2583"/>
      <c r="J102" s="2077">
        <f>'Exhibit G State'!J102+'Exhibit G Federal'!J73</f>
        <v>310.00000000000011</v>
      </c>
      <c r="K102" s="2596"/>
      <c r="L102" s="2077">
        <f>'Exhibit G State'!L102+'Exhibit G Federal'!L73</f>
        <v>360.09999999999991</v>
      </c>
      <c r="M102" s="2596"/>
      <c r="N102" s="2077">
        <f>'Exhibit G State'!N102+'Exhibit G Federal'!N73</f>
        <v>402.6</v>
      </c>
      <c r="O102" s="2596"/>
      <c r="P102" s="2077">
        <f>'Exhibit G State'!P102+'Exhibit G Federal'!P73</f>
        <v>390.30000000000018</v>
      </c>
      <c r="Q102" s="2596"/>
      <c r="R102" s="2077">
        <f>'Exhibit G State'!R102+'Exhibit G Federal'!R73</f>
        <v>364.59999999999985</v>
      </c>
      <c r="S102" s="2596"/>
      <c r="T102" s="2077">
        <f>'Exhibit G State'!T102+'Exhibit G Federal'!T73</f>
        <v>344.4</v>
      </c>
      <c r="U102" s="2596"/>
      <c r="V102" s="2077">
        <f>'Exhibit G State'!V102+'Exhibit G Federal'!V73</f>
        <v>449.49999999999977</v>
      </c>
      <c r="W102" s="2596"/>
      <c r="X102" s="2077">
        <f>'Exhibit G State'!X102+'Exhibit G Federal'!X73</f>
        <v>424.59999999999991</v>
      </c>
      <c r="Y102" s="2596"/>
      <c r="Z102" s="2077"/>
      <c r="AA102" s="2077"/>
      <c r="AB102" s="2040">
        <v>0</v>
      </c>
      <c r="AC102" s="2084"/>
      <c r="AD102" s="2040">
        <f>ROUND(SUM(D102:Z102),1)</f>
        <v>3979.7</v>
      </c>
      <c r="AE102" s="2040"/>
      <c r="AF102" s="2084"/>
      <c r="AG102" s="2077">
        <f>'Exhibit G State'!AG102+'Exhibit G Federal'!AG73</f>
        <v>3733.3</v>
      </c>
      <c r="AH102" s="3635"/>
      <c r="AI102" s="2021"/>
      <c r="AJ102" s="2045">
        <f>ROUND(SUM(+AD102-AG102),1)</f>
        <v>246.4</v>
      </c>
      <c r="AK102" s="2605"/>
      <c r="AL102" s="1765">
        <f>ROUND(IF(AG102=0,0,AJ102/ABS(AG102)),3)</f>
        <v>6.6000000000000003E-2</v>
      </c>
    </row>
    <row r="103" spans="1:46" s="2235" customFormat="1" ht="15" customHeight="1">
      <c r="A103" s="2517"/>
      <c r="B103" s="2517" t="s">
        <v>172</v>
      </c>
      <c r="C103" s="2517"/>
      <c r="D103" s="2077">
        <f>'Exhibit G State'!D103+'Exhibit G Federal'!D74</f>
        <v>85.4</v>
      </c>
      <c r="E103" s="2607"/>
      <c r="F103" s="2077">
        <f>'Exhibit G State'!F103+'Exhibit G Federal'!F74</f>
        <v>111.29999999999998</v>
      </c>
      <c r="G103" s="2607"/>
      <c r="H103" s="2077">
        <f>'Exhibit G State'!H103+'Exhibit G Federal'!H74</f>
        <v>89.700000000000017</v>
      </c>
      <c r="I103" s="2583"/>
      <c r="J103" s="2077">
        <f>'Exhibit G State'!J103+'Exhibit G Federal'!J74</f>
        <v>114.19999999999999</v>
      </c>
      <c r="K103" s="2596"/>
      <c r="L103" s="2077">
        <f>'Exhibit G State'!L103+'Exhibit G Federal'!L74</f>
        <v>120.39999999999998</v>
      </c>
      <c r="M103" s="2596"/>
      <c r="N103" s="2077">
        <f>'Exhibit G State'!N103+'Exhibit G Federal'!N74</f>
        <v>95.700000000000045</v>
      </c>
      <c r="O103" s="2596"/>
      <c r="P103" s="2077">
        <f>'Exhibit G State'!P103+'Exhibit G Federal'!P74</f>
        <v>92.500000000000028</v>
      </c>
      <c r="Q103" s="2596"/>
      <c r="R103" s="2077">
        <f>'Exhibit G State'!R103+'Exhibit G Federal'!R74</f>
        <v>155.89999999999992</v>
      </c>
      <c r="S103" s="2596"/>
      <c r="T103" s="2077">
        <f>'Exhibit G State'!T103+'Exhibit G Federal'!T74</f>
        <v>130.60000000000002</v>
      </c>
      <c r="U103" s="2596"/>
      <c r="V103" s="2077">
        <f>'Exhibit G State'!V103+'Exhibit G Federal'!V74</f>
        <v>119.09999999999991</v>
      </c>
      <c r="W103" s="2596"/>
      <c r="X103" s="2077">
        <f>'Exhibit G State'!X103+'Exhibit G Federal'!X74</f>
        <v>93.499999999999972</v>
      </c>
      <c r="Y103" s="2596"/>
      <c r="Z103" s="2077"/>
      <c r="AA103" s="2077"/>
      <c r="AB103" s="2040">
        <v>0</v>
      </c>
      <c r="AC103" s="2084"/>
      <c r="AD103" s="2040">
        <f>ROUND(SUM(D103:Z103),1)</f>
        <v>1208.3</v>
      </c>
      <c r="AE103" s="2040"/>
      <c r="AF103" s="2084"/>
      <c r="AG103" s="2077">
        <f>'Exhibit G State'!AG103+'Exhibit G Federal'!AG74</f>
        <v>1344.4</v>
      </c>
      <c r="AH103" s="3635"/>
      <c r="AI103" s="2021"/>
      <c r="AJ103" s="2045">
        <f>ROUND(SUM(+AD103-AG103),1)</f>
        <v>-136.1</v>
      </c>
      <c r="AK103" s="2605"/>
      <c r="AL103" s="1765">
        <f>ROUND(IF(AG103=0,0,AJ103/ABS(AG103)),3)</f>
        <v>-0.10100000000000001</v>
      </c>
    </row>
    <row r="104" spans="1:46" s="2235" customFormat="1" ht="15" customHeight="1">
      <c r="A104" s="2517"/>
      <c r="B104" s="2517" t="s">
        <v>173</v>
      </c>
      <c r="C104" s="2517"/>
      <c r="D104" s="2077">
        <f>'Exhibit G State'!D104+'Exhibit G Federal'!D75</f>
        <v>0</v>
      </c>
      <c r="E104" s="2607"/>
      <c r="F104" s="2077">
        <f>'Exhibit G State'!F104+'Exhibit G Federal'!F75</f>
        <v>0</v>
      </c>
      <c r="G104" s="2607"/>
      <c r="H104" s="2077">
        <f>'Exhibit G State'!H104+'Exhibit G Federal'!H75</f>
        <v>0.1</v>
      </c>
      <c r="I104" s="2583"/>
      <c r="J104" s="2077">
        <f>'Exhibit G State'!J104+'Exhibit G Federal'!J75</f>
        <v>0</v>
      </c>
      <c r="K104" s="2596"/>
      <c r="L104" s="2077">
        <f>'Exhibit G State'!L104+'Exhibit G Federal'!L75</f>
        <v>-0.1</v>
      </c>
      <c r="M104" s="2596"/>
      <c r="N104" s="2077">
        <f>'Exhibit G State'!N104+'Exhibit G Federal'!N75</f>
        <v>0</v>
      </c>
      <c r="O104" s="2596"/>
      <c r="P104" s="2077">
        <f>'Exhibit G State'!P104+'Exhibit G Federal'!P75</f>
        <v>0</v>
      </c>
      <c r="Q104" s="2596"/>
      <c r="R104" s="2077">
        <f>'Exhibit G State'!R104+'Exhibit G Federal'!R75</f>
        <v>0</v>
      </c>
      <c r="S104" s="2596"/>
      <c r="T104" s="2077">
        <f>'Exhibit G State'!T104+'Exhibit G Federal'!T75</f>
        <v>0</v>
      </c>
      <c r="U104" s="2596"/>
      <c r="V104" s="2077">
        <f>'Exhibit G State'!V104+'Exhibit G Federal'!V75</f>
        <v>0</v>
      </c>
      <c r="W104" s="2596"/>
      <c r="X104" s="2077">
        <f>'Exhibit G State'!X104+'Exhibit G Federal'!X75</f>
        <v>0</v>
      </c>
      <c r="Y104" s="2596"/>
      <c r="Z104" s="2077"/>
      <c r="AA104" s="2077"/>
      <c r="AB104" s="2614">
        <v>0</v>
      </c>
      <c r="AC104" s="2084"/>
      <c r="AD104" s="2040">
        <f>ROUND(SUM(D104:Z104),1)</f>
        <v>0</v>
      </c>
      <c r="AE104" s="2040"/>
      <c r="AF104" s="2084"/>
      <c r="AG104" s="2077">
        <f>'Exhibit G State'!AG104+'Exhibit G Federal'!AG75</f>
        <v>0</v>
      </c>
      <c r="AH104" s="3635"/>
      <c r="AI104" s="2021"/>
      <c r="AJ104" s="2086">
        <f>ROUND(SUM(+AD104-AG104),1)</f>
        <v>0</v>
      </c>
      <c r="AK104" s="2615"/>
      <c r="AL104" s="1765">
        <f>ROUND(IF(AG104=0,0,AJ104/ABS(AG104)),3)</f>
        <v>0</v>
      </c>
    </row>
    <row r="105" spans="1:46" s="2235" customFormat="1" ht="15" customHeight="1">
      <c r="A105" s="2517"/>
      <c r="B105" s="2517"/>
      <c r="C105" s="2517"/>
      <c r="D105" s="2096"/>
      <c r="E105" s="2583"/>
      <c r="F105" s="2096"/>
      <c r="G105" s="2583"/>
      <c r="H105" s="2546"/>
      <c r="I105" s="2583"/>
      <c r="J105" s="2546"/>
      <c r="K105" s="2596"/>
      <c r="L105" s="2096"/>
      <c r="M105" s="2596"/>
      <c r="N105" s="2096"/>
      <c r="O105" s="2596"/>
      <c r="P105" s="2096"/>
      <c r="Q105" s="2596"/>
      <c r="R105" s="2096"/>
      <c r="S105" s="2596"/>
      <c r="T105" s="2096"/>
      <c r="U105" s="2596"/>
      <c r="V105" s="2096"/>
      <c r="W105" s="2596"/>
      <c r="X105" s="2096"/>
      <c r="Y105" s="2596"/>
      <c r="Z105" s="2096"/>
      <c r="AA105" s="2021"/>
      <c r="AB105" s="2040"/>
      <c r="AC105" s="2084"/>
      <c r="AD105" s="2096"/>
      <c r="AE105" s="2040"/>
      <c r="AF105" s="2084"/>
      <c r="AG105" s="2096"/>
      <c r="AH105" s="3635"/>
      <c r="AI105" s="2021"/>
      <c r="AJ105" s="2625"/>
      <c r="AL105" s="2626"/>
    </row>
    <row r="106" spans="1:46" s="2235" customFormat="1" ht="15" customHeight="1">
      <c r="A106" s="2517"/>
      <c r="B106" s="2608" t="s">
        <v>157</v>
      </c>
      <c r="C106" s="2517"/>
      <c r="D106" s="2095">
        <f>ROUND(SUM(D99:D104),1)</f>
        <v>5237.2</v>
      </c>
      <c r="E106" s="2583"/>
      <c r="F106" s="2095">
        <f>ROUND(SUM(F99:F104),1)</f>
        <v>7480.2</v>
      </c>
      <c r="G106" s="2583"/>
      <c r="H106" s="1489">
        <f>ROUND(SUM(H99:H104),1)</f>
        <v>6326</v>
      </c>
      <c r="I106" s="2583"/>
      <c r="J106" s="1489">
        <f>ROUND(SUM(J99:J104),1)</f>
        <v>5993.8</v>
      </c>
      <c r="K106" s="2596"/>
      <c r="L106" s="2095">
        <f t="shared" ref="L106:V106" si="34">ROUND(SUM(L99:L104),1)</f>
        <v>6871.1</v>
      </c>
      <c r="M106" s="2596"/>
      <c r="N106" s="2095">
        <f t="shared" ref="N106:P106" si="35">ROUND(SUM(N99:N104),1)</f>
        <v>9030.5</v>
      </c>
      <c r="O106" s="2596"/>
      <c r="P106" s="2095">
        <f t="shared" si="35"/>
        <v>7532.9</v>
      </c>
      <c r="Q106" s="2596"/>
      <c r="R106" s="2095">
        <f t="shared" ref="R106" si="36">ROUND(SUM(R99:R104),1)</f>
        <v>7038.5</v>
      </c>
      <c r="S106" s="2596"/>
      <c r="T106" s="2095">
        <f t="shared" si="34"/>
        <v>6867.7</v>
      </c>
      <c r="U106" s="2596"/>
      <c r="V106" s="2095">
        <f t="shared" si="34"/>
        <v>9365.4</v>
      </c>
      <c r="W106" s="2596"/>
      <c r="X106" s="2095">
        <f t="shared" ref="X106:Z106" si="37">ROUND(SUM(X99:X104),1)</f>
        <v>6470.6</v>
      </c>
      <c r="Y106" s="2596"/>
      <c r="Z106" s="2095">
        <f t="shared" si="37"/>
        <v>0</v>
      </c>
      <c r="AA106" s="2095"/>
      <c r="AB106" s="2627">
        <v>0</v>
      </c>
      <c r="AC106" s="2609"/>
      <c r="AD106" s="2095">
        <f>ROUND(SUM(AD99:AD104),1)</f>
        <v>78213.899999999994</v>
      </c>
      <c r="AE106" s="2095"/>
      <c r="AF106" s="2609"/>
      <c r="AG106" s="2095">
        <f>ROUND(SUM(AG99:AG104),1)</f>
        <v>76608.600000000006</v>
      </c>
      <c r="AH106" s="3638"/>
      <c r="AI106" s="1490"/>
      <c r="AJ106" s="2099">
        <f>ROUND(SUM(AJ99:AJ104),1)</f>
        <v>1605.3</v>
      </c>
      <c r="AK106" s="2489"/>
      <c r="AL106" s="2628">
        <f>ROUND(SUM(+AJ106/AG106),3)</f>
        <v>2.1000000000000001E-2</v>
      </c>
    </row>
    <row r="107" spans="1:46" ht="15" customHeight="1">
      <c r="A107" s="2089"/>
      <c r="B107" s="2089"/>
      <c r="C107" s="2089"/>
      <c r="D107" s="2050"/>
      <c r="F107" s="2050"/>
      <c r="H107" s="2546"/>
      <c r="J107" s="2546"/>
      <c r="L107" s="2050"/>
      <c r="N107" s="2050"/>
      <c r="P107" s="2050"/>
      <c r="R107" s="2050"/>
      <c r="T107" s="2096"/>
      <c r="V107" s="2050"/>
      <c r="X107" s="2050"/>
      <c r="Z107" s="2050"/>
      <c r="AA107" s="2052"/>
      <c r="AB107" s="2051"/>
      <c r="AC107" s="2082"/>
      <c r="AD107" s="2096"/>
      <c r="AE107" s="2040"/>
      <c r="AF107" s="2084"/>
      <c r="AG107" s="2096"/>
      <c r="AH107" s="3635"/>
      <c r="AI107" s="2052"/>
      <c r="AJ107" s="1471"/>
      <c r="AL107" s="1459"/>
    </row>
    <row r="108" spans="1:46" ht="15" customHeight="1">
      <c r="A108" s="2089"/>
      <c r="B108" s="2479" t="s">
        <v>158</v>
      </c>
      <c r="C108" s="2089"/>
      <c r="D108" s="2051"/>
      <c r="F108" s="2051"/>
      <c r="H108" s="1471"/>
      <c r="J108" s="1471"/>
      <c r="L108" s="2051"/>
      <c r="N108" s="2051"/>
      <c r="P108" s="2051"/>
      <c r="R108" s="2051"/>
      <c r="T108" s="2040"/>
      <c r="V108" s="2051"/>
      <c r="X108" s="2051"/>
      <c r="Z108" s="2051"/>
      <c r="AA108" s="2051"/>
      <c r="AB108" s="2051"/>
      <c r="AC108" s="2082"/>
      <c r="AD108" s="2040" t="s">
        <v>159</v>
      </c>
      <c r="AE108" s="3609"/>
      <c r="AF108" s="3610"/>
      <c r="AG108" s="2040"/>
      <c r="AH108" s="3640"/>
      <c r="AI108" s="2629"/>
      <c r="AJ108" s="1471"/>
      <c r="AL108" s="1459"/>
    </row>
    <row r="109" spans="1:46" ht="15" customHeight="1">
      <c r="A109" s="2089"/>
      <c r="B109" s="2479" t="s">
        <v>45</v>
      </c>
      <c r="C109" s="2089"/>
      <c r="D109" s="1489">
        <f>ROUND(SUM(D85-D106),1)</f>
        <v>2940.2</v>
      </c>
      <c r="F109" s="1489">
        <f>ROUND(SUM(F85-F106),1)</f>
        <v>-1014</v>
      </c>
      <c r="G109" s="1489">
        <f>ROUND(SUM(G85-G106),1)</f>
        <v>0</v>
      </c>
      <c r="H109" s="1489">
        <f>ROUND(SUM(H85-H106),1)</f>
        <v>1330.3</v>
      </c>
      <c r="J109" s="1489">
        <f>ROUND(SUM(J85-J106),1)</f>
        <v>-1081.7</v>
      </c>
      <c r="L109" s="1489">
        <f>ROUND(SUM(L85-L106),1)</f>
        <v>664.7</v>
      </c>
      <c r="N109" s="1489">
        <f>ROUND(SUM(N85-N106),1)</f>
        <v>-1204.7</v>
      </c>
      <c r="P109" s="1489">
        <f>ROUND(SUM(P85-P106),1)</f>
        <v>-319.7</v>
      </c>
      <c r="R109" s="1489">
        <f>ROUND(SUM(R85-R106),1)</f>
        <v>-348</v>
      </c>
      <c r="T109" s="2095">
        <f>ROUND(SUM(T85-T106),1)</f>
        <v>1573.9</v>
      </c>
      <c r="V109" s="1489">
        <f>ROUND(SUM(V85-V106),1)</f>
        <v>564.6</v>
      </c>
      <c r="X109" s="1489">
        <f>ROUND(SUM(X85-X106),1)</f>
        <v>593.79999999999995</v>
      </c>
      <c r="Z109" s="2095">
        <f>ROUND(SUM(Z85-Z106),1)</f>
        <v>0</v>
      </c>
      <c r="AA109" s="2095"/>
      <c r="AB109" s="2627">
        <v>0</v>
      </c>
      <c r="AC109" s="2609"/>
      <c r="AD109" s="2095">
        <f>ROUND(SUM(AD85-AD106),1)</f>
        <v>3699.4</v>
      </c>
      <c r="AE109" s="2095"/>
      <c r="AF109" s="2609"/>
      <c r="AG109" s="2095">
        <f>ROUND(SUM(AG85-AG106),1)</f>
        <v>1697.9</v>
      </c>
      <c r="AH109" s="3638"/>
      <c r="AI109" s="1490"/>
      <c r="AJ109" s="1597">
        <f>ROUND(SUM(AJ85-AJ106),1)</f>
        <v>2001.5</v>
      </c>
      <c r="AK109" s="2480"/>
      <c r="AL109" s="1901">
        <f>ROUND(SUM(+AJ109/ABS(AG109)),3)</f>
        <v>1.179</v>
      </c>
    </row>
    <row r="110" spans="1:46" ht="15" customHeight="1">
      <c r="A110" s="2089"/>
      <c r="B110" s="2089"/>
      <c r="C110" s="2089"/>
      <c r="D110" s="2050"/>
      <c r="F110" s="2050"/>
      <c r="H110" s="2546"/>
      <c r="J110" s="2546"/>
      <c r="L110" s="2050"/>
      <c r="N110" s="2050"/>
      <c r="P110" s="2050"/>
      <c r="R110" s="2050"/>
      <c r="T110" s="2096"/>
      <c r="V110" s="2050"/>
      <c r="X110" s="2050"/>
      <c r="Z110" s="2096"/>
      <c r="AA110" s="2021"/>
      <c r="AB110" s="2040"/>
      <c r="AC110" s="2084"/>
      <c r="AD110" s="2096"/>
      <c r="AE110" s="2040"/>
      <c r="AF110" s="2084"/>
      <c r="AG110" s="2096"/>
      <c r="AH110" s="3635"/>
      <c r="AI110" s="2021"/>
      <c r="AJ110" s="2045"/>
      <c r="AL110" s="1459"/>
    </row>
    <row r="111" spans="1:46" ht="15" customHeight="1">
      <c r="A111" s="2089"/>
      <c r="B111" s="2479" t="s">
        <v>46</v>
      </c>
      <c r="C111" s="2089"/>
      <c r="D111" s="2051"/>
      <c r="F111" s="2051"/>
      <c r="H111" s="1471"/>
      <c r="J111" s="1471"/>
      <c r="L111" s="2051"/>
      <c r="N111" s="2051"/>
      <c r="P111" s="2051"/>
      <c r="R111" s="2051"/>
      <c r="T111" s="2040"/>
      <c r="V111" s="2051"/>
      <c r="X111" s="2051"/>
      <c r="Z111" s="2040"/>
      <c r="AA111" s="2040"/>
      <c r="AB111" s="2040"/>
      <c r="AC111" s="2084"/>
      <c r="AD111" s="2040"/>
      <c r="AE111" s="2040"/>
      <c r="AF111" s="2084"/>
      <c r="AG111" s="2040"/>
      <c r="AH111" s="3635"/>
      <c r="AI111" s="2021"/>
      <c r="AJ111" s="2045"/>
      <c r="AL111" s="1459"/>
    </row>
    <row r="112" spans="1:46" s="2235" customFormat="1" ht="15" customHeight="1">
      <c r="A112" s="2517"/>
      <c r="B112" s="2517" t="s">
        <v>174</v>
      </c>
      <c r="C112" s="2517"/>
      <c r="D112" s="2630">
        <f>+'Exhibit G State'!D112+'Exhibit G Federal'!D83</f>
        <v>308.3</v>
      </c>
      <c r="E112" s="2077"/>
      <c r="F112" s="2630">
        <f>+'Exhibit G State'!F112+'Exhibit G Federal'!F83</f>
        <v>585.29999999999995</v>
      </c>
      <c r="G112" s="2077"/>
      <c r="H112" s="2630">
        <f>+'Exhibit G State'!H112+'Exhibit G Federal'!H83</f>
        <v>566.5</v>
      </c>
      <c r="I112" s="2596"/>
      <c r="J112" s="2630">
        <f>+'Exhibit G State'!J112+'Exhibit G Federal'!J83</f>
        <v>215.40000000000009</v>
      </c>
      <c r="K112" s="2596"/>
      <c r="L112" s="2630">
        <f>+'Exhibit G State'!L112+'Exhibit G Federal'!L83</f>
        <v>160.20000000000005</v>
      </c>
      <c r="M112" s="2596"/>
      <c r="N112" s="2630">
        <f>+'Exhibit G State'!N112+'Exhibit G Federal'!N83</f>
        <v>168.60000000000014</v>
      </c>
      <c r="O112" s="2596"/>
      <c r="P112" s="2630">
        <f>+'Exhibit G State'!P112+'Exhibit G Federal'!P83</f>
        <v>119.5</v>
      </c>
      <c r="Q112" s="2596"/>
      <c r="R112" s="2630">
        <f>+'Exhibit G State'!R112+'Exhibit G Federal'!R83</f>
        <v>185.69999999999982</v>
      </c>
      <c r="S112" s="2596"/>
      <c r="T112" s="2630">
        <f>+'Exhibit G State'!T112+'Exhibit G Federal'!T83</f>
        <v>111.89999999999986</v>
      </c>
      <c r="U112" s="2596"/>
      <c r="V112" s="2630">
        <f>+'Exhibit G State'!V112+'Exhibit G Federal'!V83</f>
        <v>84.099999999999909</v>
      </c>
      <c r="W112" s="2596"/>
      <c r="X112" s="2630">
        <f>+'Exhibit G State'!X112+'Exhibit G Federal'!X83</f>
        <v>123</v>
      </c>
      <c r="Y112" s="2596"/>
      <c r="Z112" s="2630"/>
      <c r="AA112" s="2168"/>
      <c r="AB112" s="1830">
        <v>-471.3</v>
      </c>
      <c r="AC112" s="2084"/>
      <c r="AD112" s="2040">
        <f>ROUND(SUM(D112:AB112),1)</f>
        <v>2157.1999999999998</v>
      </c>
      <c r="AE112" s="2040"/>
      <c r="AF112" s="2084"/>
      <c r="AG112" s="2077">
        <f>'Exhibit G State'!AG112+'Exhibit G Federal'!AG83-484.7</f>
        <v>1799.2</v>
      </c>
      <c r="AH112" s="3635"/>
      <c r="AI112" s="2021"/>
      <c r="AJ112" s="2086">
        <f>ROUND(SUM(+AD112-AG112),1)</f>
        <v>358</v>
      </c>
      <c r="AK112" s="2615"/>
      <c r="AL112" s="1765">
        <f>ROUND(IF(AG112=0,0,AJ112/ABS(AG112)),3)</f>
        <v>0.19900000000000001</v>
      </c>
    </row>
    <row r="113" spans="1:49" s="2235" customFormat="1" ht="15" customHeight="1">
      <c r="A113" s="2517"/>
      <c r="B113" s="2517" t="s">
        <v>175</v>
      </c>
      <c r="C113" s="2517"/>
      <c r="D113" s="2630">
        <f>+'Exhibit G State'!D113+'Exhibit G Federal'!D84</f>
        <v>-88.5</v>
      </c>
      <c r="E113" s="2077"/>
      <c r="F113" s="2630">
        <f>+'Exhibit G State'!F113+'Exhibit G Federal'!F84</f>
        <v>-304.8</v>
      </c>
      <c r="G113" s="2077"/>
      <c r="H113" s="2630">
        <f>+'Exhibit G State'!H113+'Exhibit G Federal'!H84</f>
        <v>-179.10000000000002</v>
      </c>
      <c r="I113" s="2596"/>
      <c r="J113" s="2630">
        <f>+'Exhibit G State'!J113+'Exhibit G Federal'!J84</f>
        <v>-239.69999999999987</v>
      </c>
      <c r="K113" s="2596"/>
      <c r="L113" s="2630">
        <f>+'Exhibit G State'!L113+'Exhibit G Federal'!L84</f>
        <v>-244.20000000000005</v>
      </c>
      <c r="M113" s="2596"/>
      <c r="N113" s="2630">
        <f>+'Exhibit G State'!N113+'Exhibit G Federal'!N84</f>
        <v>-183.7</v>
      </c>
      <c r="O113" s="2596"/>
      <c r="P113" s="2630">
        <f>+'Exhibit G State'!P113+'Exhibit G Federal'!P84</f>
        <v>-174.70000000000022</v>
      </c>
      <c r="Q113" s="2596"/>
      <c r="R113" s="2630">
        <f>+'Exhibit G State'!R113+'Exhibit G Federal'!R84</f>
        <v>-104.79999999999978</v>
      </c>
      <c r="S113" s="2596"/>
      <c r="T113" s="2630">
        <f>+'Exhibit G State'!T113+'Exhibit G Federal'!T84</f>
        <v>-422.5</v>
      </c>
      <c r="U113" s="2596"/>
      <c r="V113" s="2630">
        <f>+'Exhibit G State'!V113+'Exhibit G Federal'!V84</f>
        <v>-336.10000000000014</v>
      </c>
      <c r="W113" s="2596"/>
      <c r="X113" s="2630">
        <f>+'Exhibit G State'!X113+'Exhibit G Federal'!X84</f>
        <v>-306.10000000000019</v>
      </c>
      <c r="Y113" s="2596"/>
      <c r="Z113" s="2630"/>
      <c r="AA113" s="2168"/>
      <c r="AB113" s="3588">
        <v>471.3</v>
      </c>
      <c r="AC113" s="2084"/>
      <c r="AD113" s="2040">
        <f>ROUND(SUM(D113:AB113),1)</f>
        <v>-2112.9</v>
      </c>
      <c r="AE113" s="2040"/>
      <c r="AF113" s="2084"/>
      <c r="AG113" s="2077">
        <f>'Exhibit G State'!AG113+'Exhibit G Federal'!AG84+484.7</f>
        <v>-1701.8</v>
      </c>
      <c r="AH113" s="3635"/>
      <c r="AI113" s="2021"/>
      <c r="AJ113" s="2086">
        <f>ROUND(SUM(+AD113-AG113)*-1,1)</f>
        <v>411.1</v>
      </c>
      <c r="AK113" s="2615"/>
      <c r="AL113" s="1765">
        <f>ROUND(IF(AG113=0,0,AJ113/ABS(AG113)),3)</f>
        <v>0.24199999999999999</v>
      </c>
    </row>
    <row r="114" spans="1:49" ht="15" customHeight="1">
      <c r="A114" s="2089"/>
      <c r="B114" s="2089"/>
      <c r="C114" s="2089"/>
      <c r="D114" s="2050"/>
      <c r="F114" s="2050"/>
      <c r="H114" s="2050"/>
      <c r="J114" s="2050"/>
      <c r="L114" s="2050"/>
      <c r="N114" s="2050"/>
      <c r="P114" s="2050"/>
      <c r="R114" s="2050"/>
      <c r="T114" s="2096"/>
      <c r="V114" s="2050"/>
      <c r="X114" s="2050"/>
      <c r="Z114" s="2096"/>
      <c r="AA114" s="2021"/>
      <c r="AB114" s="2040"/>
      <c r="AC114" s="2084"/>
      <c r="AD114" s="2096"/>
      <c r="AE114" s="2040"/>
      <c r="AF114" s="2084"/>
      <c r="AG114" s="2096"/>
      <c r="AH114" s="3635"/>
      <c r="AI114" s="2021"/>
      <c r="AJ114" s="2625"/>
      <c r="AL114" s="1474"/>
    </row>
    <row r="115" spans="1:49" ht="15" customHeight="1">
      <c r="A115" s="2089"/>
      <c r="B115" s="2479" t="s">
        <v>1198</v>
      </c>
      <c r="C115" s="2089"/>
      <c r="D115" s="1489">
        <f>ROUND(SUM(D112:D113),1)</f>
        <v>219.8</v>
      </c>
      <c r="F115" s="1489">
        <f>ROUND(SUM(F112:F113),1)</f>
        <v>280.5</v>
      </c>
      <c r="H115" s="1489">
        <f>ROUND(SUM(H112:H113),1)</f>
        <v>387.4</v>
      </c>
      <c r="J115" s="1489">
        <f>ROUND(SUM(J112:J113),1)</f>
        <v>-24.3</v>
      </c>
      <c r="L115" s="1489">
        <f>ROUND(SUM(L112:L113),1)</f>
        <v>-84</v>
      </c>
      <c r="N115" s="1489">
        <f>ROUND(SUM(N112:N113),1)</f>
        <v>-15.1</v>
      </c>
      <c r="P115" s="1489">
        <f>ROUND(SUM(P112:P113),1)</f>
        <v>-55.2</v>
      </c>
      <c r="R115" s="1489">
        <f>ROUND(SUM(R112:R113),1)</f>
        <v>80.900000000000006</v>
      </c>
      <c r="T115" s="2095">
        <f>ROUND(SUM(T112:T113),1)</f>
        <v>-310.60000000000002</v>
      </c>
      <c r="V115" s="1489">
        <f>ROUND(SUM(V112:V113),1)</f>
        <v>-252</v>
      </c>
      <c r="X115" s="1489">
        <f>ROUND(SUM(X112:X113),1)</f>
        <v>-183.1</v>
      </c>
      <c r="Z115" s="1489">
        <f>ROUND(SUM(Z112:Z113),1)</f>
        <v>0</v>
      </c>
      <c r="AA115" s="1489"/>
      <c r="AB115" s="2618">
        <f>ROUND(SUM(AB112:AB113),1)</f>
        <v>0</v>
      </c>
      <c r="AC115" s="2085"/>
      <c r="AD115" s="2095">
        <f>ROUND(SUM(AD112:AD113),1)</f>
        <v>44.3</v>
      </c>
      <c r="AE115" s="2095"/>
      <c r="AF115" s="2609"/>
      <c r="AG115" s="2095">
        <f>ROUND(SUM(AG112:AG113),1)</f>
        <v>97.4</v>
      </c>
      <c r="AH115" s="3638"/>
      <c r="AI115" s="1472"/>
      <c r="AJ115" s="2097">
        <f>ROUND(SUM(AD115-AG115),1)</f>
        <v>-53.1</v>
      </c>
      <c r="AK115" s="2098"/>
      <c r="AL115" s="1464">
        <f>ROUND(SUM(+AJ115/AG115),3)</f>
        <v>-0.54500000000000004</v>
      </c>
    </row>
    <row r="116" spans="1:49" ht="15" customHeight="1">
      <c r="A116" s="2089"/>
      <c r="B116" s="2089"/>
      <c r="C116" s="2089"/>
      <c r="D116" s="2050"/>
      <c r="F116" s="2050"/>
      <c r="H116" s="2050"/>
      <c r="J116" s="2050"/>
      <c r="L116" s="2050"/>
      <c r="N116" s="2050"/>
      <c r="P116" s="2050"/>
      <c r="R116" s="2050"/>
      <c r="T116" s="2096"/>
      <c r="V116" s="2050"/>
      <c r="X116" s="2050"/>
      <c r="Z116" s="2050"/>
      <c r="AA116" s="2052"/>
      <c r="AB116" s="2051"/>
      <c r="AC116" s="2082"/>
      <c r="AD116" s="2096"/>
      <c r="AE116" s="2040"/>
      <c r="AF116" s="2084"/>
      <c r="AG116" s="2096"/>
      <c r="AH116" s="3635"/>
      <c r="AI116" s="2052"/>
      <c r="AJ116" s="1471"/>
      <c r="AL116" s="1459"/>
    </row>
    <row r="117" spans="1:49" ht="15" customHeight="1">
      <c r="A117" s="2089"/>
      <c r="B117" s="2479" t="s">
        <v>166</v>
      </c>
      <c r="C117" s="2089"/>
      <c r="D117" s="2051"/>
      <c r="F117" s="2051"/>
      <c r="H117" s="2051"/>
      <c r="J117" s="2051"/>
      <c r="L117" s="2051"/>
      <c r="N117" s="2051"/>
      <c r="P117" s="2051"/>
      <c r="R117" s="2051"/>
      <c r="T117" s="2040"/>
      <c r="V117" s="2051"/>
      <c r="X117" s="2051"/>
      <c r="Z117" s="2051"/>
      <c r="AA117" s="2051"/>
      <c r="AB117" s="2051"/>
      <c r="AC117" s="2082"/>
      <c r="AD117" s="2040"/>
      <c r="AE117" s="2040"/>
      <c r="AF117" s="2084"/>
      <c r="AG117" s="2040"/>
      <c r="AH117" s="3635"/>
      <c r="AI117" s="2052"/>
      <c r="AJ117" s="1471"/>
      <c r="AL117" s="1459"/>
    </row>
    <row r="118" spans="1:49" ht="15" customHeight="1">
      <c r="A118" s="2089"/>
      <c r="B118" s="2479" t="s">
        <v>167</v>
      </c>
      <c r="C118" s="2089"/>
      <c r="D118" s="2051"/>
      <c r="F118" s="2051"/>
      <c r="H118" s="2051"/>
      <c r="J118" s="2051"/>
      <c r="L118" s="2051"/>
      <c r="N118" s="2051"/>
      <c r="P118" s="2051"/>
      <c r="R118" s="2051"/>
      <c r="T118" s="2040"/>
      <c r="V118" s="2051"/>
      <c r="X118" s="2051"/>
      <c r="Z118" s="2051"/>
      <c r="AA118" s="2051"/>
      <c r="AB118" s="2051"/>
      <c r="AC118" s="2082"/>
      <c r="AD118" s="2040"/>
      <c r="AE118" s="2040"/>
      <c r="AF118" s="2084"/>
      <c r="AG118" s="2040"/>
      <c r="AH118" s="3635"/>
      <c r="AI118" s="2052"/>
      <c r="AJ118" s="1471"/>
      <c r="AL118" s="1459"/>
    </row>
    <row r="119" spans="1:49" ht="15" customHeight="1">
      <c r="A119" s="2089"/>
      <c r="B119" s="2479" t="s">
        <v>1199</v>
      </c>
      <c r="C119" s="2089"/>
      <c r="D119" s="1489">
        <f>ROUND(SUM(D109+D115),1)</f>
        <v>3160</v>
      </c>
      <c r="F119" s="1489">
        <f>ROUND(SUM(F109+F115),1)</f>
        <v>-733.5</v>
      </c>
      <c r="H119" s="1489">
        <f>ROUND(SUM(H109+H115),1)</f>
        <v>1717.7</v>
      </c>
      <c r="J119" s="1489">
        <f>ROUND(SUM(J109+J115),1)</f>
        <v>-1106</v>
      </c>
      <c r="L119" s="1489">
        <f>ROUND(SUM(L109+L115),1)</f>
        <v>580.70000000000005</v>
      </c>
      <c r="N119" s="1489">
        <f>ROUND(SUM(N109+N115),1)</f>
        <v>-1219.8</v>
      </c>
      <c r="P119" s="1489">
        <f>ROUND(SUM(P109+P115),1)</f>
        <v>-374.9</v>
      </c>
      <c r="R119" s="1489">
        <f>ROUND(SUM(R109+R115),1)</f>
        <v>-267.10000000000002</v>
      </c>
      <c r="T119" s="2095">
        <f>ROUND(SUM(T109+T115),1)</f>
        <v>1263.3</v>
      </c>
      <c r="V119" s="1489">
        <f>ROUND(SUM(V109+V115),1)</f>
        <v>312.60000000000002</v>
      </c>
      <c r="X119" s="1489">
        <f>ROUND(SUM(X109+X115),1)</f>
        <v>410.7</v>
      </c>
      <c r="Z119" s="1489">
        <f>ROUND(SUM(Z109+Z115),1)</f>
        <v>0</v>
      </c>
      <c r="AA119" s="1489"/>
      <c r="AB119" s="2618">
        <f>ROUND(SUM(AB109+AB115),1)</f>
        <v>0</v>
      </c>
      <c r="AC119" s="2085"/>
      <c r="AD119" s="2095">
        <f>ROUND(SUM(AD109+AD115),1)</f>
        <v>3743.7</v>
      </c>
      <c r="AE119" s="2095"/>
      <c r="AF119" s="2609"/>
      <c r="AG119" s="2095">
        <f>ROUND(SUM(AG109+AG115),1)</f>
        <v>1795.3</v>
      </c>
      <c r="AH119" s="3638"/>
      <c r="AI119" s="1472"/>
      <c r="AJ119" s="2097">
        <f>ROUND(SUM(AD119-AG119),1)</f>
        <v>1948.4</v>
      </c>
      <c r="AK119" s="2480"/>
      <c r="AL119" s="1901">
        <f>ROUND(SUM(AJ119/ABS(AG119)),3)</f>
        <v>1.085</v>
      </c>
    </row>
    <row r="120" spans="1:49" ht="15" customHeight="1">
      <c r="A120" s="2089"/>
      <c r="B120" s="2089"/>
      <c r="C120" s="2089"/>
      <c r="D120" s="2500"/>
      <c r="F120" s="2500"/>
      <c r="H120" s="2500"/>
      <c r="J120" s="2500"/>
      <c r="L120" s="2500"/>
      <c r="N120" s="2500"/>
      <c r="P120" s="2500"/>
      <c r="R120" s="2500"/>
      <c r="T120" s="3174"/>
      <c r="V120" s="2500"/>
      <c r="X120" s="2500"/>
      <c r="Z120" s="2500"/>
      <c r="AA120" s="2066"/>
      <c r="AC120" s="2594"/>
      <c r="AD120" s="3174"/>
      <c r="AF120" s="3607"/>
      <c r="AG120" s="3174"/>
      <c r="AH120" s="3634"/>
      <c r="AI120" s="2066"/>
      <c r="AJ120" s="1461"/>
      <c r="AL120" s="1459"/>
    </row>
    <row r="121" spans="1:49" ht="15" customHeight="1" thickBot="1">
      <c r="A121" s="2089"/>
      <c r="B121" s="2479" t="s">
        <v>1200</v>
      </c>
      <c r="C121" s="2089"/>
      <c r="D121" s="2507">
        <f>ROUND(SUM(D13+D119),1)</f>
        <v>7002.4</v>
      </c>
      <c r="F121" s="2507">
        <f>ROUND(SUM(F13+F119),1)</f>
        <v>6268.9</v>
      </c>
      <c r="H121" s="2507">
        <f>ROUND(SUM(H13+H119),1)</f>
        <v>7986.6</v>
      </c>
      <c r="J121" s="2507">
        <f>ROUND(SUM(J13+J119),1)</f>
        <v>6880.6</v>
      </c>
      <c r="L121" s="2507">
        <f>ROUND(SUM(L13+L119),1)</f>
        <v>7461.3</v>
      </c>
      <c r="N121" s="2507">
        <f>ROUND(SUM(N13+N119),1)</f>
        <v>6241.5</v>
      </c>
      <c r="P121" s="2507">
        <f>ROUND(SUM(P13+P119),1)</f>
        <v>5866.6</v>
      </c>
      <c r="R121" s="2507">
        <f>ROUND(SUM(R13+R119),1)</f>
        <v>5599.5</v>
      </c>
      <c r="T121" s="2074">
        <f>ROUND(SUM(T13+T119),1)</f>
        <v>6862.8</v>
      </c>
      <c r="V121" s="2507">
        <f>ROUND(SUM(V13+V119),1)</f>
        <v>7175.4</v>
      </c>
      <c r="X121" s="2507">
        <f>ROUND(SUM(X13+X119),1)</f>
        <v>7586.1</v>
      </c>
      <c r="Z121" s="2507">
        <f>ROUND(SUM(Z13+Z119),1)</f>
        <v>0</v>
      </c>
      <c r="AA121" s="2507"/>
      <c r="AB121" s="2631">
        <f>ROUND(SUM(AB13+AB119),1)</f>
        <v>0</v>
      </c>
      <c r="AC121" s="2591"/>
      <c r="AD121" s="2074">
        <f>ROUND(SUM(AD13+AD119),1)</f>
        <v>7586.1</v>
      </c>
      <c r="AE121" s="2074"/>
      <c r="AF121" s="3606"/>
      <c r="AG121" s="2566">
        <f>ROUND(SUM(AG13+AG119),1)</f>
        <v>6097.4</v>
      </c>
      <c r="AH121" s="3633"/>
      <c r="AI121" s="2064"/>
      <c r="AJ121" s="2570">
        <f>ROUND(SUM(AD121-AG121),1)</f>
        <v>1488.7</v>
      </c>
      <c r="AK121" s="2569"/>
      <c r="AL121" s="2571">
        <f>ROUND(SUM(+AJ121/AG121),3)</f>
        <v>0.24399999999999999</v>
      </c>
      <c r="AM121" s="2069"/>
      <c r="AN121" s="2069"/>
      <c r="AO121" s="2069"/>
      <c r="AP121" s="2069"/>
      <c r="AQ121" s="2069"/>
      <c r="AR121" s="2069"/>
      <c r="AS121" s="2069"/>
      <c r="AT121" s="2069"/>
      <c r="AU121" s="2069"/>
      <c r="AV121" s="2069"/>
      <c r="AW121" s="2069"/>
    </row>
    <row r="122" spans="1:49" ht="15" customHeight="1" thickTop="1">
      <c r="A122" s="2089"/>
      <c r="B122" s="2089"/>
      <c r="C122" s="2089"/>
      <c r="D122" s="2632"/>
      <c r="F122" s="2632"/>
      <c r="H122" s="2632"/>
      <c r="J122" s="2632"/>
      <c r="L122" s="2632"/>
      <c r="N122" s="2632"/>
      <c r="P122" s="2632"/>
      <c r="R122" s="2632"/>
      <c r="T122" s="3175"/>
      <c r="V122" s="2632"/>
      <c r="X122" s="2632"/>
      <c r="Z122" s="2632"/>
      <c r="AA122" s="2633"/>
      <c r="AB122" s="2069"/>
      <c r="AC122" s="2069"/>
      <c r="AD122" s="3175"/>
      <c r="AE122" s="2241"/>
      <c r="AF122" s="2241"/>
      <c r="AG122" s="3176"/>
      <c r="AH122" s="3176"/>
      <c r="AI122" s="2069"/>
      <c r="AJ122" s="2634"/>
      <c r="AK122" s="2069"/>
      <c r="AL122" s="1459"/>
      <c r="AM122" s="2069"/>
      <c r="AN122" s="2069"/>
      <c r="AO122" s="2069"/>
      <c r="AP122" s="2069"/>
      <c r="AQ122" s="2069"/>
      <c r="AR122" s="2069"/>
      <c r="AS122" s="2069"/>
      <c r="AT122" s="2069"/>
      <c r="AU122" s="2069"/>
      <c r="AV122" s="2069"/>
      <c r="AW122" s="2069"/>
    </row>
    <row r="123" spans="1:49" ht="15" customHeight="1">
      <c r="A123" s="2089"/>
      <c r="B123" s="2089"/>
      <c r="C123" s="2089"/>
      <c r="D123" s="2633"/>
      <c r="F123" s="2633"/>
      <c r="H123" s="2633"/>
      <c r="J123" s="2633"/>
      <c r="L123" s="2633"/>
      <c r="N123" s="2633"/>
      <c r="P123" s="2633"/>
      <c r="R123" s="2633"/>
      <c r="T123" s="3176"/>
      <c r="V123" s="2633"/>
      <c r="X123" s="2633"/>
      <c r="Z123" s="2633"/>
      <c r="AA123" s="2633"/>
      <c r="AB123" s="2633"/>
      <c r="AC123" s="2633"/>
      <c r="AD123" s="3176"/>
      <c r="AE123" s="3176"/>
      <c r="AF123" s="3176"/>
      <c r="AG123" s="3176"/>
      <c r="AH123" s="3176"/>
      <c r="AI123" s="2069"/>
      <c r="AJ123" s="2634"/>
      <c r="AK123" s="2069"/>
      <c r="AL123" s="1459"/>
      <c r="AM123" s="2069"/>
      <c r="AN123" s="2069"/>
      <c r="AO123" s="2069"/>
      <c r="AP123" s="2069"/>
      <c r="AQ123" s="2069"/>
      <c r="AR123" s="2069"/>
      <c r="AS123" s="2069"/>
      <c r="AT123" s="2069"/>
      <c r="AU123" s="2069"/>
      <c r="AV123" s="2069"/>
      <c r="AW123" s="2069"/>
    </row>
    <row r="124" spans="1:49" ht="15" customHeight="1">
      <c r="A124" s="2580"/>
      <c r="B124" s="1461" t="s">
        <v>1288</v>
      </c>
      <c r="D124" s="2069"/>
      <c r="F124" s="2069"/>
      <c r="H124" s="2069"/>
      <c r="J124" s="2069"/>
      <c r="L124" s="2069"/>
      <c r="N124" s="2069"/>
      <c r="P124" s="2069"/>
      <c r="R124" s="2069"/>
      <c r="T124" s="2241"/>
      <c r="V124" s="2069"/>
      <c r="X124" s="2069"/>
      <c r="Z124" s="2069"/>
      <c r="AA124" s="2069"/>
      <c r="AB124" s="2069"/>
      <c r="AC124" s="2069"/>
      <c r="AD124" s="2241"/>
      <c r="AE124" s="2241"/>
      <c r="AF124" s="2241"/>
      <c r="AG124" s="2241"/>
      <c r="AH124" s="2241"/>
      <c r="AI124" s="2069"/>
      <c r="AJ124" s="2634"/>
      <c r="AK124" s="2069"/>
      <c r="AL124" s="1459"/>
      <c r="AM124" s="2069"/>
      <c r="AN124" s="2069"/>
      <c r="AO124" s="2069"/>
      <c r="AP124" s="2069"/>
      <c r="AQ124" s="2069"/>
      <c r="AR124" s="2069"/>
      <c r="AS124" s="2069"/>
      <c r="AT124" s="2069"/>
      <c r="AU124" s="2069"/>
      <c r="AV124" s="2069"/>
      <c r="AW124" s="2069"/>
    </row>
    <row r="125" spans="1:49" ht="15" customHeight="1">
      <c r="D125" s="2069"/>
      <c r="F125" s="2069"/>
      <c r="H125" s="2069"/>
      <c r="J125" s="2069"/>
      <c r="L125" s="2069"/>
      <c r="N125" s="2069"/>
      <c r="P125" s="2069"/>
      <c r="R125" s="2069"/>
      <c r="T125" s="2241"/>
      <c r="V125" s="2069"/>
      <c r="X125" s="2069"/>
      <c r="Z125" s="2069"/>
      <c r="AA125" s="2069"/>
      <c r="AB125" s="2069"/>
      <c r="AC125" s="2069"/>
      <c r="AD125" s="2241"/>
      <c r="AE125" s="2241"/>
      <c r="AF125" s="2241"/>
      <c r="AG125" s="2241"/>
      <c r="AH125" s="2241"/>
      <c r="AI125" s="2069"/>
      <c r="AJ125" s="2634"/>
      <c r="AK125" s="2069"/>
      <c r="AL125" s="1459"/>
      <c r="AM125" s="2069"/>
      <c r="AN125" s="2069"/>
      <c r="AO125" s="2069"/>
      <c r="AP125" s="2069"/>
      <c r="AQ125" s="2069"/>
      <c r="AR125" s="2069"/>
      <c r="AS125" s="2069"/>
      <c r="AT125" s="2069"/>
      <c r="AU125" s="2069"/>
      <c r="AV125" s="2069"/>
      <c r="AW125" s="2069"/>
    </row>
    <row r="126" spans="1:49" ht="15" customHeight="1">
      <c r="AJ126" s="1461"/>
      <c r="AL126" s="1459"/>
    </row>
    <row r="127" spans="1:49" ht="15" customHeight="1">
      <c r="AJ127" s="1461"/>
      <c r="AL127" s="1459"/>
    </row>
    <row r="128" spans="1:49" ht="15" customHeight="1">
      <c r="AJ128" s="1461"/>
      <c r="AL128" s="1459"/>
    </row>
    <row r="129" spans="36:38" ht="15" customHeight="1">
      <c r="AJ129" s="1461"/>
      <c r="AL129" s="1459"/>
    </row>
    <row r="130" spans="36:38" ht="15" customHeight="1">
      <c r="AJ130" s="1461"/>
      <c r="AL130" s="1459"/>
    </row>
    <row r="131" spans="36:38" ht="15" customHeight="1">
      <c r="AJ131" s="1461"/>
      <c r="AL131" s="1459"/>
    </row>
    <row r="132" spans="36:38" ht="15" customHeight="1">
      <c r="AJ132" s="1461"/>
      <c r="AL132" s="1459"/>
    </row>
    <row r="133" spans="36:38" ht="15" customHeight="1">
      <c r="AJ133" s="1461"/>
      <c r="AL133" s="1459"/>
    </row>
    <row r="134" spans="36:38" ht="15" customHeight="1">
      <c r="AJ134" s="1461"/>
      <c r="AL134" s="1459"/>
    </row>
    <row r="135" spans="36:38" ht="15" customHeight="1">
      <c r="AJ135" s="1461"/>
      <c r="AL135" s="1459"/>
    </row>
    <row r="136" spans="36:38" ht="15" customHeight="1">
      <c r="AJ136" s="1461"/>
      <c r="AL136" s="1459"/>
    </row>
    <row r="137" spans="36:38" ht="15" customHeight="1">
      <c r="AJ137" s="1461"/>
      <c r="AL137" s="1459"/>
    </row>
    <row r="138" spans="36:38" ht="15" customHeight="1">
      <c r="AJ138" s="1461"/>
      <c r="AL138" s="1459"/>
    </row>
    <row r="139" spans="36:38" ht="15" customHeight="1">
      <c r="AJ139" s="1461"/>
      <c r="AL139" s="1459"/>
    </row>
    <row r="140" spans="36:38" ht="15" customHeight="1">
      <c r="AJ140" s="1461"/>
      <c r="AL140" s="1459"/>
    </row>
    <row r="141" spans="36:38" ht="15" customHeight="1">
      <c r="AJ141" s="1461"/>
      <c r="AL141" s="1459"/>
    </row>
    <row r="142" spans="36:38" ht="15" customHeight="1">
      <c r="AJ142" s="1461"/>
      <c r="AL142" s="1459"/>
    </row>
    <row r="143" spans="36:38" ht="15" customHeight="1">
      <c r="AJ143" s="1461"/>
      <c r="AL143" s="1459"/>
    </row>
    <row r="144" spans="36:38" ht="15" customHeight="1">
      <c r="AJ144" s="1461"/>
      <c r="AL144" s="1459"/>
    </row>
    <row r="145" spans="36:38" ht="15" customHeight="1">
      <c r="AJ145" s="1461"/>
      <c r="AL145" s="1459"/>
    </row>
    <row r="146" spans="36:38" ht="15" customHeight="1">
      <c r="AJ146" s="1461"/>
      <c r="AL146" s="1459"/>
    </row>
    <row r="147" spans="36:38" ht="15" customHeight="1">
      <c r="AJ147" s="1461"/>
      <c r="AL147" s="1459"/>
    </row>
    <row r="148" spans="36:38" ht="15" customHeight="1">
      <c r="AJ148" s="1461"/>
      <c r="AL148" s="1459"/>
    </row>
    <row r="149" spans="36:38" ht="15" customHeight="1">
      <c r="AJ149" s="1461"/>
      <c r="AL149" s="1459"/>
    </row>
    <row r="150" spans="36:38" ht="15" customHeight="1">
      <c r="AJ150" s="1461"/>
      <c r="AL150" s="1459"/>
    </row>
    <row r="151" spans="36:38" ht="15" customHeight="1">
      <c r="AJ151" s="1461"/>
      <c r="AL151" s="1459"/>
    </row>
    <row r="152" spans="36:38" ht="15" customHeight="1">
      <c r="AJ152" s="1461"/>
      <c r="AL152" s="1459"/>
    </row>
    <row r="153" spans="36:38" ht="15" customHeight="1">
      <c r="AJ153" s="1461"/>
      <c r="AL153" s="1459"/>
    </row>
    <row r="154" spans="36:38" ht="15" customHeight="1">
      <c r="AJ154" s="1461"/>
      <c r="AL154" s="1459"/>
    </row>
    <row r="155" spans="36:38" ht="15" customHeight="1">
      <c r="AJ155" s="1461"/>
      <c r="AL155" s="1459"/>
    </row>
    <row r="156" spans="36:38" ht="15" customHeight="1">
      <c r="AJ156" s="1461"/>
      <c r="AL156" s="1459"/>
    </row>
    <row r="157" spans="36:38" ht="15" customHeight="1">
      <c r="AJ157" s="1461"/>
      <c r="AL157" s="1459"/>
    </row>
    <row r="158" spans="36:38" ht="15" customHeight="1">
      <c r="AJ158" s="1461"/>
      <c r="AL158" s="1459"/>
    </row>
    <row r="159" spans="36:38" ht="15" customHeight="1">
      <c r="AJ159" s="1461"/>
      <c r="AL159" s="1459"/>
    </row>
    <row r="160" spans="36:38" ht="15" customHeight="1">
      <c r="AJ160" s="1461"/>
      <c r="AL160" s="1459"/>
    </row>
    <row r="161" spans="36:38" ht="15" customHeight="1">
      <c r="AJ161" s="1461"/>
      <c r="AL161" s="1459"/>
    </row>
    <row r="162" spans="36:38" ht="15" customHeight="1">
      <c r="AJ162" s="1461"/>
      <c r="AL162" s="1459"/>
    </row>
    <row r="163" spans="36:38" ht="15" customHeight="1">
      <c r="AJ163" s="1461"/>
      <c r="AL163" s="1459"/>
    </row>
    <row r="164" spans="36:38" ht="15" customHeight="1">
      <c r="AJ164" s="1461"/>
      <c r="AL164" s="1459"/>
    </row>
    <row r="165" spans="36:38" ht="15" customHeight="1">
      <c r="AJ165" s="1461"/>
      <c r="AL165" s="1459"/>
    </row>
    <row r="166" spans="36:38" ht="15" customHeight="1">
      <c r="AJ166" s="1461"/>
      <c r="AL166" s="1459"/>
    </row>
    <row r="167" spans="36:38" ht="15" customHeight="1">
      <c r="AJ167" s="1461"/>
      <c r="AL167" s="1459"/>
    </row>
    <row r="168" spans="36:38" ht="15" customHeight="1"/>
    <row r="169" spans="36:38" ht="15" customHeight="1"/>
    <row r="170" spans="36:38" ht="15" customHeight="1"/>
    <row r="171" spans="36:38" ht="15" customHeight="1"/>
    <row r="172" spans="36:38" ht="15" customHeight="1"/>
    <row r="173" spans="36:38" ht="15" customHeight="1"/>
  </sheetData>
  <mergeCells count="1">
    <mergeCell ref="AC9:AL9"/>
  </mergeCells>
  <pageMargins left="0.25" right="0.25" top="0.5" bottom="0.25" header="0" footer="0.25"/>
  <pageSetup scale="37" firstPageNumber="23" orientation="landscape" useFirstPageNumber="1" r:id="rId1"/>
  <headerFooter scaleWithDoc="0" alignWithMargins="0">
    <oddFooter>&amp;C&amp;8&amp;P</oddFooter>
  </headerFooter>
  <rowBreaks count="1" manualBreakCount="1">
    <brk id="86" min="1" max="37" man="1"/>
  </rowBreaks>
  <ignoredErrors>
    <ignoredError sqref="AL107:AL108 AL116:AL118 AL120 AL122 AL50:AL51 AL24:AL25 AL77:AL84 AL86:AL89 AL100:AL103 AL110:AL112 AL19:AL22 AL105 AL64:AL68 AL28:AL33 AL114 AL53:AL61 AL91:AL96 AL35:AL36 AL37:AL48" unlockedFormula="1"/>
    <ignoredError sqref="AL74:AL76 AL72" formula="1" unlockedFormula="1"/>
    <ignoredError sqref="AJ23:AL23 AL26 AL52 AL70 AL90 AJ71:AL71 AJ73:AL73 AJ72:AK72 AD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workbookViewId="0"/>
  </sheetViews>
  <sheetFormatPr defaultColWidth="8.88671875" defaultRowHeight="11.25"/>
  <cols>
    <col min="1" max="1" width="35.109375" style="2286" customWidth="1"/>
    <col min="2" max="2" width="9.109375" style="2286" customWidth="1"/>
    <col min="3" max="3" width="5.5546875" style="2286" customWidth="1"/>
    <col min="4" max="4" width="12.88671875" style="2287" bestFit="1" customWidth="1"/>
    <col min="5" max="5" width="1.88671875" style="2286" customWidth="1"/>
    <col min="6" max="6" width="13.44140625" style="2286" customWidth="1"/>
    <col min="7" max="7" width="2.109375" style="2286" customWidth="1"/>
    <col min="8" max="8" width="12.88671875" style="2287" bestFit="1" customWidth="1"/>
    <col min="9" max="9" width="1.88671875" style="2286" customWidth="1"/>
    <col min="10" max="10" width="13.88671875" style="2286" customWidth="1"/>
    <col min="11" max="11" width="1.88671875" style="2286" customWidth="1"/>
    <col min="12" max="12" width="11.88671875" style="2287" customWidth="1"/>
    <col min="13" max="13" width="2" style="2286" customWidth="1"/>
    <col min="14" max="14" width="13.88671875" style="2286" customWidth="1"/>
    <col min="15" max="15" width="1.88671875" style="2286" customWidth="1"/>
    <col min="16" max="16" width="13" style="2286" customWidth="1"/>
    <col min="17" max="17" width="1.88671875" style="2286" customWidth="1"/>
    <col min="18" max="18" width="13.109375" style="2286" customWidth="1"/>
    <col min="19" max="21" width="1.109375" style="2286" customWidth="1"/>
    <col min="22" max="22" width="12.88671875" style="2287" bestFit="1" customWidth="1"/>
    <col min="23" max="23" width="1.88671875" style="2286" customWidth="1"/>
    <col min="24" max="24" width="13.88671875" style="2286" customWidth="1"/>
    <col min="25" max="27" width="1.109375" style="2286" customWidth="1"/>
    <col min="28" max="28" width="12.109375" style="3578" customWidth="1"/>
    <col min="29" max="29" width="1.88671875" style="2288" customWidth="1"/>
    <col min="30" max="30" width="13.88671875" style="2288" customWidth="1"/>
    <col min="31" max="31" width="1" style="2288" customWidth="1"/>
    <col min="32" max="32" width="1" style="2286" customWidth="1"/>
    <col min="33" max="33" width="13.109375" style="2286" bestFit="1" customWidth="1"/>
    <col min="34" max="34" width="1.88671875" style="2286" customWidth="1"/>
    <col min="35" max="35" width="12.88671875" style="2289" customWidth="1"/>
    <col min="36" max="36" width="19.109375" style="2286" customWidth="1"/>
    <col min="37" max="16384" width="8.88671875" style="2286"/>
  </cols>
  <sheetData>
    <row r="1" spans="1:38" ht="15">
      <c r="A1" s="2285" t="s">
        <v>979</v>
      </c>
    </row>
    <row r="2" spans="1:38" ht="15">
      <c r="A2" s="2285"/>
    </row>
    <row r="3" spans="1:38" ht="20.25">
      <c r="A3" s="2290" t="s">
        <v>0</v>
      </c>
      <c r="B3" s="2291"/>
      <c r="C3" s="2291"/>
      <c r="D3" s="2291"/>
      <c r="E3" s="2291"/>
      <c r="F3" s="2291"/>
      <c r="G3" s="2291"/>
      <c r="H3" s="2291"/>
      <c r="I3" s="2291"/>
      <c r="J3" s="2291"/>
      <c r="K3" s="2291"/>
      <c r="L3" s="2291"/>
      <c r="M3" s="2291"/>
      <c r="N3" s="2291"/>
      <c r="O3" s="2291"/>
      <c r="P3" s="2291"/>
      <c r="Q3" s="2291"/>
      <c r="R3" s="2291"/>
      <c r="S3" s="2291"/>
      <c r="T3" s="2291"/>
      <c r="U3" s="2291"/>
      <c r="V3" s="2291"/>
      <c r="W3" s="2291"/>
      <c r="X3" s="2291"/>
      <c r="Y3" s="2291"/>
      <c r="Z3" s="2291"/>
      <c r="AA3" s="2291"/>
      <c r="AB3" s="3535"/>
      <c r="AC3" s="3535"/>
      <c r="AD3" s="3535"/>
      <c r="AE3" s="2291"/>
      <c r="AF3" s="2291"/>
      <c r="AG3" s="2291"/>
      <c r="AH3" s="2291"/>
      <c r="AI3" s="2292" t="s">
        <v>2</v>
      </c>
      <c r="AJ3" s="2293"/>
    </row>
    <row r="4" spans="1:38" ht="20.25" customHeight="1">
      <c r="A4" s="3900" t="s">
        <v>1</v>
      </c>
      <c r="B4" s="3901"/>
      <c r="C4" s="3901"/>
      <c r="D4" s="3901"/>
      <c r="E4" s="3901"/>
      <c r="F4" s="3901"/>
      <c r="G4" s="3901"/>
      <c r="H4" s="3901"/>
      <c r="I4" s="3901"/>
      <c r="J4" s="3901"/>
      <c r="K4" s="3901"/>
      <c r="L4" s="3901"/>
      <c r="M4" s="3901"/>
      <c r="N4" s="3901"/>
      <c r="O4" s="3901"/>
      <c r="P4" s="3901"/>
      <c r="Q4" s="3901"/>
      <c r="R4" s="3901"/>
      <c r="S4" s="3901"/>
      <c r="T4" s="3901"/>
      <c r="U4" s="3901"/>
      <c r="V4" s="3901"/>
      <c r="W4" s="3901"/>
      <c r="X4" s="3901"/>
      <c r="Y4" s="3901"/>
      <c r="Z4" s="3901"/>
      <c r="AA4" s="3901"/>
      <c r="AB4" s="3901"/>
      <c r="AC4" s="3901"/>
      <c r="AD4" s="3901"/>
      <c r="AE4" s="3901"/>
      <c r="AF4" s="3901"/>
      <c r="AG4" s="3901"/>
      <c r="AH4" s="3901"/>
      <c r="AI4" s="3901"/>
      <c r="AJ4" s="2293"/>
    </row>
    <row r="5" spans="1:38" ht="20.25">
      <c r="A5" s="3900" t="s">
        <v>884</v>
      </c>
      <c r="B5" s="3902"/>
      <c r="C5" s="3902"/>
      <c r="D5" s="3902"/>
      <c r="E5" s="3902"/>
      <c r="F5" s="3902"/>
      <c r="G5" s="3902"/>
      <c r="H5" s="3902"/>
      <c r="I5" s="3902"/>
      <c r="J5" s="3902"/>
      <c r="K5" s="3902"/>
      <c r="L5" s="3902"/>
      <c r="M5" s="3902"/>
      <c r="N5" s="3902"/>
      <c r="O5" s="3902"/>
      <c r="P5" s="3902"/>
      <c r="Q5" s="3902"/>
      <c r="R5" s="3902"/>
      <c r="S5" s="3902"/>
      <c r="T5" s="3902"/>
      <c r="U5" s="3902"/>
      <c r="V5" s="3902"/>
      <c r="W5" s="3902"/>
      <c r="X5" s="3902"/>
      <c r="Y5" s="3902"/>
      <c r="Z5" s="3902"/>
      <c r="AA5" s="3902"/>
      <c r="AB5" s="3902"/>
      <c r="AC5" s="3902"/>
      <c r="AD5" s="3902"/>
      <c r="AE5" s="3901"/>
      <c r="AF5" s="3901"/>
      <c r="AG5" s="3901"/>
      <c r="AH5" s="3901"/>
      <c r="AI5" s="3901"/>
      <c r="AJ5" s="2293"/>
    </row>
    <row r="6" spans="1:38" ht="21" customHeight="1">
      <c r="A6" s="3900" t="s">
        <v>1416</v>
      </c>
      <c r="B6" s="3901"/>
      <c r="C6" s="3901"/>
      <c r="D6" s="3901"/>
      <c r="E6" s="3901"/>
      <c r="F6" s="3901"/>
      <c r="G6" s="3901"/>
      <c r="H6" s="3901"/>
      <c r="I6" s="3901"/>
      <c r="J6" s="3901"/>
      <c r="K6" s="3901"/>
      <c r="L6" s="3901"/>
      <c r="M6" s="3901"/>
      <c r="N6" s="3901"/>
      <c r="O6" s="3901"/>
      <c r="P6" s="3901"/>
      <c r="Q6" s="3901"/>
      <c r="R6" s="3901"/>
      <c r="S6" s="3901"/>
      <c r="T6" s="3901"/>
      <c r="U6" s="3901"/>
      <c r="V6" s="3901"/>
      <c r="W6" s="3901"/>
      <c r="X6" s="3901"/>
      <c r="Y6" s="3901"/>
      <c r="Z6" s="3901"/>
      <c r="AA6" s="3901"/>
      <c r="AB6" s="3901"/>
      <c r="AC6" s="3901"/>
      <c r="AD6" s="3901"/>
      <c r="AE6" s="3901"/>
      <c r="AF6" s="3901"/>
      <c r="AG6" s="3901"/>
      <c r="AH6" s="3901"/>
      <c r="AI6" s="3901"/>
      <c r="AJ6" s="2293"/>
    </row>
    <row r="7" spans="1:38" ht="15.75">
      <c r="A7" s="1"/>
      <c r="B7" s="1"/>
      <c r="C7" s="1"/>
      <c r="D7" s="2294"/>
      <c r="E7" s="1"/>
      <c r="F7" s="1"/>
      <c r="G7" s="1"/>
      <c r="H7" s="2295"/>
      <c r="I7" s="2"/>
      <c r="J7" s="2"/>
      <c r="K7" s="2"/>
      <c r="L7" s="2295"/>
      <c r="M7" s="1"/>
      <c r="N7" s="2"/>
      <c r="O7" s="2"/>
      <c r="P7" s="2"/>
      <c r="Q7" s="2"/>
      <c r="R7" s="2"/>
      <c r="S7" s="1"/>
      <c r="T7" s="1"/>
      <c r="U7" s="1"/>
      <c r="V7" s="2294"/>
      <c r="W7" s="1"/>
      <c r="X7" s="1"/>
      <c r="Y7" s="1"/>
      <c r="Z7" s="1"/>
      <c r="AA7" s="1"/>
      <c r="AB7" s="3579"/>
      <c r="AC7" s="2301"/>
      <c r="AD7" s="2296"/>
      <c r="AE7" s="2296"/>
      <c r="AF7" s="2297"/>
      <c r="AG7" s="2297"/>
      <c r="AJ7" s="2293"/>
      <c r="AK7" s="2293"/>
      <c r="AL7" s="2293"/>
    </row>
    <row r="8" spans="1:38" ht="16.350000000000001" customHeight="1">
      <c r="A8" s="2"/>
      <c r="B8" s="1"/>
      <c r="C8" s="1"/>
      <c r="D8" s="2295"/>
      <c r="E8" s="1"/>
      <c r="F8" s="1"/>
      <c r="G8" s="1"/>
      <c r="H8" s="2295"/>
      <c r="I8" s="2"/>
      <c r="J8" s="2"/>
      <c r="K8" s="2"/>
      <c r="L8" s="2295"/>
      <c r="M8" s="1"/>
      <c r="N8" s="2"/>
      <c r="O8" s="2"/>
      <c r="P8" s="2"/>
      <c r="Q8" s="2"/>
      <c r="R8" s="2"/>
      <c r="S8" s="1"/>
      <c r="T8" s="1"/>
      <c r="U8" s="1"/>
      <c r="V8" s="2294"/>
      <c r="W8" s="1"/>
      <c r="X8" s="1"/>
      <c r="Y8" s="1"/>
      <c r="Z8" s="1"/>
      <c r="AA8" s="1"/>
      <c r="AB8" s="3579"/>
      <c r="AC8" s="2301"/>
      <c r="AD8" s="2298"/>
      <c r="AE8" s="2298"/>
      <c r="AF8" s="2299"/>
      <c r="AG8" s="2299"/>
      <c r="AI8" s="2293"/>
      <c r="AJ8" s="2293"/>
      <c r="AK8" s="2293"/>
      <c r="AL8" s="2293"/>
    </row>
    <row r="9" spans="1:38" ht="16.350000000000001" customHeight="1">
      <c r="A9" s="1"/>
      <c r="B9" s="1"/>
      <c r="C9" s="1"/>
      <c r="D9" s="1"/>
      <c r="E9" s="1"/>
      <c r="F9" s="1"/>
      <c r="G9" s="1"/>
      <c r="H9" s="2"/>
      <c r="I9" s="2"/>
      <c r="J9" s="2"/>
      <c r="K9" s="2"/>
      <c r="L9" s="2"/>
      <c r="M9" s="1"/>
      <c r="N9" s="2"/>
      <c r="O9" s="2"/>
      <c r="P9" s="2"/>
      <c r="Q9" s="2"/>
      <c r="R9" s="2"/>
      <c r="S9" s="1"/>
      <c r="T9" s="1"/>
      <c r="U9" s="2300"/>
      <c r="V9" s="1"/>
      <c r="W9" s="1"/>
      <c r="X9" s="1"/>
      <c r="Y9" s="1"/>
      <c r="Z9" s="1"/>
      <c r="AA9" s="1"/>
      <c r="AB9" s="2301"/>
      <c r="AC9" s="2301"/>
      <c r="AD9" s="2302"/>
      <c r="AE9" s="2302"/>
      <c r="AF9" s="2303"/>
      <c r="AG9" s="2303"/>
      <c r="AI9" s="2285"/>
      <c r="AJ9" s="2293"/>
      <c r="AK9" s="2293"/>
      <c r="AL9" s="2293"/>
    </row>
    <row r="10" spans="1:38" ht="16.350000000000001" customHeight="1">
      <c r="A10" s="2304"/>
      <c r="B10" s="2304"/>
      <c r="C10" s="2304"/>
      <c r="D10" s="3" t="s">
        <v>3</v>
      </c>
      <c r="E10" s="3"/>
      <c r="F10" s="3"/>
      <c r="G10" s="2303"/>
      <c r="H10" s="3" t="s">
        <v>4</v>
      </c>
      <c r="I10" s="3"/>
      <c r="J10" s="3"/>
      <c r="K10" s="2303"/>
      <c r="L10" s="3" t="s">
        <v>5</v>
      </c>
      <c r="M10" s="3"/>
      <c r="N10" s="3"/>
      <c r="O10" s="2303"/>
      <c r="P10" s="3" t="s">
        <v>6</v>
      </c>
      <c r="Q10" s="3"/>
      <c r="R10" s="3"/>
      <c r="S10" s="2303"/>
      <c r="T10" s="2305"/>
      <c r="U10" s="2305"/>
      <c r="V10" s="3903" t="s">
        <v>1187</v>
      </c>
      <c r="W10" s="3904"/>
      <c r="X10" s="3904"/>
      <c r="Y10" s="3904"/>
      <c r="Z10" s="3904"/>
      <c r="AA10" s="3904"/>
      <c r="AB10" s="3904"/>
      <c r="AC10" s="3904"/>
      <c r="AD10" s="3904"/>
      <c r="AE10" s="3904"/>
      <c r="AF10" s="3904"/>
      <c r="AG10" s="3904"/>
      <c r="AH10" s="3904"/>
      <c r="AI10" s="3904"/>
      <c r="AJ10" s="1456"/>
      <c r="AK10" s="2293"/>
      <c r="AL10" s="2293"/>
    </row>
    <row r="11" spans="1:38" ht="16.350000000000001" customHeight="1">
      <c r="A11" s="2304"/>
      <c r="B11" s="2304"/>
      <c r="C11" s="2304"/>
      <c r="D11" s="5" t="s">
        <v>7</v>
      </c>
      <c r="E11" s="5"/>
      <c r="F11" s="4" t="s">
        <v>1585</v>
      </c>
      <c r="G11" s="2299"/>
      <c r="H11" s="5" t="s">
        <v>7</v>
      </c>
      <c r="I11" s="5"/>
      <c r="J11" s="5" t="str">
        <f>F11</f>
        <v>11 MOS. ENDED</v>
      </c>
      <c r="K11" s="2299"/>
      <c r="L11" s="5" t="s">
        <v>7</v>
      </c>
      <c r="M11" s="5"/>
      <c r="N11" s="5" t="str">
        <f>F11</f>
        <v>11 MOS. ENDED</v>
      </c>
      <c r="O11" s="2299"/>
      <c r="P11" s="5" t="s">
        <v>7</v>
      </c>
      <c r="Q11" s="5"/>
      <c r="R11" s="5" t="str">
        <f>J11</f>
        <v>11 MOS. ENDED</v>
      </c>
      <c r="S11" s="2299"/>
      <c r="T11" s="2299"/>
      <c r="U11" s="2306"/>
      <c r="V11" s="5" t="s">
        <v>7</v>
      </c>
      <c r="W11" s="5"/>
      <c r="X11" s="5" t="str">
        <f>F11</f>
        <v>11 MOS. ENDED</v>
      </c>
      <c r="Y11" s="5"/>
      <c r="Z11" s="5"/>
      <c r="AA11" s="5"/>
      <c r="AB11" s="3589" t="s">
        <v>7</v>
      </c>
      <c r="AC11" s="3589"/>
      <c r="AD11" s="3629" t="str">
        <f>F11</f>
        <v>11 MOS. ENDED</v>
      </c>
      <c r="AE11" s="2307"/>
      <c r="AF11" s="5"/>
      <c r="AG11" s="5" t="s">
        <v>8</v>
      </c>
      <c r="AH11" s="2308"/>
      <c r="AI11" s="5" t="s">
        <v>9</v>
      </c>
      <c r="AJ11" s="2293"/>
      <c r="AK11" s="2293"/>
      <c r="AL11" s="2293"/>
    </row>
    <row r="12" spans="1:38" ht="16.350000000000001" customHeight="1">
      <c r="A12" s="2304"/>
      <c r="B12" s="2304"/>
      <c r="C12" s="2304"/>
      <c r="D12" s="915" t="s">
        <v>1584</v>
      </c>
      <c r="E12" s="2299"/>
      <c r="F12" s="915" t="s">
        <v>1597</v>
      </c>
      <c r="G12" s="2299"/>
      <c r="H12" s="6" t="str">
        <f>D12</f>
        <v>FEB. 2020</v>
      </c>
      <c r="I12" s="2299"/>
      <c r="J12" s="6" t="str">
        <f>F12</f>
        <v>FEB. 29, 2020</v>
      </c>
      <c r="K12" s="2299"/>
      <c r="L12" s="6" t="str">
        <f>D12</f>
        <v>FEB. 2020</v>
      </c>
      <c r="M12" s="2299"/>
      <c r="N12" s="6" t="str">
        <f>F12</f>
        <v>FEB. 29, 2020</v>
      </c>
      <c r="O12" s="2299"/>
      <c r="P12" s="6" t="str">
        <f>D12</f>
        <v>FEB. 2020</v>
      </c>
      <c r="Q12" s="2299"/>
      <c r="R12" s="6" t="str">
        <f>J12</f>
        <v>FEB. 29, 2020</v>
      </c>
      <c r="S12" s="2299"/>
      <c r="T12" s="2299"/>
      <c r="U12" s="2309"/>
      <c r="V12" s="6" t="str">
        <f>D12</f>
        <v>FEB. 2020</v>
      </c>
      <c r="W12" s="2299"/>
      <c r="X12" s="6" t="str">
        <f>F12</f>
        <v>FEB. 29, 2020</v>
      </c>
      <c r="Y12" s="2299"/>
      <c r="Z12" s="2299"/>
      <c r="AA12" s="2299"/>
      <c r="AB12" s="3576" t="s">
        <v>1586</v>
      </c>
      <c r="AC12" s="2411"/>
      <c r="AD12" s="3576" t="s">
        <v>1587</v>
      </c>
      <c r="AE12" s="4"/>
      <c r="AF12" s="4"/>
      <c r="AG12" s="6" t="s">
        <v>12</v>
      </c>
      <c r="AH12" s="2285"/>
      <c r="AI12" s="915" t="s">
        <v>13</v>
      </c>
      <c r="AJ12" s="1456"/>
      <c r="AK12" s="2293"/>
      <c r="AL12" s="2293"/>
    </row>
    <row r="13" spans="1:38" ht="16.350000000000001" customHeight="1">
      <c r="A13" s="2303" t="s">
        <v>14</v>
      </c>
      <c r="B13" s="2304"/>
      <c r="C13" s="2304"/>
      <c r="D13" s="2310" t="s">
        <v>15</v>
      </c>
      <c r="E13" s="2304"/>
      <c r="F13" s="7"/>
      <c r="G13" s="2304"/>
      <c r="H13" s="2310" t="s">
        <v>15</v>
      </c>
      <c r="I13" s="2304"/>
      <c r="J13" s="7"/>
      <c r="K13" s="2304"/>
      <c r="L13" s="2310" t="s">
        <v>15</v>
      </c>
      <c r="M13" s="2304"/>
      <c r="N13" s="7"/>
      <c r="O13" s="2304"/>
      <c r="P13" s="623" t="s">
        <v>15</v>
      </c>
      <c r="Q13" s="2311"/>
      <c r="R13" s="623"/>
      <c r="S13" s="2312"/>
      <c r="T13" s="2312"/>
      <c r="U13" s="7"/>
      <c r="V13" s="2310"/>
      <c r="W13" s="2304"/>
      <c r="X13" s="7"/>
      <c r="Y13" s="2312"/>
      <c r="Z13" s="2313"/>
      <c r="AA13" s="7"/>
      <c r="AB13" s="3580"/>
      <c r="AC13" s="2353"/>
      <c r="AD13" s="2314"/>
      <c r="AE13" s="2314"/>
      <c r="AF13" s="2315"/>
      <c r="AG13" s="7"/>
      <c r="AI13" s="1456"/>
      <c r="AJ13" s="1456"/>
      <c r="AK13" s="2293"/>
      <c r="AL13" s="2293"/>
    </row>
    <row r="14" spans="1:38" ht="18" customHeight="1">
      <c r="A14" s="2304" t="s">
        <v>16</v>
      </c>
      <c r="B14" s="2316">
        <v>-7</v>
      </c>
      <c r="C14" s="2304"/>
      <c r="D14" s="1388">
        <f>+'Exhibit F'!X26</f>
        <v>1848.4</v>
      </c>
      <c r="E14" s="2317" t="s">
        <v>15</v>
      </c>
      <c r="F14" s="665">
        <f>+'Exhibit F'!AC26</f>
        <v>22807.5</v>
      </c>
      <c r="G14" s="2317"/>
      <c r="H14" s="1388">
        <f>'Exhibit G'!X17</f>
        <v>0</v>
      </c>
      <c r="I14" s="2318"/>
      <c r="J14" s="665">
        <f>'Exhibit G'!AD17</f>
        <v>2149.1</v>
      </c>
      <c r="K14" s="2317"/>
      <c r="L14" s="1449">
        <f>+'Exhibit H'!V16</f>
        <v>1848.3999999999987</v>
      </c>
      <c r="M14" s="665"/>
      <c r="N14" s="665">
        <f>+'Exhibit H'!AA16</f>
        <v>24956.6</v>
      </c>
      <c r="O14" s="665"/>
      <c r="P14" s="682">
        <v>0</v>
      </c>
      <c r="Q14" s="1388"/>
      <c r="R14" s="682">
        <v>0</v>
      </c>
      <c r="S14" s="2319"/>
      <c r="T14" s="2319"/>
      <c r="U14" s="2320"/>
      <c r="V14" s="1388">
        <f t="shared" ref="V14:V19" si="0">ROUND(SUM(D14)+SUM(H14)+SUM(L14)+SUM(P14),1)</f>
        <v>3696.8</v>
      </c>
      <c r="W14" s="665" t="s">
        <v>15</v>
      </c>
      <c r="X14" s="665">
        <f>ROUND(SUM(F14)+SUM(J14)+SUM(N14)+SUM(R14),1)</f>
        <v>49913.2</v>
      </c>
      <c r="Y14" s="2321"/>
      <c r="Z14" s="2322"/>
      <c r="AA14" s="2323"/>
      <c r="AB14" s="3581">
        <v>3385.8</v>
      </c>
      <c r="AC14" s="3536"/>
      <c r="AD14" s="1848">
        <f>'Exhibit F'!AF26+'Exhibit G'!AG17+'Exhibit H'!AD16</f>
        <v>44528.3</v>
      </c>
      <c r="AE14" s="1848"/>
      <c r="AF14" s="2324"/>
      <c r="AG14" s="2317">
        <f t="shared" ref="AG14:AG19" si="1">ROUND(SUM(X14-AD14),1)</f>
        <v>5384.9</v>
      </c>
      <c r="AH14" s="2325"/>
      <c r="AI14" s="1453">
        <f t="shared" ref="AI14:AI19" si="2">ROUND(SUM((+X14-AD14)/ABS(AD14)),3)</f>
        <v>0.121</v>
      </c>
      <c r="AJ14" s="2326"/>
      <c r="AK14" s="2293"/>
      <c r="AL14" s="2293"/>
    </row>
    <row r="15" spans="1:38" ht="18" customHeight="1">
      <c r="A15" s="2304" t="s">
        <v>17</v>
      </c>
      <c r="B15" s="2316">
        <v>-4</v>
      </c>
      <c r="C15" s="2304"/>
      <c r="D15" s="625">
        <f>+'Exhibit F'!X37</f>
        <v>557.70000000000005</v>
      </c>
      <c r="E15" s="9"/>
      <c r="F15" s="9">
        <f>+'Exhibit F'!AC37</f>
        <v>7379.7</v>
      </c>
      <c r="G15" s="9"/>
      <c r="H15" s="625">
        <f>'Exhibit G'!X29</f>
        <v>127.6</v>
      </c>
      <c r="I15" s="9"/>
      <c r="J15" s="9">
        <f>+'Exhibit G'!AD29</f>
        <v>1788.2</v>
      </c>
      <c r="K15" s="9"/>
      <c r="L15" s="1448">
        <f>'Exhibit H'!V20</f>
        <v>522.20000000000005</v>
      </c>
      <c r="M15" s="9"/>
      <c r="N15" s="9">
        <f>+'Exhibit H'!AA20</f>
        <v>6816</v>
      </c>
      <c r="O15" s="9"/>
      <c r="P15" s="1448">
        <f>'Exhibit I'!Y23</f>
        <v>37.1</v>
      </c>
      <c r="Q15" s="625"/>
      <c r="R15" s="1448">
        <f>+'Exhibit I'!AF23</f>
        <v>574.9</v>
      </c>
      <c r="S15" s="2328"/>
      <c r="T15" s="2328"/>
      <c r="U15" s="14"/>
      <c r="V15" s="625">
        <f>ROUND(SUM(D15)+SUM(H15)+SUM(L15)+SUM(P15),1)</f>
        <v>1244.5999999999999</v>
      </c>
      <c r="W15" s="9" t="s">
        <v>15</v>
      </c>
      <c r="X15" s="9">
        <f t="shared" ref="X15:X19" si="3">ROUND(SUM(F15)+SUM(J15)+SUM(N15)+SUM(R15),1)</f>
        <v>16558.8</v>
      </c>
      <c r="Y15" s="2328"/>
      <c r="Z15" s="2329"/>
      <c r="AA15" s="14"/>
      <c r="AB15" s="2086">
        <v>1172.3</v>
      </c>
      <c r="AC15" s="22"/>
      <c r="AD15" s="2314">
        <f>'Exhibit F'!AF37+'Exhibit G'!AG29+'Exhibit H'!AD20+'Exhibit I'!AI23</f>
        <v>15856.300000000001</v>
      </c>
      <c r="AE15" s="1452"/>
      <c r="AF15" s="2330"/>
      <c r="AG15" s="9">
        <f t="shared" si="1"/>
        <v>702.5</v>
      </c>
      <c r="AI15" s="1453">
        <f t="shared" si="2"/>
        <v>4.3999999999999997E-2</v>
      </c>
      <c r="AJ15" s="7"/>
      <c r="AK15" s="2293"/>
      <c r="AL15" s="2293"/>
    </row>
    <row r="16" spans="1:38" ht="18" customHeight="1">
      <c r="A16" s="2304" t="s">
        <v>18</v>
      </c>
      <c r="B16" s="2331"/>
      <c r="C16" s="2304"/>
      <c r="D16" s="625">
        <f>+'Exhibit F'!X44</f>
        <v>-101.6</v>
      </c>
      <c r="E16" s="9"/>
      <c r="F16" s="9">
        <f>+'Exhibit F'!AC44</f>
        <v>4432.3</v>
      </c>
      <c r="G16" s="9"/>
      <c r="H16" s="625">
        <f>'Exhibit G'!X36</f>
        <v>92.4</v>
      </c>
      <c r="I16" s="9"/>
      <c r="J16" s="9">
        <f>'Exhibit G'!AD36</f>
        <v>1584</v>
      </c>
      <c r="K16" s="9"/>
      <c r="L16" s="628">
        <v>0</v>
      </c>
      <c r="M16" s="9"/>
      <c r="N16" s="10">
        <v>0</v>
      </c>
      <c r="O16" s="9"/>
      <c r="P16" s="1448">
        <f>'Exhibit I'!Y28</f>
        <v>45</v>
      </c>
      <c r="Q16" s="625"/>
      <c r="R16" s="1448">
        <f>'Exhibit I'!AF28</f>
        <v>614.70000000000005</v>
      </c>
      <c r="S16" s="2328"/>
      <c r="T16" s="2328"/>
      <c r="U16" s="14"/>
      <c r="V16" s="625">
        <f t="shared" si="0"/>
        <v>35.799999999999997</v>
      </c>
      <c r="W16" s="9" t="s">
        <v>15</v>
      </c>
      <c r="X16" s="9">
        <f t="shared" si="3"/>
        <v>6631</v>
      </c>
      <c r="Y16" s="2328"/>
      <c r="Z16" s="2329"/>
      <c r="AA16" s="14"/>
      <c r="AB16" s="2086">
        <v>-8.6999999999999993</v>
      </c>
      <c r="AC16" s="22"/>
      <c r="AD16" s="2314">
        <f>'Exhibit F'!AF44+'Exhibit G'!AG36+'Exhibit I'!AI28</f>
        <v>5835.5</v>
      </c>
      <c r="AE16" s="1452"/>
      <c r="AF16" s="2330"/>
      <c r="AG16" s="9">
        <f t="shared" si="1"/>
        <v>795.5</v>
      </c>
      <c r="AI16" s="1453">
        <f t="shared" si="2"/>
        <v>0.13600000000000001</v>
      </c>
      <c r="AJ16" s="7"/>
      <c r="AK16" s="2293"/>
      <c r="AL16" s="2293"/>
    </row>
    <row r="17" spans="1:38" ht="18" customHeight="1">
      <c r="A17" s="2304" t="s">
        <v>19</v>
      </c>
      <c r="B17" s="2316">
        <v>-3</v>
      </c>
      <c r="C17" s="2304"/>
      <c r="D17" s="625">
        <f>+'Exhibit F'!X53</f>
        <v>116.5</v>
      </c>
      <c r="E17" s="9"/>
      <c r="F17" s="9">
        <f>+'Exhibit F'!AC53</f>
        <v>1039.2</v>
      </c>
      <c r="G17" s="9"/>
      <c r="H17" s="625">
        <v>0</v>
      </c>
      <c r="I17" s="9"/>
      <c r="J17" s="9">
        <v>0</v>
      </c>
      <c r="K17" s="9"/>
      <c r="L17" s="1448">
        <f>'Exhibit H'!V24</f>
        <v>72.2</v>
      </c>
      <c r="M17" s="9"/>
      <c r="N17" s="9">
        <f>+'Exhibit H'!AA24</f>
        <v>929.9</v>
      </c>
      <c r="O17" s="9"/>
      <c r="P17" s="1448">
        <f>'Exhibit I'!Y31</f>
        <v>11.9</v>
      </c>
      <c r="Q17" s="625"/>
      <c r="R17" s="1448">
        <f>'Exhibit I'!AF31</f>
        <v>107.2</v>
      </c>
      <c r="S17" s="2328"/>
      <c r="T17" s="2328"/>
      <c r="U17" s="14"/>
      <c r="V17" s="625">
        <f t="shared" si="0"/>
        <v>200.6</v>
      </c>
      <c r="W17" s="9" t="s">
        <v>15</v>
      </c>
      <c r="X17" s="9">
        <f t="shared" si="3"/>
        <v>2076.3000000000002</v>
      </c>
      <c r="Y17" s="2328"/>
      <c r="Z17" s="2329"/>
      <c r="AA17" s="14"/>
      <c r="AB17" s="2086">
        <v>149.19999999999999</v>
      </c>
      <c r="AC17" s="22"/>
      <c r="AD17" s="1452">
        <f>'Exhibit F'!AF53+'Exhibit H'!AD24+'Exhibit I'!AI31</f>
        <v>2100.6</v>
      </c>
      <c r="AE17" s="1452"/>
      <c r="AF17" s="2330"/>
      <c r="AG17" s="9">
        <f t="shared" si="1"/>
        <v>-24.3</v>
      </c>
      <c r="AI17" s="1453">
        <f t="shared" si="2"/>
        <v>-1.2E-2</v>
      </c>
      <c r="AJ17" s="2314"/>
      <c r="AK17" s="2293"/>
      <c r="AL17" s="2293"/>
    </row>
    <row r="18" spans="1:38" ht="18" customHeight="1">
      <c r="A18" s="2304" t="s">
        <v>20</v>
      </c>
      <c r="B18" s="2316">
        <v>-4</v>
      </c>
      <c r="C18" s="2304"/>
      <c r="D18" s="625">
        <f>+'Exhibit F'!X93</f>
        <v>206.4</v>
      </c>
      <c r="E18" s="9"/>
      <c r="F18" s="9">
        <f>+'Exhibit F'!AC93</f>
        <v>2800.2</v>
      </c>
      <c r="G18" s="9"/>
      <c r="H18" s="625">
        <f>'Exhibit G'!X81</f>
        <v>1861.3</v>
      </c>
      <c r="I18" s="9"/>
      <c r="J18" s="9">
        <f>+'Exhibit G'!AD81</f>
        <v>17833.900000000001</v>
      </c>
      <c r="K18" s="9"/>
      <c r="L18" s="1448">
        <f>+'Exhibit H'!V45</f>
        <v>32.700000000000003</v>
      </c>
      <c r="M18" s="9"/>
      <c r="N18" s="9">
        <f>+'Exhibit H'!AA45</f>
        <v>444.4</v>
      </c>
      <c r="O18" s="9"/>
      <c r="P18" s="1448">
        <f>+'Exhibit I'!Y61</f>
        <v>105.3</v>
      </c>
      <c r="Q18" s="625"/>
      <c r="R18" s="625">
        <f>+'Exhibit I'!AF61</f>
        <v>4617.3</v>
      </c>
      <c r="S18" s="2328"/>
      <c r="T18" s="2328"/>
      <c r="U18" s="14"/>
      <c r="V18" s="625">
        <f>ROUND(SUM(D18)+SUM(H18)+SUM(L18)+SUM(P18),1)</f>
        <v>2205.6999999999998</v>
      </c>
      <c r="W18" s="9" t="s">
        <v>15</v>
      </c>
      <c r="X18" s="9">
        <f t="shared" si="3"/>
        <v>25695.8</v>
      </c>
      <c r="Y18" s="2328"/>
      <c r="Z18" s="2329"/>
      <c r="AA18" s="14"/>
      <c r="AB18" s="2086">
        <v>3205.1</v>
      </c>
      <c r="AC18" s="22"/>
      <c r="AD18" s="1452">
        <f>'Exhibit F'!AF93+'Exhibit G'!AG81+'Exhibit H'!AD45+'Exhibit I'!AI61</f>
        <v>27673.4</v>
      </c>
      <c r="AE18" s="1452"/>
      <c r="AF18" s="2330"/>
      <c r="AG18" s="9">
        <f t="shared" si="1"/>
        <v>-1977.6</v>
      </c>
      <c r="AI18" s="1453">
        <f t="shared" si="2"/>
        <v>-7.0999999999999994E-2</v>
      </c>
      <c r="AJ18" s="7"/>
      <c r="AK18" s="2293"/>
      <c r="AL18" s="2293"/>
    </row>
    <row r="19" spans="1:38" ht="18" customHeight="1">
      <c r="A19" s="2304" t="s">
        <v>21</v>
      </c>
      <c r="B19" s="2332"/>
      <c r="C19" s="2304"/>
      <c r="D19" s="625">
        <f>+'Exhibit F'!X95</f>
        <v>0</v>
      </c>
      <c r="E19" s="14"/>
      <c r="F19" s="9">
        <f>+'Exhibit F'!AC95</f>
        <v>0.3</v>
      </c>
      <c r="G19" s="9"/>
      <c r="H19" s="625">
        <f>'Exhibit G'!X83</f>
        <v>4983.1000000000004</v>
      </c>
      <c r="I19" s="9"/>
      <c r="J19" s="9">
        <f>+'Exhibit G'!AD83</f>
        <v>58558.1</v>
      </c>
      <c r="K19" s="9"/>
      <c r="L19" s="1448">
        <f>+'Exhibit H'!V47</f>
        <v>35.39</v>
      </c>
      <c r="M19" s="14"/>
      <c r="N19" s="9">
        <f>+'Exhibit H'!AA47</f>
        <v>73.789999999999992</v>
      </c>
      <c r="O19" s="9"/>
      <c r="P19" s="1448">
        <f>+'Exhibit I'!Y63</f>
        <v>120.40000000000009</v>
      </c>
      <c r="Q19" s="625"/>
      <c r="R19" s="625">
        <f>+'Exhibit I'!AF63</f>
        <v>1970.9</v>
      </c>
      <c r="S19" s="2328"/>
      <c r="T19" s="2328"/>
      <c r="U19" s="14"/>
      <c r="V19" s="626">
        <f t="shared" si="0"/>
        <v>5138.8999999999996</v>
      </c>
      <c r="W19" s="9" t="s">
        <v>15</v>
      </c>
      <c r="X19" s="14">
        <f t="shared" si="3"/>
        <v>60603.1</v>
      </c>
      <c r="Y19" s="2328"/>
      <c r="Z19" s="2329"/>
      <c r="AA19" s="14"/>
      <c r="AB19" s="2086">
        <v>5228.2</v>
      </c>
      <c r="AC19" s="22"/>
      <c r="AD19" s="1452">
        <f>'Exhibit F'!AF95+'Exhibit G'!AG83+'Exhibit H'!AD47+'Exhibit I'!AI63</f>
        <v>56661.899999999994</v>
      </c>
      <c r="AE19" s="1452"/>
      <c r="AF19" s="2330"/>
      <c r="AG19" s="9">
        <f t="shared" si="1"/>
        <v>3941.2</v>
      </c>
      <c r="AI19" s="1453">
        <f t="shared" si="2"/>
        <v>7.0000000000000007E-2</v>
      </c>
      <c r="AJ19" s="7"/>
      <c r="AK19" s="2293"/>
      <c r="AL19" s="2293"/>
    </row>
    <row r="20" spans="1:38" ht="18" customHeight="1">
      <c r="A20" s="2303" t="s">
        <v>22</v>
      </c>
      <c r="B20" s="2304"/>
      <c r="C20" s="2304"/>
      <c r="D20" s="11">
        <f>ROUND(SUM(D14:D19),1)</f>
        <v>2627.4</v>
      </c>
      <c r="E20" s="2333"/>
      <c r="F20" s="11">
        <f>ROUND(SUM(F14:F19),1)</f>
        <v>38459.199999999997</v>
      </c>
      <c r="G20" s="1390"/>
      <c r="H20" s="12">
        <f>ROUND(SUM(H14:H19),1)</f>
        <v>7064.4</v>
      </c>
      <c r="I20" s="1390"/>
      <c r="J20" s="12">
        <f>ROUND(SUM(J14:J19),1)</f>
        <v>81913.3</v>
      </c>
      <c r="K20" s="1390"/>
      <c r="L20" s="11">
        <f>ROUND(SUM(L14:L19),1)</f>
        <v>2510.9</v>
      </c>
      <c r="M20" s="1390"/>
      <c r="N20" s="12">
        <f>ROUND(SUM(N14:N19),1)</f>
        <v>33220.699999999997</v>
      </c>
      <c r="O20" s="1390"/>
      <c r="P20" s="12">
        <f>ROUND(SUM(P14:P19),1)</f>
        <v>319.7</v>
      </c>
      <c r="Q20" s="1390"/>
      <c r="R20" s="12">
        <f>ROUND(SUM(R14:R19),1)</f>
        <v>7885</v>
      </c>
      <c r="S20" s="2334"/>
      <c r="T20" s="2334"/>
      <c r="U20" s="2335"/>
      <c r="V20" s="12">
        <f>ROUND(SUM(V14:V19),1)</f>
        <v>12522.4</v>
      </c>
      <c r="W20" s="1390"/>
      <c r="X20" s="12">
        <f>ROUND(SUM(X14:X19),1)</f>
        <v>161478.20000000001</v>
      </c>
      <c r="Y20" s="2334"/>
      <c r="Z20" s="2336"/>
      <c r="AA20" s="2335"/>
      <c r="AB20" s="1596">
        <f>ROUND(SUM(AB14:AB19),1)</f>
        <v>13131.9</v>
      </c>
      <c r="AC20" s="23"/>
      <c r="AD20" s="1596">
        <f>ROUND(SUM(AD14:AD19),1)</f>
        <v>152656</v>
      </c>
      <c r="AE20" s="1508"/>
      <c r="AF20" s="2337"/>
      <c r="AG20" s="12">
        <f>ROUND(SUM(AG14:AG19),1)</f>
        <v>8822.2000000000007</v>
      </c>
      <c r="AH20" s="2338"/>
      <c r="AI20" s="1470">
        <f>(+X20-AD20)/ABS(AD20)</f>
        <v>5.7791374069804079E-2</v>
      </c>
      <c r="AJ20" s="2339"/>
      <c r="AK20" s="2293"/>
      <c r="AL20" s="2293"/>
    </row>
    <row r="21" spans="1:38" ht="16.350000000000001" customHeight="1">
      <c r="A21" s="2303"/>
      <c r="B21" s="2304"/>
      <c r="C21" s="2304"/>
      <c r="D21" s="626"/>
      <c r="E21" s="14"/>
      <c r="F21" s="14"/>
      <c r="G21" s="9"/>
      <c r="H21" s="626"/>
      <c r="I21" s="9"/>
      <c r="J21" s="14"/>
      <c r="K21" s="9"/>
      <c r="L21" s="626"/>
      <c r="M21" s="9"/>
      <c r="N21" s="14"/>
      <c r="O21" s="9"/>
      <c r="P21" s="626"/>
      <c r="Q21" s="625"/>
      <c r="R21" s="626"/>
      <c r="S21" s="2328"/>
      <c r="T21" s="2328"/>
      <c r="U21" s="14"/>
      <c r="V21" s="626"/>
      <c r="W21" s="9"/>
      <c r="X21" s="14"/>
      <c r="Y21" s="2328"/>
      <c r="Z21" s="2329"/>
      <c r="AA21" s="14"/>
      <c r="AB21" s="1447"/>
      <c r="AC21" s="22"/>
      <c r="AD21" s="1452"/>
      <c r="AE21" s="1452"/>
      <c r="AF21" s="2330"/>
      <c r="AG21" s="14"/>
      <c r="AI21" s="1456"/>
      <c r="AJ21" s="7"/>
      <c r="AK21" s="2293"/>
      <c r="AL21" s="2293"/>
    </row>
    <row r="22" spans="1:38" ht="16.350000000000001" customHeight="1">
      <c r="A22" s="2303" t="s">
        <v>23</v>
      </c>
      <c r="B22" s="2304"/>
      <c r="C22" s="2304"/>
      <c r="D22" s="625"/>
      <c r="E22" s="9"/>
      <c r="F22" s="9"/>
      <c r="G22" s="9"/>
      <c r="H22" s="625"/>
      <c r="I22" s="9"/>
      <c r="J22" s="9"/>
      <c r="K22" s="9"/>
      <c r="L22" s="625"/>
      <c r="M22" s="9"/>
      <c r="N22" s="9"/>
      <c r="O22" s="9"/>
      <c r="P22" s="625"/>
      <c r="Q22" s="625"/>
      <c r="R22" s="625"/>
      <c r="S22" s="2328"/>
      <c r="T22" s="2328"/>
      <c r="U22" s="14"/>
      <c r="V22" s="625"/>
      <c r="W22" s="9"/>
      <c r="X22" s="9"/>
      <c r="Y22" s="2328"/>
      <c r="Z22" s="2329"/>
      <c r="AA22" s="14"/>
      <c r="AB22" s="630"/>
      <c r="AC22" s="22"/>
      <c r="AD22" s="1452"/>
      <c r="AE22" s="1452"/>
      <c r="AF22" s="2330"/>
      <c r="AG22" s="9"/>
      <c r="AI22" s="1456"/>
      <c r="AJ22" s="7"/>
      <c r="AK22" s="2293"/>
      <c r="AL22" s="2293"/>
    </row>
    <row r="23" spans="1:38" ht="16.350000000000001" customHeight="1">
      <c r="A23" s="2304" t="s">
        <v>24</v>
      </c>
      <c r="B23" s="2340" t="s">
        <v>1415</v>
      </c>
      <c r="C23" s="2304"/>
      <c r="D23" s="628" t="s">
        <v>15</v>
      </c>
      <c r="E23" s="9"/>
      <c r="F23" s="10" t="s">
        <v>15</v>
      </c>
      <c r="G23" s="9"/>
      <c r="H23" s="627"/>
      <c r="I23" s="9"/>
      <c r="J23" s="15"/>
      <c r="K23" s="9"/>
      <c r="L23" s="627"/>
      <c r="M23" s="9"/>
      <c r="N23" s="15"/>
      <c r="O23" s="9"/>
      <c r="P23" s="627"/>
      <c r="Q23" s="625"/>
      <c r="R23" s="627"/>
      <c r="S23" s="2328"/>
      <c r="T23" s="2328"/>
      <c r="U23" s="14"/>
      <c r="V23" s="627"/>
      <c r="W23" s="9"/>
      <c r="X23" s="15"/>
      <c r="Y23" s="2328"/>
      <c r="Z23" s="2329"/>
      <c r="AA23" s="14"/>
      <c r="AB23" s="1831"/>
      <c r="AC23" s="22"/>
      <c r="AD23" s="2440"/>
      <c r="AE23" s="1452"/>
      <c r="AF23" s="2330"/>
      <c r="AG23" s="15"/>
      <c r="AI23" s="2341"/>
      <c r="AJ23" s="7"/>
      <c r="AK23" s="2293"/>
      <c r="AL23" s="2293"/>
    </row>
    <row r="24" spans="1:38" ht="18" customHeight="1">
      <c r="A24" s="2342" t="s">
        <v>25</v>
      </c>
      <c r="B24" s="2304"/>
      <c r="C24" s="2304"/>
      <c r="D24" s="1393">
        <f>+'Exhibit F'!X101</f>
        <v>836.70000000000073</v>
      </c>
      <c r="E24" s="9"/>
      <c r="F24" s="9">
        <f>+'Exhibit F'!AC101</f>
        <v>18421.599999999999</v>
      </c>
      <c r="G24" s="9"/>
      <c r="H24" s="1448">
        <f>'Exhibit G'!X89</f>
        <v>404.80000000000007</v>
      </c>
      <c r="I24" s="9"/>
      <c r="J24" s="9">
        <f>+'Exhibit G'!AD89</f>
        <v>8963.6</v>
      </c>
      <c r="K24" s="9"/>
      <c r="L24" s="1389">
        <v>0</v>
      </c>
      <c r="M24" s="14"/>
      <c r="N24" s="16">
        <v>0</v>
      </c>
      <c r="O24" s="9"/>
      <c r="P24" s="1448">
        <f>'Exhibit I'!Y69</f>
        <v>3.4000000000000057</v>
      </c>
      <c r="Q24" s="1448"/>
      <c r="R24" s="625">
        <f>+'Exhibit I'!AF69</f>
        <v>168.6</v>
      </c>
      <c r="S24" s="2328"/>
      <c r="T24" s="2328"/>
      <c r="U24" s="14"/>
      <c r="V24" s="625">
        <f>ROUND(SUM(D24)+SUM(H24)+SUM(L24)+SUM(P24),1)</f>
        <v>1244.9000000000001</v>
      </c>
      <c r="W24" s="9" t="s">
        <v>15</v>
      </c>
      <c r="X24" s="9">
        <f>ROUND(SUM(F24)+SUM(J24)+SUM(N24)+SUM(R24),1)</f>
        <v>27553.8</v>
      </c>
      <c r="Y24" s="2328"/>
      <c r="Z24" s="2329"/>
      <c r="AA24" s="14"/>
      <c r="AB24" s="2086">
        <v>1218.5</v>
      </c>
      <c r="AC24" s="22"/>
      <c r="AD24" s="1452">
        <f>'Exhibit F'!AF101+'Exhibit G'!AG89+'Exhibit I'!AI69</f>
        <v>27243.3</v>
      </c>
      <c r="AE24" s="2343"/>
      <c r="AF24" s="2344"/>
      <c r="AG24" s="9">
        <f>ROUND(SUM(X24-AD24),1)</f>
        <v>310.5</v>
      </c>
      <c r="AI24" s="1453">
        <f>ROUND(SUM((+X24-AD24)/ABS(AD24)),3)</f>
        <v>1.0999999999999999E-2</v>
      </c>
      <c r="AJ24" s="7"/>
      <c r="AK24" s="2293"/>
      <c r="AL24" s="2293"/>
    </row>
    <row r="25" spans="1:38" ht="18" customHeight="1">
      <c r="A25" s="2342" t="s">
        <v>26</v>
      </c>
      <c r="B25" s="2345"/>
      <c r="C25" s="2304"/>
      <c r="D25" s="1393">
        <f>+'Exhibit F'!X102</f>
        <v>0.29999999999999982</v>
      </c>
      <c r="E25" s="9"/>
      <c r="F25" s="9">
        <f>+'Exhibit F'!AC102</f>
        <v>2.8</v>
      </c>
      <c r="G25" s="9"/>
      <c r="H25" s="1448">
        <f>'Exhibit G'!X90</f>
        <v>2.1999999999999997</v>
      </c>
      <c r="I25" s="9"/>
      <c r="J25" s="9">
        <f>+'Exhibit G'!AD90</f>
        <v>5.0999999999999996</v>
      </c>
      <c r="K25" s="9"/>
      <c r="L25" s="1389">
        <v>0</v>
      </c>
      <c r="M25" s="14"/>
      <c r="N25" s="16">
        <v>0</v>
      </c>
      <c r="O25" s="9"/>
      <c r="P25" s="1448">
        <f>'Exhibit I'!Y70</f>
        <v>13.299999999999983</v>
      </c>
      <c r="Q25" s="1448"/>
      <c r="R25" s="625">
        <f>+'Exhibit I'!AF70</f>
        <v>393.2</v>
      </c>
      <c r="S25" s="2328"/>
      <c r="T25" s="2328"/>
      <c r="U25" s="14"/>
      <c r="V25" s="625">
        <f t="shared" ref="V25:V32" si="4">ROUND(SUM(D25)+SUM(H25)+SUM(L25)+SUM(P25),1)</f>
        <v>15.8</v>
      </c>
      <c r="W25" s="9" t="s">
        <v>15</v>
      </c>
      <c r="X25" s="9">
        <f t="shared" ref="X25:X32" si="5">ROUND(SUM(F25)+SUM(J25)+SUM(N25)+SUM(R25),1)</f>
        <v>401.1</v>
      </c>
      <c r="Y25" s="2328"/>
      <c r="Z25" s="2329"/>
      <c r="AA25" s="14"/>
      <c r="AB25" s="2086">
        <v>12.6</v>
      </c>
      <c r="AC25" s="3537"/>
      <c r="AD25" s="1452">
        <f>'Exhibit F'!AF102+'Exhibit G'!AG90+'Exhibit I'!AI70</f>
        <v>391.3</v>
      </c>
      <c r="AE25" s="14"/>
      <c r="AF25" s="2330"/>
      <c r="AG25" s="9">
        <f t="shared" ref="AG25:AG33" si="6">ROUND(SUM(X25-AD25),1)</f>
        <v>9.8000000000000007</v>
      </c>
      <c r="AI25" s="1453">
        <f t="shared" ref="AI25:AI32" si="7">ROUND(SUM((+X25-AD25)/ABS(AD25)),3)</f>
        <v>2.5000000000000001E-2</v>
      </c>
      <c r="AJ25" s="7"/>
      <c r="AK25" s="2293"/>
      <c r="AL25" s="2293"/>
    </row>
    <row r="26" spans="1:38" ht="18" customHeight="1">
      <c r="A26" s="2342" t="s">
        <v>27</v>
      </c>
      <c r="B26" s="2346"/>
      <c r="C26" s="2304"/>
      <c r="D26" s="1393">
        <f>+'Exhibit F'!X103</f>
        <v>19</v>
      </c>
      <c r="E26" s="9"/>
      <c r="F26" s="9">
        <f>+'Exhibit F'!AC103</f>
        <v>973</v>
      </c>
      <c r="G26" s="9"/>
      <c r="H26" s="1448">
        <f>'Exhibit G'!X91</f>
        <v>36.300000000000004</v>
      </c>
      <c r="I26" s="9"/>
      <c r="J26" s="9">
        <f>+'Exhibit G'!AD91</f>
        <v>266.89999999999998</v>
      </c>
      <c r="K26" s="9"/>
      <c r="L26" s="1389">
        <v>0</v>
      </c>
      <c r="M26" s="14"/>
      <c r="N26" s="16">
        <v>0</v>
      </c>
      <c r="O26" s="9"/>
      <c r="P26" s="1448">
        <f>'Exhibit I'!Y71</f>
        <v>25.899999999999977</v>
      </c>
      <c r="Q26" s="1448"/>
      <c r="R26" s="625">
        <f>+'Exhibit I'!AF71</f>
        <v>787.1</v>
      </c>
      <c r="S26" s="2328"/>
      <c r="T26" s="2328"/>
      <c r="U26" s="14"/>
      <c r="V26" s="625">
        <f t="shared" si="4"/>
        <v>81.2</v>
      </c>
      <c r="W26" s="9" t="s">
        <v>15</v>
      </c>
      <c r="X26" s="9">
        <f t="shared" si="5"/>
        <v>2027</v>
      </c>
      <c r="Y26" s="2328"/>
      <c r="Z26" s="2329"/>
      <c r="AA26" s="14"/>
      <c r="AB26" s="2086">
        <v>64.600000000000009</v>
      </c>
      <c r="AC26" s="22"/>
      <c r="AD26" s="1452">
        <f>'Exhibit F'!AF103+'Exhibit G'!AG91+'Exhibit I'!AI71</f>
        <v>1990.8999999999999</v>
      </c>
      <c r="AE26" s="14"/>
      <c r="AF26" s="2330"/>
      <c r="AG26" s="9">
        <f t="shared" si="6"/>
        <v>36.1</v>
      </c>
      <c r="AI26" s="1453">
        <f t="shared" si="7"/>
        <v>1.7999999999999999E-2</v>
      </c>
      <c r="AJ26" s="7"/>
      <c r="AK26" s="2293"/>
      <c r="AL26" s="2293"/>
    </row>
    <row r="27" spans="1:38" ht="18" customHeight="1">
      <c r="A27" s="2342" t="s">
        <v>28</v>
      </c>
      <c r="B27" s="2347"/>
      <c r="C27" s="2304"/>
      <c r="D27" s="625"/>
      <c r="E27" s="9"/>
      <c r="F27" s="9"/>
      <c r="G27" s="9"/>
      <c r="H27" s="1448"/>
      <c r="I27" s="9"/>
      <c r="J27" s="9" t="s">
        <v>15</v>
      </c>
      <c r="K27" s="9"/>
      <c r="L27" s="1445" t="s">
        <v>15</v>
      </c>
      <c r="M27" s="14"/>
      <c r="N27" s="17" t="s">
        <v>15</v>
      </c>
      <c r="O27" s="9"/>
      <c r="P27" s="1448"/>
      <c r="Q27" s="1448"/>
      <c r="R27" s="625"/>
      <c r="S27" s="2328"/>
      <c r="T27" s="2328"/>
      <c r="U27" s="14"/>
      <c r="V27" s="625" t="s">
        <v>15</v>
      </c>
      <c r="W27" s="9"/>
      <c r="X27" s="625" t="s">
        <v>15</v>
      </c>
      <c r="Y27" s="2328"/>
      <c r="Z27" s="2329"/>
      <c r="AA27" s="14"/>
      <c r="AB27" s="630"/>
      <c r="AC27" s="22"/>
      <c r="AD27" s="22"/>
      <c r="AE27" s="14"/>
      <c r="AF27" s="2330"/>
      <c r="AG27" s="9"/>
      <c r="AI27" s="1466" t="s">
        <v>15</v>
      </c>
      <c r="AJ27" s="7"/>
      <c r="AK27" s="2293"/>
      <c r="AL27" s="2293"/>
    </row>
    <row r="28" spans="1:38" ht="18" customHeight="1">
      <c r="A28" s="2348" t="s">
        <v>29</v>
      </c>
      <c r="B28" s="2327"/>
      <c r="C28" s="2304"/>
      <c r="D28" s="1393">
        <f>+'Exhibit F'!X105</f>
        <v>1194.5000000000005</v>
      </c>
      <c r="E28" s="9"/>
      <c r="F28" s="9">
        <f>+'Exhibit F'!AC105</f>
        <v>17721.400000000001</v>
      </c>
      <c r="G28" s="9"/>
      <c r="H28" s="1448">
        <f>'Exhibit G'!X93</f>
        <v>3923.4000000000055</v>
      </c>
      <c r="I28" s="9"/>
      <c r="J28" s="9">
        <f>+'Exhibit G'!AD93</f>
        <v>43067.4</v>
      </c>
      <c r="K28" s="9"/>
      <c r="L28" s="1389">
        <v>0</v>
      </c>
      <c r="M28" s="14"/>
      <c r="N28" s="16">
        <v>0</v>
      </c>
      <c r="O28" s="9"/>
      <c r="P28" s="1448">
        <f>'Exhibit I'!Y73</f>
        <v>0</v>
      </c>
      <c r="Q28" s="1448"/>
      <c r="R28" s="627">
        <f>+'Exhibit I'!AF73</f>
        <v>0</v>
      </c>
      <c r="S28" s="2328"/>
      <c r="T28" s="2328"/>
      <c r="U28" s="14"/>
      <c r="V28" s="625">
        <f t="shared" si="4"/>
        <v>5117.8999999999996</v>
      </c>
      <c r="W28" s="9" t="s">
        <v>15</v>
      </c>
      <c r="X28" s="9">
        <f t="shared" si="5"/>
        <v>60788.800000000003</v>
      </c>
      <c r="Y28" s="2328"/>
      <c r="Z28" s="2329"/>
      <c r="AA28" s="14"/>
      <c r="AB28" s="2086">
        <v>5542.3</v>
      </c>
      <c r="AC28" s="22"/>
      <c r="AD28" s="1452">
        <f>'Exhibit F'!AF105+'Exhibit G'!AG93+'Exhibit I'!AI73</f>
        <v>57107.600000000006</v>
      </c>
      <c r="AE28" s="14"/>
      <c r="AF28" s="2330"/>
      <c r="AG28" s="9">
        <f t="shared" si="6"/>
        <v>3681.2</v>
      </c>
      <c r="AI28" s="1453">
        <f t="shared" si="7"/>
        <v>6.4000000000000001E-2</v>
      </c>
      <c r="AJ28" s="7"/>
      <c r="AK28" s="2349"/>
      <c r="AL28" s="2293"/>
    </row>
    <row r="29" spans="1:38" ht="18" customHeight="1">
      <c r="A29" s="2342" t="s">
        <v>30</v>
      </c>
      <c r="B29" s="2327"/>
      <c r="C29" s="2304"/>
      <c r="D29" s="1393">
        <f>+'Exhibit F'!X106</f>
        <v>106.79999999999984</v>
      </c>
      <c r="E29" s="9"/>
      <c r="F29" s="9">
        <f>+'Exhibit F'!AC106</f>
        <v>1980.6</v>
      </c>
      <c r="G29" s="9"/>
      <c r="H29" s="1448">
        <f>'Exhibit G'!X94</f>
        <v>560.20000000000027</v>
      </c>
      <c r="I29" s="9"/>
      <c r="J29" s="9">
        <f>+'Exhibit G'!AD94</f>
        <v>6616.3</v>
      </c>
      <c r="K29" s="9"/>
      <c r="L29" s="1389">
        <v>0</v>
      </c>
      <c r="M29" s="14"/>
      <c r="N29" s="16">
        <v>0</v>
      </c>
      <c r="O29" s="9"/>
      <c r="P29" s="1448">
        <f>'Exhibit I'!Y74</f>
        <v>34.300000000000068</v>
      </c>
      <c r="Q29" s="1448"/>
      <c r="R29" s="625">
        <f>+'Exhibit I'!AF74</f>
        <v>481</v>
      </c>
      <c r="S29" s="2328"/>
      <c r="T29" s="2328"/>
      <c r="U29" s="14"/>
      <c r="V29" s="625">
        <f t="shared" si="4"/>
        <v>701.3</v>
      </c>
      <c r="W29" s="9" t="s">
        <v>15</v>
      </c>
      <c r="X29" s="9">
        <f t="shared" si="5"/>
        <v>9077.9</v>
      </c>
      <c r="Y29" s="2328"/>
      <c r="Z29" s="2329"/>
      <c r="AA29" s="14"/>
      <c r="AB29" s="2086">
        <v>853.2</v>
      </c>
      <c r="AC29" s="22"/>
      <c r="AD29" s="1452">
        <f>'Exhibit F'!AF106+'Exhibit G'!AG94+'Exhibit I'!AI74</f>
        <v>9278.5</v>
      </c>
      <c r="AE29" s="14"/>
      <c r="AF29" s="2330"/>
      <c r="AG29" s="9">
        <f t="shared" si="6"/>
        <v>-200.6</v>
      </c>
      <c r="AI29" s="1453">
        <f t="shared" si="7"/>
        <v>-2.1999999999999999E-2</v>
      </c>
      <c r="AJ29" s="7"/>
      <c r="AK29" s="2293"/>
      <c r="AL29" s="2293"/>
    </row>
    <row r="30" spans="1:38" ht="18" customHeight="1">
      <c r="A30" s="2342" t="s">
        <v>31</v>
      </c>
      <c r="B30" s="2347"/>
      <c r="C30" s="2304"/>
      <c r="D30" s="1393">
        <f>+'Exhibit F'!X107</f>
        <v>10.700000000000017</v>
      </c>
      <c r="E30" s="9"/>
      <c r="F30" s="9">
        <f>+'Exhibit F'!AC107</f>
        <v>153.80000000000001</v>
      </c>
      <c r="G30" s="9"/>
      <c r="H30" s="1448">
        <f>'Exhibit G'!X95</f>
        <v>190.19999999999993</v>
      </c>
      <c r="I30" s="9"/>
      <c r="J30" s="9">
        <f>+'Exhibit G'!AD95</f>
        <v>1418.8</v>
      </c>
      <c r="K30" s="9"/>
      <c r="L30" s="1389">
        <v>0</v>
      </c>
      <c r="M30" s="14"/>
      <c r="N30" s="16">
        <v>0</v>
      </c>
      <c r="O30" s="9"/>
      <c r="P30" s="1448">
        <f>'Exhibit I'!Y75</f>
        <v>2</v>
      </c>
      <c r="Q30" s="1448"/>
      <c r="R30" s="627">
        <f>+'Exhibit I'!AF75</f>
        <v>86.1</v>
      </c>
      <c r="S30" s="2328"/>
      <c r="T30" s="2328"/>
      <c r="U30" s="14"/>
      <c r="V30" s="625">
        <f t="shared" si="4"/>
        <v>202.9</v>
      </c>
      <c r="W30" s="9" t="s">
        <v>15</v>
      </c>
      <c r="X30" s="9">
        <f t="shared" si="5"/>
        <v>1658.7</v>
      </c>
      <c r="Y30" s="2328"/>
      <c r="Z30" s="2329"/>
      <c r="AA30" s="14"/>
      <c r="AB30" s="2086">
        <v>124.5</v>
      </c>
      <c r="AC30" s="22"/>
      <c r="AD30" s="1452">
        <f>'Exhibit F'!AF107+'Exhibit G'!AG95+'Exhibit I'!AI75</f>
        <v>1469.3</v>
      </c>
      <c r="AE30" s="14"/>
      <c r="AF30" s="2330"/>
      <c r="AG30" s="9">
        <f t="shared" si="6"/>
        <v>189.4</v>
      </c>
      <c r="AI30" s="1453">
        <f t="shared" si="7"/>
        <v>0.129</v>
      </c>
      <c r="AJ30" s="7"/>
      <c r="AK30" s="2293"/>
      <c r="AL30" s="2293"/>
    </row>
    <row r="31" spans="1:38" ht="18" customHeight="1">
      <c r="A31" s="2342" t="s">
        <v>32</v>
      </c>
      <c r="B31" s="2304"/>
      <c r="C31" s="2304"/>
      <c r="D31" s="1393">
        <f>+'Exhibit F'!X108</f>
        <v>197.29999999999973</v>
      </c>
      <c r="E31" s="9"/>
      <c r="F31" s="9">
        <f>+'Exhibit F'!AC108</f>
        <v>2204.6</v>
      </c>
      <c r="G31" s="9"/>
      <c r="H31" s="1448">
        <f>'Exhibit G'!X96</f>
        <v>275.10000000000002</v>
      </c>
      <c r="I31" s="9"/>
      <c r="J31" s="9">
        <f>+'Exhibit G'!AD96</f>
        <v>3910.1</v>
      </c>
      <c r="K31" s="9"/>
      <c r="L31" s="1389">
        <v>0</v>
      </c>
      <c r="M31" s="14"/>
      <c r="N31" s="16">
        <v>0</v>
      </c>
      <c r="O31" s="9"/>
      <c r="P31" s="1448">
        <f>'Exhibit I'!Y76</f>
        <v>14.700000000000017</v>
      </c>
      <c r="Q31" s="1448"/>
      <c r="R31" s="625">
        <f>+'Exhibit I'!AF76</f>
        <v>368.1</v>
      </c>
      <c r="S31" s="2328"/>
      <c r="T31" s="2328"/>
      <c r="U31" s="14"/>
      <c r="V31" s="625">
        <f t="shared" si="4"/>
        <v>487.1</v>
      </c>
      <c r="W31" s="9" t="s">
        <v>15</v>
      </c>
      <c r="X31" s="9">
        <f t="shared" si="5"/>
        <v>6482.8</v>
      </c>
      <c r="Y31" s="2328"/>
      <c r="Z31" s="2329"/>
      <c r="AA31" s="14"/>
      <c r="AB31" s="2086">
        <v>300.39999999999998</v>
      </c>
      <c r="AC31" s="22"/>
      <c r="AD31" s="1452">
        <f>'Exhibit F'!AF108+'Exhibit G'!AG96+'Exhibit I'!AI76</f>
        <v>6558.4000000000005</v>
      </c>
      <c r="AE31" s="14"/>
      <c r="AF31" s="2330"/>
      <c r="AG31" s="9">
        <f t="shared" si="6"/>
        <v>-75.599999999999994</v>
      </c>
      <c r="AI31" s="1453">
        <f t="shared" si="7"/>
        <v>-1.2E-2</v>
      </c>
      <c r="AJ31" s="7"/>
      <c r="AK31" s="2293"/>
      <c r="AL31" s="2293"/>
    </row>
    <row r="32" spans="1:38" ht="18" customHeight="1">
      <c r="A32" s="2342" t="s">
        <v>33</v>
      </c>
      <c r="B32" s="2347"/>
      <c r="C32" s="2304"/>
      <c r="D32" s="1393">
        <f>+'Exhibit F'!X109</f>
        <v>22.100000000000009</v>
      </c>
      <c r="E32" s="9"/>
      <c r="F32" s="9">
        <f>+'Exhibit F'!AC109</f>
        <v>136.4</v>
      </c>
      <c r="G32" s="9"/>
      <c r="H32" s="1448">
        <f>'Exhibit G'!X97</f>
        <v>8.7000000000000028</v>
      </c>
      <c r="I32" s="9"/>
      <c r="J32" s="9">
        <f>+'Exhibit G'!AD97</f>
        <v>61.8</v>
      </c>
      <c r="K32" s="9"/>
      <c r="L32" s="1389">
        <v>0</v>
      </c>
      <c r="M32" s="14" t="s">
        <v>15</v>
      </c>
      <c r="N32" s="16">
        <v>0</v>
      </c>
      <c r="O32" s="9"/>
      <c r="P32" s="1448">
        <f>'Exhibit I'!Y77</f>
        <v>101.29999999999995</v>
      </c>
      <c r="Q32" s="1448"/>
      <c r="R32" s="625">
        <f>+'Exhibit I'!AF77</f>
        <v>832.8</v>
      </c>
      <c r="S32" s="2328"/>
      <c r="T32" s="2328"/>
      <c r="U32" s="14"/>
      <c r="V32" s="625">
        <f t="shared" si="4"/>
        <v>132.1</v>
      </c>
      <c r="W32" s="9" t="s">
        <v>15</v>
      </c>
      <c r="X32" s="9">
        <f t="shared" si="5"/>
        <v>1031</v>
      </c>
      <c r="Y32" s="2328"/>
      <c r="Z32" s="2329"/>
      <c r="AA32" s="14"/>
      <c r="AB32" s="2086">
        <v>119.9</v>
      </c>
      <c r="AC32" s="22"/>
      <c r="AD32" s="1452">
        <f>'Exhibit F'!AF109+'Exhibit G'!AG97+'Exhibit I'!AI77</f>
        <v>1151.4000000000001</v>
      </c>
      <c r="AE32" s="14"/>
      <c r="AF32" s="2330"/>
      <c r="AG32" s="9">
        <f t="shared" si="6"/>
        <v>-120.4</v>
      </c>
      <c r="AI32" s="1453">
        <f t="shared" si="7"/>
        <v>-0.105</v>
      </c>
      <c r="AJ32" s="7"/>
      <c r="AK32" s="2293"/>
      <c r="AL32" s="2293"/>
    </row>
    <row r="33" spans="1:38" ht="18" customHeight="1">
      <c r="A33" s="2342" t="s">
        <v>34</v>
      </c>
      <c r="B33" s="2304"/>
      <c r="C33" s="2304"/>
      <c r="D33" s="1393">
        <f>+'Exhibit F'!X110</f>
        <v>12.500000000000007</v>
      </c>
      <c r="E33" s="9"/>
      <c r="F33" s="9">
        <f>+'Exhibit F'!AC110</f>
        <v>110</v>
      </c>
      <c r="G33" s="9"/>
      <c r="H33" s="1448">
        <f>'Exhibit G'!X98</f>
        <v>96.3</v>
      </c>
      <c r="I33" s="9"/>
      <c r="J33" s="9">
        <f>+'Exhibit G'!AD98</f>
        <v>3393.4</v>
      </c>
      <c r="K33" s="9"/>
      <c r="L33" s="1389">
        <v>0</v>
      </c>
      <c r="M33" s="14"/>
      <c r="N33" s="16">
        <v>0</v>
      </c>
      <c r="O33" s="9"/>
      <c r="P33" s="1448">
        <f>'Exhibit I'!Y78</f>
        <v>80.499999999999901</v>
      </c>
      <c r="Q33" s="1448"/>
      <c r="R33" s="625">
        <f>+'Exhibit I'!AF78</f>
        <v>1487.5</v>
      </c>
      <c r="S33" s="2328"/>
      <c r="T33" s="2328"/>
      <c r="U33" s="14"/>
      <c r="V33" s="625">
        <f>ROUND(SUM(D33)+SUM(H33)+SUM(L33)+SUM(P33),1)</f>
        <v>189.3</v>
      </c>
      <c r="W33" s="9" t="s">
        <v>15</v>
      </c>
      <c r="X33" s="9">
        <f>ROUND(SUM(F33)+SUM(J33)+SUM(N33)+SUM(R33),1)</f>
        <v>4990.8999999999996</v>
      </c>
      <c r="Y33" s="2328"/>
      <c r="Z33" s="2329"/>
      <c r="AA33" s="14"/>
      <c r="AB33" s="2086">
        <v>398.09999999999997</v>
      </c>
      <c r="AC33" s="22"/>
      <c r="AD33" s="1452">
        <f>'Exhibit F'!AF110+'Exhibit G'!AG98+'Exhibit I'!AI78</f>
        <v>5416.7</v>
      </c>
      <c r="AE33" s="14"/>
      <c r="AF33" s="2330"/>
      <c r="AG33" s="9">
        <f t="shared" si="6"/>
        <v>-425.8</v>
      </c>
      <c r="AI33" s="1453">
        <f>ROUND(SUM((+X33-AD33)/ABS(AD33)),3)</f>
        <v>-7.9000000000000001E-2</v>
      </c>
      <c r="AJ33" s="7"/>
      <c r="AK33" s="2293"/>
      <c r="AL33" s="2293"/>
    </row>
    <row r="34" spans="1:38" ht="18" customHeight="1">
      <c r="A34" s="2303" t="s">
        <v>35</v>
      </c>
      <c r="B34" s="2304"/>
      <c r="C34" s="2304"/>
      <c r="D34" s="12">
        <f>ROUND(SUM(D24:D33),1)</f>
        <v>2399.9</v>
      </c>
      <c r="E34" s="2335"/>
      <c r="F34" s="12">
        <f>ROUND(SUM(F24:F33),1)</f>
        <v>41704.199999999997</v>
      </c>
      <c r="G34" s="1390"/>
      <c r="H34" s="12">
        <f>ROUND(SUM(H24:H33),1)</f>
        <v>5497.2</v>
      </c>
      <c r="I34" s="1390"/>
      <c r="J34" s="12">
        <f>ROUND(SUM(J24:J33),1)</f>
        <v>67703.399999999994</v>
      </c>
      <c r="K34" s="1390"/>
      <c r="L34" s="12">
        <f>ROUND(SUM(L24:L33),1)</f>
        <v>0</v>
      </c>
      <c r="M34" s="1390"/>
      <c r="N34" s="1450">
        <f>ROUND(SUM(N24:N33),1)</f>
        <v>0</v>
      </c>
      <c r="O34" s="1390"/>
      <c r="P34" s="11">
        <f>ROUND(SUM(P24:P33),1)</f>
        <v>275.39999999999998</v>
      </c>
      <c r="Q34" s="1390"/>
      <c r="R34" s="11">
        <f>ROUND(SUM(R24:R33),1)</f>
        <v>4604.3999999999996</v>
      </c>
      <c r="S34" s="2334"/>
      <c r="T34" s="2334"/>
      <c r="U34" s="2335"/>
      <c r="V34" s="12">
        <f>ROUND(SUM(V24:V33),1)</f>
        <v>8172.5</v>
      </c>
      <c r="W34" s="1390"/>
      <c r="X34" s="12">
        <f>ROUND(SUM(X24:X33),1)</f>
        <v>114012</v>
      </c>
      <c r="Y34" s="2334"/>
      <c r="Z34" s="2336"/>
      <c r="AA34" s="2335"/>
      <c r="AB34" s="1596">
        <f>ROUND(SUM(AB23:AB33),1)</f>
        <v>8634.1</v>
      </c>
      <c r="AC34" s="23"/>
      <c r="AD34" s="1596">
        <f>ROUND(SUM(AD23:AD33),1)</f>
        <v>110607.4</v>
      </c>
      <c r="AE34" s="1508"/>
      <c r="AF34" s="2337"/>
      <c r="AG34" s="12">
        <f>ROUND(SUM(AG24:AG33),1)</f>
        <v>3404.6</v>
      </c>
      <c r="AH34" s="2338"/>
      <c r="AI34" s="1470">
        <f>ROUND(SUM((+X34-AD34)/ABS(AD34)),3)</f>
        <v>3.1E-2</v>
      </c>
      <c r="AJ34" s="2305"/>
      <c r="AK34" s="2293"/>
      <c r="AL34" s="2293"/>
    </row>
    <row r="35" spans="1:38" ht="18" customHeight="1">
      <c r="A35" s="2304" t="s">
        <v>36</v>
      </c>
      <c r="B35" s="2346"/>
      <c r="C35" s="2304"/>
      <c r="D35" s="625"/>
      <c r="E35" s="9"/>
      <c r="F35" s="9"/>
      <c r="G35" s="9"/>
      <c r="H35" s="625"/>
      <c r="I35" s="9"/>
      <c r="J35" s="9"/>
      <c r="K35" s="9"/>
      <c r="L35" s="625"/>
      <c r="M35" s="9"/>
      <c r="N35" s="9"/>
      <c r="O35" s="9"/>
      <c r="P35" s="625"/>
      <c r="Q35" s="625"/>
      <c r="R35" s="625"/>
      <c r="S35" s="2328"/>
      <c r="T35" s="2328"/>
      <c r="U35" s="14"/>
      <c r="V35" s="625"/>
      <c r="W35" s="9"/>
      <c r="X35" s="9"/>
      <c r="Y35" s="2328"/>
      <c r="Z35" s="2329"/>
      <c r="AA35" s="14"/>
      <c r="AB35" s="630"/>
      <c r="AC35" s="22"/>
      <c r="AD35" s="1452"/>
      <c r="AE35" s="1452"/>
      <c r="AF35" s="2330"/>
      <c r="AG35" s="9"/>
      <c r="AI35" s="1456"/>
      <c r="AJ35" s="7"/>
      <c r="AK35" s="2293"/>
      <c r="AL35" s="2293"/>
    </row>
    <row r="36" spans="1:38" ht="18" customHeight="1">
      <c r="A36" s="2304" t="s">
        <v>37</v>
      </c>
      <c r="B36" s="2345"/>
      <c r="C36" s="2304"/>
      <c r="D36" s="625">
        <f>+'Exhibit F'!X113</f>
        <v>663.99999999999977</v>
      </c>
      <c r="E36" s="9"/>
      <c r="F36" s="9">
        <f>+'Exhibit F'!AC113</f>
        <v>8298.1</v>
      </c>
      <c r="G36" s="9"/>
      <c r="H36" s="1448">
        <f>'Exhibit G'!X101</f>
        <v>455.29999999999984</v>
      </c>
      <c r="I36" s="9"/>
      <c r="J36" s="9">
        <f>+'Exhibit G'!AD101</f>
        <v>5322.5</v>
      </c>
      <c r="K36" s="9"/>
      <c r="L36" s="628">
        <v>0</v>
      </c>
      <c r="M36" s="9"/>
      <c r="N36" s="10">
        <v>0</v>
      </c>
      <c r="O36" s="9"/>
      <c r="P36" s="628">
        <f>'Exhibit I'!Y81</f>
        <v>0</v>
      </c>
      <c r="Q36" s="625"/>
      <c r="R36" s="628">
        <f>+'Exhibit I'!AF81</f>
        <v>0</v>
      </c>
      <c r="S36" s="2328"/>
      <c r="T36" s="2328"/>
      <c r="U36" s="14"/>
      <c r="V36" s="625">
        <f>ROUND(SUM(D36)+SUM(H36)+SUM(L36)+SUM(P36),1)</f>
        <v>1119.3</v>
      </c>
      <c r="W36" s="9" t="s">
        <v>15</v>
      </c>
      <c r="X36" s="9">
        <f>ROUND(SUM(F36)+SUM(J36)+SUM(N36)+SUM(R36),1)</f>
        <v>13620.6</v>
      </c>
      <c r="Y36" s="2328"/>
      <c r="Z36" s="2329"/>
      <c r="AA36" s="14"/>
      <c r="AB36" s="2086">
        <v>1098</v>
      </c>
      <c r="AC36" s="3538"/>
      <c r="AD36" s="22">
        <f>'Exhibit F'!AF113+'Exhibit G'!AG101+'Exhibit I'!AI81</f>
        <v>13232.9</v>
      </c>
      <c r="AE36" s="14"/>
      <c r="AF36" s="2330"/>
      <c r="AG36" s="9">
        <f>ROUND(SUM(X36-AD36),1)</f>
        <v>387.7</v>
      </c>
      <c r="AI36" s="1453">
        <f>ROUND(SUM((+X36-AD36)/ABS(AD36)),3)</f>
        <v>2.9000000000000001E-2</v>
      </c>
      <c r="AJ36" s="7"/>
      <c r="AK36" s="2293"/>
      <c r="AL36" s="2293"/>
    </row>
    <row r="37" spans="1:38" ht="18" customHeight="1">
      <c r="A37" s="2304" t="s">
        <v>38</v>
      </c>
      <c r="B37" s="2346"/>
      <c r="C37" s="2304"/>
      <c r="D37" s="625">
        <f>+'Exhibit F'!X114</f>
        <v>229.70000000000033</v>
      </c>
      <c r="E37" s="9"/>
      <c r="F37" s="9">
        <f>+'Exhibit F'!AC114</f>
        <v>2274.4</v>
      </c>
      <c r="G37" s="9"/>
      <c r="H37" s="1448">
        <f>'Exhibit G'!X102</f>
        <v>424.59999999999991</v>
      </c>
      <c r="I37" s="9"/>
      <c r="J37" s="9">
        <f>+'Exhibit G'!AD102</f>
        <v>3979.7</v>
      </c>
      <c r="K37" s="9"/>
      <c r="L37" s="1448">
        <f>+'Exhibit H'!V53</f>
        <v>1.6000000000000014</v>
      </c>
      <c r="M37" s="9"/>
      <c r="N37" s="9">
        <f>+'Exhibit H'!AA53</f>
        <v>28.6</v>
      </c>
      <c r="O37" s="9" t="s">
        <v>15</v>
      </c>
      <c r="P37" s="628">
        <f>'Exhibit I'!Y82</f>
        <v>0</v>
      </c>
      <c r="Q37" s="625"/>
      <c r="R37" s="628">
        <f>+'Exhibit I'!AF82</f>
        <v>0</v>
      </c>
      <c r="S37" s="2328"/>
      <c r="T37" s="2328"/>
      <c r="U37" s="14"/>
      <c r="V37" s="625">
        <f>ROUND(SUM(D37)+SUM(H37)+SUM(L37)+SUM(P37),1)</f>
        <v>655.9</v>
      </c>
      <c r="W37" s="9" t="s">
        <v>15</v>
      </c>
      <c r="X37" s="9">
        <f>ROUND(SUM(F37)+SUM(J37)+SUM(N37)+SUM(R37),1)</f>
        <v>6282.7</v>
      </c>
      <c r="Y37" s="2328"/>
      <c r="Z37" s="2329"/>
      <c r="AA37" s="14"/>
      <c r="AB37" s="2086">
        <v>710.8</v>
      </c>
      <c r="AC37" s="3538"/>
      <c r="AD37" s="22">
        <f>'Exhibit F'!AF114+'Exhibit G'!AG102+'Exhibit I'!AI82+'Exhibit H'!AD53</f>
        <v>6135.7</v>
      </c>
      <c r="AE37" s="14"/>
      <c r="AF37" s="2330"/>
      <c r="AG37" s="9">
        <f>ROUND(SUM(X37-AD37),1)</f>
        <v>147</v>
      </c>
      <c r="AI37" s="1453">
        <f>ROUND(SUM((+X37-AD37)/ABS(AD37)),3)</f>
        <v>2.4E-2</v>
      </c>
      <c r="AJ37" s="7"/>
      <c r="AK37" s="2293"/>
      <c r="AL37" s="2293"/>
    </row>
    <row r="38" spans="1:38" ht="18" customHeight="1">
      <c r="A38" s="2304" t="s">
        <v>39</v>
      </c>
      <c r="B38" s="2347"/>
      <c r="C38" s="2304"/>
      <c r="D38" s="625">
        <f>+'Exhibit F'!X115</f>
        <v>415</v>
      </c>
      <c r="E38" s="9"/>
      <c r="F38" s="9">
        <f>+'Exhibit F'!AC115</f>
        <v>6981.1</v>
      </c>
      <c r="G38" s="2350"/>
      <c r="H38" s="1448">
        <f>'Exhibit G'!X103</f>
        <v>93.499999999999972</v>
      </c>
      <c r="I38" s="9"/>
      <c r="J38" s="9">
        <f>+'Exhibit G'!AD103</f>
        <v>1208.3</v>
      </c>
      <c r="K38" s="9"/>
      <c r="L38" s="628">
        <v>0</v>
      </c>
      <c r="M38" s="9"/>
      <c r="N38" s="10">
        <v>0</v>
      </c>
      <c r="O38" s="9"/>
      <c r="P38" s="628">
        <f>'Exhibit I'!Y83</f>
        <v>0</v>
      </c>
      <c r="Q38" s="625"/>
      <c r="R38" s="628">
        <f>+'Exhibit I'!AF83</f>
        <v>0</v>
      </c>
      <c r="S38" s="2328"/>
      <c r="T38" s="2328"/>
      <c r="U38" s="14"/>
      <c r="V38" s="625">
        <f>ROUND(SUM(D38)+SUM(H38)+SUM(L38)+SUM(P38),1)</f>
        <v>508.5</v>
      </c>
      <c r="W38" s="9" t="s">
        <v>15</v>
      </c>
      <c r="X38" s="9">
        <f>ROUND(SUM(F38)+SUM(J38)+SUM(N38)+SUM(R38),1)</f>
        <v>8189.4</v>
      </c>
      <c r="Y38" s="2328"/>
      <c r="Z38" s="2329"/>
      <c r="AA38" s="14"/>
      <c r="AB38" s="2086">
        <v>501.20000000000005</v>
      </c>
      <c r="AC38" s="22"/>
      <c r="AD38" s="22">
        <f>'Exhibit F'!AF115+'Exhibit G'!AG103+'Exhibit I'!AI83</f>
        <v>8072.2999999999993</v>
      </c>
      <c r="AE38" s="14"/>
      <c r="AF38" s="2330"/>
      <c r="AG38" s="9">
        <f>ROUND(SUM(X38-AD38),1)</f>
        <v>117.1</v>
      </c>
      <c r="AI38" s="1453">
        <f>ROUND(SUM((+X38-AD38)/ABS(AD38)),3)</f>
        <v>1.4999999999999999E-2</v>
      </c>
      <c r="AJ38" s="7"/>
      <c r="AK38" s="2293"/>
      <c r="AL38" s="2293"/>
    </row>
    <row r="39" spans="1:38" ht="18" customHeight="1">
      <c r="A39" s="2304" t="s">
        <v>40</v>
      </c>
      <c r="B39" s="2304"/>
      <c r="C39" s="2304"/>
      <c r="D39" s="625"/>
      <c r="E39" s="9"/>
      <c r="F39" s="9"/>
      <c r="G39" s="9"/>
      <c r="H39" s="625"/>
      <c r="I39" s="9"/>
      <c r="J39" s="18"/>
      <c r="K39" s="9"/>
      <c r="L39" s="625"/>
      <c r="M39" s="9"/>
      <c r="N39" s="9"/>
      <c r="O39" s="9"/>
      <c r="P39" s="628"/>
      <c r="Q39" s="625"/>
      <c r="R39" s="625"/>
      <c r="S39" s="2328"/>
      <c r="T39" s="2328"/>
      <c r="U39" s="14"/>
      <c r="V39" s="625"/>
      <c r="W39" s="9"/>
      <c r="X39" s="9"/>
      <c r="Y39" s="2328"/>
      <c r="Z39" s="2329"/>
      <c r="AA39" s="14"/>
      <c r="AB39" s="630"/>
      <c r="AC39" s="22"/>
      <c r="AD39" s="1452"/>
      <c r="AE39" s="14"/>
      <c r="AF39" s="2330"/>
      <c r="AG39" s="9"/>
      <c r="AI39" s="1453"/>
      <c r="AJ39" s="7"/>
      <c r="AK39" s="2293"/>
      <c r="AL39" s="2293"/>
    </row>
    <row r="40" spans="1:38" ht="18" customHeight="1">
      <c r="A40" s="2304" t="s">
        <v>41</v>
      </c>
      <c r="B40" s="2347"/>
      <c r="C40" s="2304"/>
      <c r="D40" s="628">
        <v>0</v>
      </c>
      <c r="E40" s="9"/>
      <c r="F40" s="10">
        <v>0</v>
      </c>
      <c r="G40" s="9"/>
      <c r="H40" s="1448">
        <v>0</v>
      </c>
      <c r="I40" s="9"/>
      <c r="J40" s="10">
        <v>0</v>
      </c>
      <c r="K40" s="9"/>
      <c r="L40" s="625">
        <f>+'Exhibit H'!V55</f>
        <v>719.89999999999964</v>
      </c>
      <c r="M40" s="9"/>
      <c r="N40" s="9">
        <f>+'Exhibit H'!AA55</f>
        <v>2276.6999999999998</v>
      </c>
      <c r="O40" s="9" t="s">
        <v>15</v>
      </c>
      <c r="P40" s="628">
        <v>0</v>
      </c>
      <c r="Q40" s="625"/>
      <c r="R40" s="628">
        <v>0</v>
      </c>
      <c r="S40" s="2328"/>
      <c r="T40" s="2328"/>
      <c r="U40" s="14"/>
      <c r="V40" s="625">
        <f>ROUND(SUM(D40)+SUM(H40)+SUM(L40)+SUM(P40),1)</f>
        <v>719.9</v>
      </c>
      <c r="W40" s="9" t="s">
        <v>15</v>
      </c>
      <c r="X40" s="9">
        <f>ROUND(SUM(F40)+SUM(J40)+SUM(N40)+SUM(R40),1)</f>
        <v>2276.6999999999998</v>
      </c>
      <c r="Y40" s="2328"/>
      <c r="Z40" s="2329"/>
      <c r="AA40" s="14"/>
      <c r="AB40" s="2086">
        <v>729.1</v>
      </c>
      <c r="AC40" s="22"/>
      <c r="AD40" s="1452">
        <f>'Exhibit H'!AD55</f>
        <v>2498</v>
      </c>
      <c r="AE40" s="14"/>
      <c r="AF40" s="2330"/>
      <c r="AG40" s="9">
        <f>ROUND(SUM(X40-AD40),1)</f>
        <v>-221.3</v>
      </c>
      <c r="AI40" s="1453">
        <f>ROUND(SUM((+X40-AD40)/ABS(AD40)),3)</f>
        <v>-8.8999999999999996E-2</v>
      </c>
      <c r="AJ40" s="2351"/>
      <c r="AK40" s="2293"/>
      <c r="AL40" s="2293"/>
    </row>
    <row r="41" spans="1:38" ht="18" customHeight="1">
      <c r="A41" s="2304" t="s">
        <v>42</v>
      </c>
      <c r="B41" s="2347" t="s">
        <v>963</v>
      </c>
      <c r="C41" s="2304"/>
      <c r="D41" s="1445">
        <v>0</v>
      </c>
      <c r="E41" s="9"/>
      <c r="F41" s="17">
        <v>0</v>
      </c>
      <c r="G41" s="9"/>
      <c r="H41" s="1448">
        <f>'Exhibit G'!X104</f>
        <v>0</v>
      </c>
      <c r="I41" s="9"/>
      <c r="J41" s="9">
        <f>+'Exhibit G'!AD104</f>
        <v>0</v>
      </c>
      <c r="K41" s="9"/>
      <c r="L41" s="1445">
        <v>0</v>
      </c>
      <c r="M41" s="9"/>
      <c r="N41" s="17">
        <v>0</v>
      </c>
      <c r="O41" s="9"/>
      <c r="P41" s="1448">
        <f>'Exhibit I'!Y84</f>
        <v>476.40000000000032</v>
      </c>
      <c r="Q41" s="625"/>
      <c r="R41" s="629">
        <f>+'Exhibit I'!AF84</f>
        <v>6453.2</v>
      </c>
      <c r="S41" s="2328"/>
      <c r="T41" s="2328"/>
      <c r="U41" s="14"/>
      <c r="V41" s="625">
        <f>ROUND(SUM(D41)+SUM(H41)+SUM(L41)+SUM(P41),1)</f>
        <v>476.4</v>
      </c>
      <c r="W41" s="9" t="s">
        <v>15</v>
      </c>
      <c r="X41" s="9">
        <f>ROUND(SUM(F41)+SUM(J41)+SUM(N41)+SUM(R41),1)</f>
        <v>6453.2</v>
      </c>
      <c r="Y41" s="2328"/>
      <c r="Z41" s="2329"/>
      <c r="AA41" s="14"/>
      <c r="AB41" s="2086">
        <v>451.3</v>
      </c>
      <c r="AC41" s="22"/>
      <c r="AD41" s="1452">
        <f>'Exhibit G'!AG104+'Exhibit I'!AI84</f>
        <v>6419.6</v>
      </c>
      <c r="AE41" s="14"/>
      <c r="AF41" s="2330"/>
      <c r="AG41" s="9">
        <f>ROUND(SUM(X41-AD41),1)</f>
        <v>33.6</v>
      </c>
      <c r="AI41" s="1453">
        <f>ROUND(SUM((+X41-AD41)/ABS(AD41)),3)</f>
        <v>5.0000000000000001E-3</v>
      </c>
      <c r="AJ41" s="2351"/>
      <c r="AK41" s="2293"/>
      <c r="AL41" s="2293"/>
    </row>
    <row r="42" spans="1:38" ht="18" customHeight="1">
      <c r="A42" s="2303" t="s">
        <v>43</v>
      </c>
      <c r="B42" s="2304"/>
      <c r="C42" s="2304"/>
      <c r="D42" s="12">
        <f>ROUND(SUM(D34:D41),1)</f>
        <v>3708.6</v>
      </c>
      <c r="E42" s="1390"/>
      <c r="F42" s="12">
        <f>ROUND(SUM(F34:F41),1)</f>
        <v>59257.8</v>
      </c>
      <c r="G42" s="1390"/>
      <c r="H42" s="12">
        <f>ROUND(SUM(H34:H41),1)</f>
        <v>6470.6</v>
      </c>
      <c r="I42" s="1390"/>
      <c r="J42" s="12">
        <f>ROUND(SUM(J34:J41),1)</f>
        <v>78213.899999999994</v>
      </c>
      <c r="K42" s="1390"/>
      <c r="L42" s="12">
        <f>ROUND(SUM(L34:L41),1)</f>
        <v>721.5</v>
      </c>
      <c r="M42" s="1390"/>
      <c r="N42" s="12">
        <f>ROUND(SUM(N34:N41),1)</f>
        <v>2305.3000000000002</v>
      </c>
      <c r="O42" s="1390"/>
      <c r="P42" s="12">
        <f>ROUND(SUM(P34:P41),1)</f>
        <v>751.8</v>
      </c>
      <c r="Q42" s="1390"/>
      <c r="R42" s="12">
        <f>ROUND(SUM(R34:R41),1)</f>
        <v>11057.6</v>
      </c>
      <c r="S42" s="2334"/>
      <c r="T42" s="2334"/>
      <c r="U42" s="2335"/>
      <c r="V42" s="12">
        <f>ROUND(SUM(V34:V41),1)</f>
        <v>11652.5</v>
      </c>
      <c r="W42" s="1390"/>
      <c r="X42" s="12">
        <f>ROUND(SUM(X34:X41),1)</f>
        <v>150834.6</v>
      </c>
      <c r="Y42" s="2334"/>
      <c r="Z42" s="2336"/>
      <c r="AA42" s="2335"/>
      <c r="AB42" s="1596">
        <f>ROUND(SUM(AB34:AB41),1)</f>
        <v>12124.5</v>
      </c>
      <c r="AC42" s="23"/>
      <c r="AD42" s="1596">
        <f>ROUND(SUM(AD34:AD41),1)</f>
        <v>146965.9</v>
      </c>
      <c r="AE42" s="1508"/>
      <c r="AF42" s="2337"/>
      <c r="AG42" s="12">
        <f>ROUND(SUM(AG34:AG41),1)</f>
        <v>3868.7</v>
      </c>
      <c r="AH42" s="2338"/>
      <c r="AI42" s="1470">
        <f>ROUND(SUM((+X42-AD42)/ABS(AD42)),3)</f>
        <v>2.5999999999999999E-2</v>
      </c>
      <c r="AJ42" s="2305"/>
      <c r="AK42" s="2293"/>
      <c r="AL42" s="2293"/>
    </row>
    <row r="43" spans="1:38" ht="16.350000000000001" customHeight="1">
      <c r="A43" s="2303"/>
      <c r="B43" s="2304"/>
      <c r="C43" s="2304"/>
      <c r="D43" s="626"/>
      <c r="E43" s="9"/>
      <c r="F43" s="14"/>
      <c r="G43" s="9"/>
      <c r="H43" s="626"/>
      <c r="I43" s="9"/>
      <c r="J43" s="14"/>
      <c r="K43" s="9"/>
      <c r="L43" s="626"/>
      <c r="M43" s="9"/>
      <c r="N43" s="14"/>
      <c r="O43" s="9"/>
      <c r="P43" s="1451"/>
      <c r="Q43" s="625"/>
      <c r="R43" s="626"/>
      <c r="S43" s="2328"/>
      <c r="T43" s="2328"/>
      <c r="U43" s="14"/>
      <c r="V43" s="626"/>
      <c r="W43" s="9"/>
      <c r="X43" s="14"/>
      <c r="Y43" s="2328"/>
      <c r="Z43" s="2329"/>
      <c r="AA43" s="14"/>
      <c r="AB43" s="1447" t="s">
        <v>15</v>
      </c>
      <c r="AC43" s="22"/>
      <c r="AD43" s="1452"/>
      <c r="AE43" s="1452"/>
      <c r="AF43" s="2330"/>
      <c r="AG43" s="14"/>
      <c r="AI43" s="1456"/>
      <c r="AJ43" s="7"/>
      <c r="AK43" s="2293"/>
      <c r="AL43" s="2293"/>
    </row>
    <row r="44" spans="1:38" ht="16.350000000000001" customHeight="1">
      <c r="A44" s="2303" t="s">
        <v>44</v>
      </c>
      <c r="B44" s="2303"/>
      <c r="C44" s="2304"/>
      <c r="D44" s="625"/>
      <c r="E44" s="9"/>
      <c r="F44" s="9"/>
      <c r="G44" s="9"/>
      <c r="H44" s="625"/>
      <c r="I44" s="9"/>
      <c r="J44" s="9"/>
      <c r="K44" s="9"/>
      <c r="L44" s="625"/>
      <c r="M44" s="9"/>
      <c r="N44" s="9"/>
      <c r="O44" s="9"/>
      <c r="P44" s="1448"/>
      <c r="Q44" s="625"/>
      <c r="R44" s="625"/>
      <c r="S44" s="2328"/>
      <c r="T44" s="2328"/>
      <c r="U44" s="14"/>
      <c r="V44" s="625"/>
      <c r="W44" s="9"/>
      <c r="X44" s="9"/>
      <c r="Y44" s="2328"/>
      <c r="Z44" s="2329"/>
      <c r="AA44" s="14"/>
      <c r="AB44" s="630"/>
      <c r="AC44" s="22"/>
      <c r="AD44" s="1452"/>
      <c r="AE44" s="1452"/>
      <c r="AF44" s="2330"/>
      <c r="AG44" s="9"/>
      <c r="AI44" s="1456"/>
      <c r="AJ44" s="7"/>
      <c r="AK44" s="2293"/>
      <c r="AL44" s="2293"/>
    </row>
    <row r="45" spans="1:38" ht="16.350000000000001" customHeight="1">
      <c r="A45" s="2303" t="s">
        <v>45</v>
      </c>
      <c r="B45" s="2303"/>
      <c r="C45" s="2304"/>
      <c r="D45" s="19">
        <f>ROUND(SUM(D20-D42),1)</f>
        <v>-1081.2</v>
      </c>
      <c r="E45" s="1390"/>
      <c r="F45" s="19">
        <f>ROUND(SUM(F20-F42),1)</f>
        <v>-20798.599999999999</v>
      </c>
      <c r="G45" s="1390"/>
      <c r="H45" s="19">
        <f>ROUND(SUM(H20-H42),1)</f>
        <v>593.79999999999995</v>
      </c>
      <c r="I45" s="1390"/>
      <c r="J45" s="19">
        <f>ROUND(SUM(J20-J42),1)</f>
        <v>3699.4</v>
      </c>
      <c r="K45" s="1390"/>
      <c r="L45" s="19">
        <f>ROUND(SUM(L20-L42),1)</f>
        <v>1789.4</v>
      </c>
      <c r="M45" s="1390" t="s">
        <v>15</v>
      </c>
      <c r="N45" s="19">
        <f>ROUND(SUM(N20-N42),1)</f>
        <v>30915.4</v>
      </c>
      <c r="O45" s="1390" t="s">
        <v>15</v>
      </c>
      <c r="P45" s="20">
        <f>ROUND(SUM(P20-P42),1)</f>
        <v>-432.1</v>
      </c>
      <c r="Q45" s="1390" t="s">
        <v>15</v>
      </c>
      <c r="R45" s="20">
        <f>ROUND(SUM(R20-R42),1)</f>
        <v>-3172.6</v>
      </c>
      <c r="S45" s="2334"/>
      <c r="T45" s="2334"/>
      <c r="U45" s="2335"/>
      <c r="V45" s="19">
        <f>ROUND(SUM(V20-V42),1)</f>
        <v>869.9</v>
      </c>
      <c r="W45" s="1390" t="s">
        <v>15</v>
      </c>
      <c r="X45" s="19">
        <f>ROUND(SUM(X20-X42),1)</f>
        <v>10643.6</v>
      </c>
      <c r="Y45" s="2334"/>
      <c r="Z45" s="2336"/>
      <c r="AA45" s="2335"/>
      <c r="AB45" s="1692">
        <f>ROUND(SUM(AB20-AB42),1)</f>
        <v>1007.4</v>
      </c>
      <c r="AC45" s="23"/>
      <c r="AD45" s="1692">
        <f>ROUND(SUM(AD20-AD42),1)</f>
        <v>5690.1</v>
      </c>
      <c r="AE45" s="1508"/>
      <c r="AF45" s="2337"/>
      <c r="AG45" s="19">
        <f>ROUND(SUM(X45-AD45),1)</f>
        <v>4953.5</v>
      </c>
      <c r="AH45" s="2352"/>
      <c r="AI45" s="1455">
        <f>ROUND(SUM((+X45-AD45)/ABS(AD45)),3)</f>
        <v>0.871</v>
      </c>
      <c r="AJ45" s="2305"/>
      <c r="AK45" s="2293"/>
      <c r="AL45" s="2293"/>
    </row>
    <row r="46" spans="1:38" ht="16.350000000000001" customHeight="1">
      <c r="A46" s="2304"/>
      <c r="B46" s="2304"/>
      <c r="C46" s="2304"/>
      <c r="D46" s="626"/>
      <c r="E46" s="9"/>
      <c r="F46" s="14"/>
      <c r="G46" s="9"/>
      <c r="H46" s="1447"/>
      <c r="I46" s="9"/>
      <c r="J46" s="14"/>
      <c r="K46" s="9"/>
      <c r="L46" s="626"/>
      <c r="M46" s="9"/>
      <c r="N46" s="14"/>
      <c r="O46" s="9"/>
      <c r="P46" s="3877"/>
      <c r="Q46" s="625"/>
      <c r="R46" s="626"/>
      <c r="S46" s="2328"/>
      <c r="T46" s="2328"/>
      <c r="U46" s="14"/>
      <c r="V46" s="626"/>
      <c r="W46" s="9"/>
      <c r="X46" s="14"/>
      <c r="Y46" s="2328"/>
      <c r="Z46" s="2329"/>
      <c r="AA46" s="14"/>
      <c r="AB46" s="1447"/>
      <c r="AC46" s="22"/>
      <c r="AD46" s="1452"/>
      <c r="AE46" s="1452"/>
      <c r="AF46" s="2330"/>
      <c r="AG46" s="14"/>
      <c r="AI46" s="1456"/>
      <c r="AJ46" s="7"/>
      <c r="AK46" s="2293"/>
      <c r="AL46" s="2293"/>
    </row>
    <row r="47" spans="1:38" ht="16.350000000000001" customHeight="1">
      <c r="A47" s="2303" t="s">
        <v>46</v>
      </c>
      <c r="B47" s="2303"/>
      <c r="C47" s="2304"/>
      <c r="D47" s="625"/>
      <c r="E47" s="9"/>
      <c r="F47" s="22"/>
      <c r="G47" s="22"/>
      <c r="H47" s="630"/>
      <c r="I47" s="22"/>
      <c r="J47" s="22"/>
      <c r="K47" s="22"/>
      <c r="L47" s="630"/>
      <c r="M47" s="22"/>
      <c r="N47" s="22"/>
      <c r="O47" s="22"/>
      <c r="P47" s="3650"/>
      <c r="Q47" s="630"/>
      <c r="R47" s="1447"/>
      <c r="S47" s="2328"/>
      <c r="T47" s="2328"/>
      <c r="U47" s="14"/>
      <c r="V47" s="625"/>
      <c r="W47" s="9"/>
      <c r="X47" s="22"/>
      <c r="Y47" s="2328"/>
      <c r="Z47" s="2329"/>
      <c r="AA47" s="14"/>
      <c r="AB47" s="630"/>
      <c r="AC47" s="22"/>
      <c r="AD47" s="1452"/>
      <c r="AE47" s="1452"/>
      <c r="AF47" s="2330"/>
      <c r="AG47" s="9"/>
      <c r="AI47" s="1456"/>
      <c r="AJ47" s="7"/>
      <c r="AK47" s="2293"/>
      <c r="AL47" s="2293"/>
    </row>
    <row r="48" spans="1:38" ht="18" customHeight="1">
      <c r="A48" s="2353" t="s">
        <v>47</v>
      </c>
      <c r="B48" s="2304"/>
      <c r="C48" s="2304"/>
      <c r="D48" s="1446">
        <v>0</v>
      </c>
      <c r="E48" s="9"/>
      <c r="F48" s="21">
        <v>0</v>
      </c>
      <c r="G48" s="22"/>
      <c r="H48" s="1446">
        <v>0</v>
      </c>
      <c r="I48" s="22"/>
      <c r="J48" s="21">
        <v>0</v>
      </c>
      <c r="K48" s="22"/>
      <c r="L48" s="1446">
        <v>0</v>
      </c>
      <c r="M48" s="1452"/>
      <c r="N48" s="21">
        <v>0</v>
      </c>
      <c r="O48" s="1452"/>
      <c r="P48" s="1446">
        <f>+'Exhibit I'!Y92</f>
        <v>0</v>
      </c>
      <c r="Q48" s="1447"/>
      <c r="R48" s="1446">
        <f>'Exhibit I'!AF92</f>
        <v>0</v>
      </c>
      <c r="S48" s="2328"/>
      <c r="T48" s="2328"/>
      <c r="U48" s="14"/>
      <c r="V48" s="625">
        <f>ROUND(SUM(D48)+SUM(H48)+SUM(L48)+SUM(P48),1)</f>
        <v>0</v>
      </c>
      <c r="W48" s="17"/>
      <c r="X48" s="9">
        <f>ROUND(SUM(F48)+SUM(J48)+SUM(N48)+SUM(R48),1)</f>
        <v>0</v>
      </c>
      <c r="Y48" s="2328"/>
      <c r="Z48" s="2329"/>
      <c r="AA48" s="14"/>
      <c r="AB48" s="2086">
        <v>0</v>
      </c>
      <c r="AC48" s="21"/>
      <c r="AD48" s="3663">
        <f>'Exhibit I'!AI92</f>
        <v>0</v>
      </c>
      <c r="AE48" s="17"/>
      <c r="AF48" s="2354"/>
      <c r="AG48" s="14">
        <f>X48-AD48</f>
        <v>0</v>
      </c>
      <c r="AH48" s="2355"/>
      <c r="AI48" s="1453">
        <f>ROUND(IF(AD48=0,0,AG48/ABS(AD48)),3)</f>
        <v>0</v>
      </c>
      <c r="AJ48" s="2356"/>
      <c r="AK48" s="2293"/>
      <c r="AL48" s="2293"/>
    </row>
    <row r="49" spans="1:40" ht="18" customHeight="1">
      <c r="A49" s="2353" t="s">
        <v>48</v>
      </c>
      <c r="B49" s="2357" t="s">
        <v>1268</v>
      </c>
      <c r="C49" s="2353"/>
      <c r="D49" s="630">
        <f>+'Exhibit F'!X124+'Exhibit F'!X125+'Exhibit F'!X126+'Exhibit F'!X127</f>
        <v>1642.2000000000019</v>
      </c>
      <c r="E49" s="9"/>
      <c r="F49" s="22">
        <f>+'Exhibit F'!AC124+'Exhibit F'!AC125+'Exhibit F'!AC126+'Exhibit F'!AC127</f>
        <v>31042.000000000004</v>
      </c>
      <c r="G49" s="22"/>
      <c r="H49" s="630">
        <f>'Exhibit G'!X112-30.5</f>
        <v>92.5</v>
      </c>
      <c r="I49" s="22"/>
      <c r="J49" s="22">
        <f>+'Exhibit G'!AD112</f>
        <v>2157.1999999999998</v>
      </c>
      <c r="K49" s="1452"/>
      <c r="L49" s="1447">
        <f>+'Exhibit H'!V64</f>
        <v>219</v>
      </c>
      <c r="M49" s="1452"/>
      <c r="N49" s="22">
        <f>+'Exhibit H'!AA64</f>
        <v>2712.3</v>
      </c>
      <c r="O49" s="1452"/>
      <c r="P49" s="1446">
        <f>'Exhibit I'!Y93-102.1</f>
        <v>378.8000000000003</v>
      </c>
      <c r="Q49" s="1447"/>
      <c r="R49" s="1447">
        <f>+'Exhibit I'!AF93</f>
        <v>4050.6</v>
      </c>
      <c r="S49" s="2358"/>
      <c r="T49" s="2358"/>
      <c r="U49" s="1452"/>
      <c r="V49" s="625">
        <f>ROUND(SUM(D49)+SUM(H49)+SUM(L49)+SUM(P49),1)</f>
        <v>2332.5</v>
      </c>
      <c r="W49" s="22" t="s">
        <v>15</v>
      </c>
      <c r="X49" s="9">
        <f>ROUND(SUM(F49)+SUM(J49)+SUM(N49)+SUM(R49),1)</f>
        <v>39962.1</v>
      </c>
      <c r="Y49" s="2358"/>
      <c r="Z49" s="2359"/>
      <c r="AA49" s="1452"/>
      <c r="AB49" s="2086">
        <v>953.7</v>
      </c>
      <c r="AC49" s="22"/>
      <c r="AD49" s="1452">
        <f>'Exhibit F'!AF124+'Exhibit F'!AF125+'Exhibit F'!AF126+'Exhibit F'!AF127+'Exhibit G'!AG112+'Exhibit H'!AD64+'Exhibit I'!AI93</f>
        <v>33447.700000000004</v>
      </c>
      <c r="AE49" s="1452"/>
      <c r="AF49" s="2330"/>
      <c r="AG49" s="14">
        <f>ROUND(SUM(X49-AD49),1)</f>
        <v>6514.4</v>
      </c>
      <c r="AH49" s="2355"/>
      <c r="AI49" s="1453">
        <f>ROUND(SUM((+X49-AD49)/ABS(AD49)),3)</f>
        <v>0.19500000000000001</v>
      </c>
      <c r="AJ49" s="7"/>
      <c r="AK49" s="2293"/>
      <c r="AL49" s="2293"/>
    </row>
    <row r="50" spans="1:40" ht="18" customHeight="1">
      <c r="A50" s="2353" t="s">
        <v>49</v>
      </c>
      <c r="B50" s="2357" t="s">
        <v>1268</v>
      </c>
      <c r="C50" s="2353"/>
      <c r="D50" s="1447">
        <f>+'Exhibit F'!X128+'Exhibit F'!X130+'Exhibit F'!X131+'Exhibit F'!X129</f>
        <v>-415.69999999999936</v>
      </c>
      <c r="E50" s="22"/>
      <c r="F50" s="22">
        <f>+'Exhibit F'!AC128+'Exhibit F'!AC130+'Exhibit F'!AC131+'Exhibit F'!AC129</f>
        <v>-6485.7999999999993</v>
      </c>
      <c r="G50" s="22"/>
      <c r="H50" s="630">
        <f>'Exhibit G'!X113+30.5</f>
        <v>-275.60000000000019</v>
      </c>
      <c r="I50" s="22"/>
      <c r="J50" s="22">
        <f>+'Exhibit G'!AD113</f>
        <v>-2112.9</v>
      </c>
      <c r="K50" s="22"/>
      <c r="L50" s="1447">
        <f>+'Exhibit H'!V65</f>
        <v>-1579.3000000000029</v>
      </c>
      <c r="M50" s="1452"/>
      <c r="N50" s="22">
        <f>+'Exhibit H'!AA65</f>
        <v>-30681.9</v>
      </c>
      <c r="O50" s="1452"/>
      <c r="P50" s="1446">
        <f>'Exhibit I'!Y94+102.1</f>
        <v>-66.69999999999996</v>
      </c>
      <c r="Q50" s="630"/>
      <c r="R50" s="1447">
        <f>+'Exhibit I'!AF94</f>
        <v>-807</v>
      </c>
      <c r="S50" s="2358"/>
      <c r="T50" s="2358"/>
      <c r="U50" s="1452"/>
      <c r="V50" s="625">
        <f>ROUND(SUM(D50)+SUM(H50)+SUM(L50)+SUM(P50),1)</f>
        <v>-2337.3000000000002</v>
      </c>
      <c r="W50" s="2360" t="s">
        <v>15</v>
      </c>
      <c r="X50" s="9">
        <f>ROUND(SUM(F50)+SUM(J50)+SUM(N50)+SUM(R50),1)</f>
        <v>-40087.599999999999</v>
      </c>
      <c r="Y50" s="2358"/>
      <c r="Z50" s="2359"/>
      <c r="AA50" s="1452"/>
      <c r="AB50" s="2086">
        <v>-956.69999999999993</v>
      </c>
      <c r="AC50" s="22"/>
      <c r="AD50" s="1452">
        <f>'Exhibit F'!AF128+'Exhibit F'!AF129+'Exhibit F'!AF130+'Exhibit F'!AF131+'Exhibit G'!AG113+'Exhibit H'!AD65+'Exhibit I'!AI94</f>
        <v>-33495.200000000004</v>
      </c>
      <c r="AE50" s="1452"/>
      <c r="AF50" s="2330"/>
      <c r="AG50" s="2361">
        <f>ROUND(SUM(X50-AD50),1)*-1</f>
        <v>6592.4</v>
      </c>
      <c r="AI50" s="1454">
        <f>-ROUND(SUM((+X50-AD50)/ABS(AD50)),3)</f>
        <v>0.19700000000000001</v>
      </c>
      <c r="AJ50" s="7"/>
      <c r="AK50" s="2293"/>
      <c r="AL50" s="2293"/>
    </row>
    <row r="51" spans="1:40" ht="18" customHeight="1">
      <c r="A51" s="2303" t="s">
        <v>50</v>
      </c>
      <c r="B51" s="2303"/>
      <c r="C51" s="2304"/>
      <c r="D51" s="12">
        <f>ROUND(SUM(D48:D50),1)</f>
        <v>1226.5</v>
      </c>
      <c r="E51" s="9"/>
      <c r="F51" s="1596">
        <f>ROUND(SUM(F48:F50),1)</f>
        <v>24556.2</v>
      </c>
      <c r="G51" s="23"/>
      <c r="H51" s="1596">
        <f>ROUND(SUM(H48:H50),1)</f>
        <v>-183.1</v>
      </c>
      <c r="I51" s="23"/>
      <c r="J51" s="1596">
        <f>ROUND(SUM(J48:J50),1)</f>
        <v>44.3</v>
      </c>
      <c r="K51" s="23"/>
      <c r="L51" s="1596">
        <f>ROUND(SUM(L48:L50),1)</f>
        <v>-1360.3</v>
      </c>
      <c r="M51" s="23"/>
      <c r="N51" s="1596">
        <f>ROUND(SUM(N48:N50),1)</f>
        <v>-27969.599999999999</v>
      </c>
      <c r="O51" s="23"/>
      <c r="P51" s="1596">
        <f>ROUND(SUM(P48:P50),1)</f>
        <v>312.10000000000002</v>
      </c>
      <c r="Q51" s="23"/>
      <c r="R51" s="1596">
        <f>ROUND(SUM(R48:R50),1)</f>
        <v>3243.6</v>
      </c>
      <c r="S51" s="2334"/>
      <c r="T51" s="2334"/>
      <c r="U51" s="2335"/>
      <c r="V51" s="1533">
        <f>ROUND(SUM(V48+V49+V50),1)</f>
        <v>-4.8</v>
      </c>
      <c r="W51" s="1390"/>
      <c r="X51" s="1533">
        <f>ROUND(SUM(+X48+X49+X50),1)</f>
        <v>-125.5</v>
      </c>
      <c r="Y51" s="2334"/>
      <c r="Z51" s="2336"/>
      <c r="AA51" s="2335"/>
      <c r="AB51" s="2362">
        <f>ROUND(SUM(+AB48+AB49+AB50),1)</f>
        <v>-3</v>
      </c>
      <c r="AC51" s="23"/>
      <c r="AD51" s="2362">
        <f>ROUND(SUM(+AD48+AD49+AD50),1)</f>
        <v>-47.5</v>
      </c>
      <c r="AE51" s="2363"/>
      <c r="AF51" s="2337"/>
      <c r="AG51" s="11">
        <f>ROUND(SUM(+AG49-AG50+AG48),1)</f>
        <v>-78</v>
      </c>
      <c r="AH51" s="2338"/>
      <c r="AI51" s="1455">
        <f>-ROUND(SUM(AG51/AD51),3)</f>
        <v>-1.6419999999999999</v>
      </c>
      <c r="AJ51" s="2305"/>
      <c r="AK51" s="2293"/>
      <c r="AL51" s="2293"/>
    </row>
    <row r="52" spans="1:40" ht="16.350000000000001" customHeight="1">
      <c r="A52" s="2304"/>
      <c r="B52" s="2304"/>
      <c r="C52" s="2304"/>
      <c r="D52" s="626"/>
      <c r="E52" s="9"/>
      <c r="F52" s="1452"/>
      <c r="G52" s="22"/>
      <c r="H52" s="1447"/>
      <c r="I52" s="22"/>
      <c r="J52" s="1452"/>
      <c r="K52" s="22"/>
      <c r="L52" s="1447"/>
      <c r="M52" s="22"/>
      <c r="N52" s="1452"/>
      <c r="O52" s="22"/>
      <c r="P52" s="1447"/>
      <c r="Q52" s="630"/>
      <c r="R52" s="1447"/>
      <c r="S52" s="2328"/>
      <c r="T52" s="2328"/>
      <c r="U52" s="14"/>
      <c r="V52" s="626"/>
      <c r="W52" s="9"/>
      <c r="X52" s="14"/>
      <c r="Y52" s="2328"/>
      <c r="Z52" s="2329"/>
      <c r="AA52" s="14"/>
      <c r="AB52" s="1447"/>
      <c r="AC52" s="22"/>
      <c r="AD52" s="1452"/>
      <c r="AE52" s="1452"/>
      <c r="AF52" s="2330"/>
      <c r="AG52" s="14"/>
      <c r="AI52" s="1456"/>
      <c r="AJ52" s="7"/>
      <c r="AK52" s="2293"/>
      <c r="AL52" s="2293"/>
    </row>
    <row r="53" spans="1:40" ht="18" customHeight="1">
      <c r="A53" s="2302" t="s">
        <v>44</v>
      </c>
      <c r="B53" s="2303"/>
      <c r="C53" s="2304"/>
      <c r="D53" s="625"/>
      <c r="E53" s="9"/>
      <c r="F53" s="9"/>
      <c r="G53" s="9"/>
      <c r="H53" s="625"/>
      <c r="I53" s="9"/>
      <c r="J53" s="9"/>
      <c r="K53" s="9"/>
      <c r="L53" s="625"/>
      <c r="M53" s="9"/>
      <c r="N53" s="9"/>
      <c r="O53" s="9"/>
      <c r="P53" s="625"/>
      <c r="Q53" s="625"/>
      <c r="R53" s="625"/>
      <c r="S53" s="2328"/>
      <c r="T53" s="2328"/>
      <c r="U53" s="14"/>
      <c r="V53" s="625"/>
      <c r="W53" s="9"/>
      <c r="X53" s="9"/>
      <c r="Y53" s="2328"/>
      <c r="Z53" s="2329"/>
      <c r="AA53" s="14"/>
      <c r="AB53" s="630"/>
      <c r="AC53" s="22"/>
      <c r="AD53" s="1452"/>
      <c r="AE53" s="1452"/>
      <c r="AF53" s="2330"/>
      <c r="AG53" s="9"/>
      <c r="AI53" s="1457"/>
      <c r="AJ53" s="7"/>
      <c r="AK53" s="2293"/>
      <c r="AL53" s="2293"/>
    </row>
    <row r="54" spans="1:40" ht="18" customHeight="1">
      <c r="A54" s="2302" t="s">
        <v>51</v>
      </c>
      <c r="B54" s="2302"/>
      <c r="C54" s="2353"/>
      <c r="D54" s="630"/>
      <c r="E54" s="22"/>
      <c r="F54" s="22"/>
      <c r="G54" s="22"/>
      <c r="H54" s="625"/>
      <c r="I54" s="9"/>
      <c r="J54" s="9"/>
      <c r="K54" s="9"/>
      <c r="L54" s="625"/>
      <c r="M54" s="9"/>
      <c r="N54" s="9"/>
      <c r="O54" s="9"/>
      <c r="P54" s="630"/>
      <c r="Q54" s="625"/>
      <c r="R54" s="625"/>
      <c r="S54" s="2328"/>
      <c r="T54" s="2328"/>
      <c r="U54" s="14"/>
      <c r="V54" s="625" t="s">
        <v>15</v>
      </c>
      <c r="W54" s="9"/>
      <c r="X54" s="9"/>
      <c r="Y54" s="2328"/>
      <c r="Z54" s="2329"/>
      <c r="AA54" s="14"/>
      <c r="AB54" s="630"/>
      <c r="AC54" s="22"/>
      <c r="AD54" s="1452"/>
      <c r="AE54" s="1452"/>
      <c r="AF54" s="2330"/>
      <c r="AG54" s="9"/>
      <c r="AI54" s="1456"/>
      <c r="AJ54" s="7"/>
      <c r="AK54" s="2293"/>
      <c r="AL54" s="2293"/>
    </row>
    <row r="55" spans="1:40" ht="18" customHeight="1">
      <c r="A55" s="2302" t="s">
        <v>52</v>
      </c>
      <c r="B55" s="2302"/>
      <c r="C55" s="2353"/>
      <c r="D55" s="23">
        <f>ROUND(SUM(D45+D51),1)</f>
        <v>145.30000000000001</v>
      </c>
      <c r="E55" s="23"/>
      <c r="F55" s="23">
        <f>ROUND(SUM(F45)+SUM(F51),1)</f>
        <v>3757.6</v>
      </c>
      <c r="G55" s="23"/>
      <c r="H55" s="23">
        <f>ROUND(SUM(H45+H51),1)</f>
        <v>410.7</v>
      </c>
      <c r="I55" s="23"/>
      <c r="J55" s="23">
        <f>ROUND(SUM(J45)+SUM(J51),1)</f>
        <v>3743.7</v>
      </c>
      <c r="K55" s="23"/>
      <c r="L55" s="23">
        <f>ROUND(SUM(L45+L51),1)</f>
        <v>429.1</v>
      </c>
      <c r="M55" s="23"/>
      <c r="N55" s="23">
        <f>ROUND(SUM(N45+N51),1)</f>
        <v>2945.8</v>
      </c>
      <c r="O55" s="23"/>
      <c r="P55" s="23">
        <f>ROUND(SUM(P45+P51),1)</f>
        <v>-120</v>
      </c>
      <c r="Q55" s="23"/>
      <c r="R55" s="23">
        <f>ROUND(SUM(R45+R51),1)</f>
        <v>71</v>
      </c>
      <c r="S55" s="2364"/>
      <c r="T55" s="2364"/>
      <c r="U55" s="1508"/>
      <c r="V55" s="23">
        <f>ROUND(SUM(V45)+SUM(V51),1)</f>
        <v>865.1</v>
      </c>
      <c r="W55" s="23"/>
      <c r="X55" s="23">
        <f>ROUND(SUM(X45)+SUM(X51),1)</f>
        <v>10518.1</v>
      </c>
      <c r="Y55" s="2364"/>
      <c r="Z55" s="2365"/>
      <c r="AA55" s="1508"/>
      <c r="AB55" s="23">
        <f>ROUND(SUM(AB45)+SUM(AB51),1)</f>
        <v>1004.4</v>
      </c>
      <c r="AC55" s="23"/>
      <c r="AD55" s="23">
        <f>ROUND(SUM(AD45)+SUM(AD51),1)</f>
        <v>5642.6</v>
      </c>
      <c r="AE55" s="1508"/>
      <c r="AF55" s="2337"/>
      <c r="AG55" s="2335">
        <f>ROUND(SUM(+AG45+AG51),1)</f>
        <v>4875.5</v>
      </c>
      <c r="AH55" s="2338"/>
      <c r="AI55" s="1521">
        <f>ROUND(SUM((+X55-AD55)/ABS(AD55)),3)</f>
        <v>0.86399999999999999</v>
      </c>
      <c r="AJ55" s="2366"/>
      <c r="AK55" s="2367"/>
      <c r="AL55" s="2293"/>
    </row>
    <row r="56" spans="1:40" ht="16.350000000000001" customHeight="1">
      <c r="A56" s="2303"/>
      <c r="B56" s="2303"/>
      <c r="C56" s="2304"/>
      <c r="D56" s="630"/>
      <c r="E56" s="22"/>
      <c r="F56" s="1452"/>
      <c r="G56" s="22"/>
      <c r="H56" s="625"/>
      <c r="I56" s="9"/>
      <c r="J56" s="22"/>
      <c r="K56" s="22"/>
      <c r="L56" s="630"/>
      <c r="M56" s="22"/>
      <c r="N56" s="22"/>
      <c r="O56" s="22"/>
      <c r="P56" s="1447"/>
      <c r="Q56" s="625"/>
      <c r="R56" s="630"/>
      <c r="S56" s="2328"/>
      <c r="T56" s="2328"/>
      <c r="U56" s="14"/>
      <c r="V56" s="625"/>
      <c r="W56" s="9"/>
      <c r="X56" s="9"/>
      <c r="Y56" s="2358"/>
      <c r="Z56" s="2359"/>
      <c r="AA56" s="1452"/>
      <c r="AB56" s="630"/>
      <c r="AC56" s="22"/>
      <c r="AD56" s="1452"/>
      <c r="AE56" s="1452"/>
      <c r="AF56" s="2330"/>
      <c r="AG56" s="9"/>
      <c r="AI56" s="1456"/>
      <c r="AJ56" s="7"/>
      <c r="AK56" s="2293"/>
      <c r="AL56" s="2293"/>
    </row>
    <row r="57" spans="1:40" s="2288" customFormat="1" ht="18" customHeight="1">
      <c r="A57" s="2369" t="s">
        <v>53</v>
      </c>
      <c r="B57" s="3226"/>
      <c r="C57" s="2353"/>
      <c r="D57" s="1692">
        <f>+'Exhibit F'!X12</f>
        <v>10818</v>
      </c>
      <c r="E57" s="23"/>
      <c r="F57" s="1692">
        <f>'Exhibit F'!D12</f>
        <v>7205.7</v>
      </c>
      <c r="G57" s="23"/>
      <c r="H57" s="1692">
        <f>+'Exhibit G'!X13</f>
        <v>7175.4</v>
      </c>
      <c r="I57" s="23"/>
      <c r="J57" s="1692">
        <f>'Exhibit G'!D13</f>
        <v>3842.4000000000005</v>
      </c>
      <c r="K57" s="23"/>
      <c r="L57" s="1692">
        <f>'Exhibit H'!V12</f>
        <v>2581.5</v>
      </c>
      <c r="M57" s="23"/>
      <c r="N57" s="1692">
        <f>'Exhibit H'!B12</f>
        <v>64.8</v>
      </c>
      <c r="O57" s="1508"/>
      <c r="P57" s="1692">
        <f>+'Exhibit I'!Y15</f>
        <v>-946.9</v>
      </c>
      <c r="Q57" s="1508"/>
      <c r="R57" s="1692">
        <f>'Exhibit I'!E15</f>
        <v>-1137.9000000000001</v>
      </c>
      <c r="S57" s="2364"/>
      <c r="T57" s="2364"/>
      <c r="U57" s="1508"/>
      <c r="V57" s="1692">
        <f>D57+H57+L57+P57</f>
        <v>19628</v>
      </c>
      <c r="W57" s="23"/>
      <c r="X57" s="1692">
        <f>F57+J57+N57+R57</f>
        <v>9975</v>
      </c>
      <c r="Y57" s="2364"/>
      <c r="Z57" s="2365"/>
      <c r="AA57" s="1508"/>
      <c r="AB57" s="3724">
        <v>17387.199999999997</v>
      </c>
      <c r="AC57" s="23"/>
      <c r="AD57" s="1692">
        <f>'Exhibit F'!AF12+'Exhibit G'!AG13+'Exhibit H'!AD12+'Exhibit I'!AI15</f>
        <v>12749</v>
      </c>
      <c r="AE57" s="1508"/>
      <c r="AF57" s="3202"/>
      <c r="AG57" s="1692">
        <f>ROUND(SUM(X57-AD57),1)</f>
        <v>-2774</v>
      </c>
      <c r="AH57" s="3193"/>
      <c r="AI57" s="3203">
        <f>ROUND(SUM((+X57-AD57)/ABS(AD57)),3)</f>
        <v>-0.218</v>
      </c>
      <c r="AJ57" s="2366"/>
      <c r="AK57" s="3200"/>
      <c r="AL57" s="3200"/>
    </row>
    <row r="58" spans="1:40" s="2288" customFormat="1" ht="16.350000000000001" customHeight="1">
      <c r="A58" s="2353"/>
      <c r="B58" s="2353"/>
      <c r="C58" s="2353"/>
      <c r="D58" s="1447"/>
      <c r="E58" s="22"/>
      <c r="F58" s="1452"/>
      <c r="G58" s="22"/>
      <c r="H58" s="1447"/>
      <c r="I58" s="22"/>
      <c r="J58" s="1452"/>
      <c r="K58" s="22"/>
      <c r="L58" s="1447"/>
      <c r="M58" s="22"/>
      <c r="N58" s="1452"/>
      <c r="O58" s="22"/>
      <c r="P58" s="1447"/>
      <c r="Q58" s="630"/>
      <c r="R58" s="1447"/>
      <c r="S58" s="2358"/>
      <c r="T58" s="2358"/>
      <c r="U58" s="1452"/>
      <c r="V58" s="1447"/>
      <c r="W58" s="22"/>
      <c r="X58" s="1452"/>
      <c r="Y58" s="2358"/>
      <c r="Z58" s="2359"/>
      <c r="AA58" s="1452"/>
      <c r="AB58" s="1447"/>
      <c r="AC58" s="22"/>
      <c r="AD58" s="1452"/>
      <c r="AE58" s="1452"/>
      <c r="AF58" s="3201"/>
      <c r="AG58" s="1452"/>
      <c r="AI58" s="3199"/>
      <c r="AJ58" s="2314"/>
      <c r="AK58" s="3200"/>
      <c r="AL58" s="3200"/>
    </row>
    <row r="59" spans="1:40" s="2288" customFormat="1" ht="18" customHeight="1" thickBot="1">
      <c r="A59" s="2369" t="s">
        <v>54</v>
      </c>
      <c r="B59" s="2370"/>
      <c r="C59" s="3191"/>
      <c r="D59" s="25">
        <f>ROUND(SUM(D55+D57),1)</f>
        <v>10963.3</v>
      </c>
      <c r="E59" s="2371"/>
      <c r="F59" s="25">
        <f>ROUND(SUM(F55+F57),1)</f>
        <v>10963.3</v>
      </c>
      <c r="G59" s="2371"/>
      <c r="H59" s="25">
        <f>ROUND(SUM(H55+H57),1)</f>
        <v>7586.1</v>
      </c>
      <c r="I59" s="2371"/>
      <c r="J59" s="25">
        <f>ROUND(SUM(J55)+SUM(J57),1)</f>
        <v>7586.1</v>
      </c>
      <c r="K59" s="2371"/>
      <c r="L59" s="25">
        <f>ROUND(SUM(L55+L57),1)</f>
        <v>3010.6</v>
      </c>
      <c r="M59" s="2371"/>
      <c r="N59" s="25">
        <f>ROUND(SUM(N55+N57),1)</f>
        <v>3010.6</v>
      </c>
      <c r="O59" s="2371"/>
      <c r="P59" s="25">
        <f>ROUND(SUM(P55+P57),1)</f>
        <v>-1066.9000000000001</v>
      </c>
      <c r="Q59" s="2371"/>
      <c r="R59" s="25">
        <f>ROUND(SUM(R55+R57),1)</f>
        <v>-1066.9000000000001</v>
      </c>
      <c r="S59" s="2372"/>
      <c r="T59" s="2372"/>
      <c r="U59" s="2373"/>
      <c r="V59" s="25">
        <f>ROUND(SUM(V55+V57),1)</f>
        <v>20493.099999999999</v>
      </c>
      <c r="W59" s="2371"/>
      <c r="X59" s="25">
        <f>ROUND(SUM(X55+X57),1)</f>
        <v>20493.099999999999</v>
      </c>
      <c r="Y59" s="2372"/>
      <c r="Z59" s="2374"/>
      <c r="AA59" s="2373"/>
      <c r="AB59" s="25">
        <f>ROUND(SUM(AB55+AB57),1)</f>
        <v>18391.599999999999</v>
      </c>
      <c r="AC59" s="2371"/>
      <c r="AD59" s="25">
        <f>ROUND(SUM(AD55+AD57),1)</f>
        <v>18391.599999999999</v>
      </c>
      <c r="AE59" s="2373"/>
      <c r="AF59" s="3192"/>
      <c r="AG59" s="25">
        <f>ROUND(SUM(AG55+AG57),1)</f>
        <v>2101.5</v>
      </c>
      <c r="AH59" s="3193"/>
      <c r="AI59" s="3194">
        <f>ROUND(SUM((+X59-AD59)/ABS(AD59)),3)</f>
        <v>0.114</v>
      </c>
      <c r="AJ59" s="2376"/>
      <c r="AK59" s="3195"/>
      <c r="AL59" s="3195"/>
      <c r="AM59" s="3196"/>
      <c r="AN59" s="3193"/>
    </row>
    <row r="60" spans="1:40" s="2288" customFormat="1" ht="15.75" thickTop="1">
      <c r="A60" s="3197"/>
      <c r="B60" s="3197"/>
      <c r="C60" s="3197"/>
      <c r="D60" s="2380"/>
      <c r="E60" s="2381"/>
      <c r="F60" s="2381"/>
      <c r="G60" s="2381"/>
      <c r="H60" s="2380"/>
      <c r="I60" s="2381"/>
      <c r="J60" s="2381"/>
      <c r="K60" s="2381"/>
      <c r="L60" s="2380"/>
      <c r="M60" s="2381"/>
      <c r="N60" s="2381"/>
      <c r="O60" s="2381"/>
      <c r="P60" s="2381"/>
      <c r="Q60" s="2381"/>
      <c r="R60" s="2381"/>
      <c r="S60" s="2381"/>
      <c r="T60" s="2381"/>
      <c r="U60" s="2381"/>
      <c r="V60" s="2380"/>
      <c r="W60" s="2381"/>
      <c r="X60" s="2381"/>
      <c r="Y60" s="2381"/>
      <c r="Z60" s="2381"/>
      <c r="AA60" s="2381"/>
      <c r="AB60" s="2380"/>
      <c r="AC60" s="3539"/>
      <c r="AD60" s="2381"/>
      <c r="AE60" s="2381"/>
      <c r="AF60" s="2381"/>
      <c r="AG60" s="2381"/>
      <c r="AI60" s="3198"/>
      <c r="AJ60" s="3199"/>
      <c r="AK60" s="3200"/>
      <c r="AL60" s="3200"/>
    </row>
    <row r="61" spans="1:40" ht="15.75">
      <c r="A61" s="2383"/>
      <c r="B61" s="2352"/>
      <c r="C61" s="2352"/>
      <c r="D61" s="2385"/>
      <c r="E61" s="2394"/>
      <c r="F61" s="2394"/>
      <c r="G61" s="2394"/>
      <c r="H61" s="2384"/>
      <c r="I61" s="2355"/>
      <c r="J61" s="2355"/>
      <c r="K61" s="2355"/>
      <c r="L61" s="2384"/>
      <c r="M61" s="2394"/>
      <c r="N61" s="2394"/>
      <c r="O61" s="2355"/>
      <c r="P61" s="2383" t="s">
        <v>15</v>
      </c>
      <c r="Q61" s="2355"/>
      <c r="R61" s="2355"/>
      <c r="S61" s="2355"/>
      <c r="T61" s="2355"/>
      <c r="U61" s="2355"/>
      <c r="V61" s="2384"/>
      <c r="W61" s="2355"/>
      <c r="X61" s="2355"/>
      <c r="Y61" s="2355"/>
      <c r="Z61" s="2355"/>
      <c r="AA61" s="2355"/>
      <c r="AB61" s="2385"/>
      <c r="AC61" s="2394"/>
      <c r="AI61" s="2382"/>
      <c r="AJ61" s="1456"/>
      <c r="AK61" s="2293"/>
      <c r="AL61" s="2293"/>
    </row>
    <row r="62" spans="1:40" ht="15">
      <c r="A62" s="2355"/>
      <c r="B62" s="2355"/>
      <c r="C62" s="2355"/>
      <c r="D62" s="2384"/>
      <c r="E62" s="2355"/>
      <c r="F62" s="2355"/>
      <c r="G62" s="2355"/>
      <c r="H62" s="2384"/>
      <c r="I62" s="2355"/>
      <c r="J62" s="2355"/>
      <c r="K62" s="2355"/>
      <c r="L62" s="2384"/>
      <c r="M62" s="2355"/>
      <c r="N62" s="2355"/>
      <c r="O62" s="2355"/>
      <c r="P62" s="2355" t="s">
        <v>15</v>
      </c>
      <c r="Q62" s="2355"/>
      <c r="R62" s="2355"/>
      <c r="S62" s="2355"/>
      <c r="T62" s="2355"/>
      <c r="U62" s="2355"/>
      <c r="V62" s="2384"/>
      <c r="W62" s="2355"/>
      <c r="X62" s="2355"/>
      <c r="Y62" s="2355"/>
      <c r="Z62" s="2355"/>
      <c r="AA62" s="2355"/>
      <c r="AB62" s="3582"/>
      <c r="AC62" s="2394"/>
      <c r="AD62" s="2386"/>
      <c r="AI62" s="2382"/>
      <c r="AJ62" s="1456"/>
      <c r="AK62" s="2293"/>
      <c r="AL62" s="2293"/>
    </row>
    <row r="63" spans="1:40" ht="15">
      <c r="A63" s="2355"/>
      <c r="B63" s="2355"/>
      <c r="C63" s="2355"/>
      <c r="D63" s="2384"/>
      <c r="E63" s="2355"/>
      <c r="F63" s="2355"/>
      <c r="G63" s="2355"/>
      <c r="H63" s="2384"/>
      <c r="I63" s="2355"/>
      <c r="J63" s="2355"/>
      <c r="K63" s="2355"/>
      <c r="L63" s="2384"/>
      <c r="M63" s="2355"/>
      <c r="N63" s="2355"/>
      <c r="O63" s="2355"/>
      <c r="P63" s="2355" t="s">
        <v>15</v>
      </c>
      <c r="Q63" s="2355"/>
      <c r="R63" s="2355"/>
      <c r="S63" s="2355"/>
      <c r="T63" s="2355"/>
      <c r="U63" s="2355"/>
      <c r="V63" s="2384"/>
      <c r="W63" s="2355"/>
      <c r="X63" s="2355"/>
      <c r="Y63" s="2355"/>
      <c r="Z63" s="2355"/>
      <c r="AA63" s="2355"/>
      <c r="AB63" s="3582"/>
      <c r="AC63" s="2394"/>
      <c r="AI63" s="2387"/>
      <c r="AJ63" s="1456"/>
      <c r="AK63" s="2293"/>
      <c r="AL63" s="2293"/>
    </row>
    <row r="64" spans="1:40" ht="15.75">
      <c r="A64" s="2388"/>
      <c r="B64" s="2355"/>
      <c r="C64" s="2355"/>
      <c r="D64" s="2384"/>
      <c r="E64" s="2355"/>
      <c r="F64" s="2355"/>
      <c r="G64" s="2355"/>
      <c r="H64" s="2384"/>
      <c r="I64" s="2355"/>
      <c r="J64" s="2355"/>
      <c r="K64" s="2355"/>
      <c r="L64" s="2384"/>
      <c r="M64" s="2355"/>
      <c r="N64" s="2355"/>
      <c r="O64" s="2355"/>
      <c r="P64" s="2355"/>
      <c r="Q64" s="2355"/>
      <c r="R64" s="2355"/>
      <c r="S64" s="2355"/>
      <c r="T64" s="2355"/>
      <c r="U64" s="2355"/>
      <c r="V64" s="2384"/>
      <c r="W64" s="2355"/>
      <c r="X64" s="2355"/>
      <c r="Y64" s="2355"/>
      <c r="Z64" s="2355"/>
      <c r="AA64" s="2355"/>
      <c r="AB64" s="2385"/>
      <c r="AC64" s="2394"/>
      <c r="AI64" s="2387"/>
      <c r="AJ64" s="2293"/>
      <c r="AK64" s="2293"/>
      <c r="AL64" s="2293"/>
    </row>
    <row r="65" spans="1:38" ht="15.75">
      <c r="A65" s="2388"/>
      <c r="B65" s="2355"/>
      <c r="C65" s="2355"/>
      <c r="D65" s="2384"/>
      <c r="E65" s="2355"/>
      <c r="F65" s="2355"/>
      <c r="G65" s="2355"/>
      <c r="H65" s="2384"/>
      <c r="I65" s="2355"/>
      <c r="J65" s="2355"/>
      <c r="K65" s="2355"/>
      <c r="L65" s="2384"/>
      <c r="M65" s="2355"/>
      <c r="N65" s="2355"/>
      <c r="O65" s="2355"/>
      <c r="P65" s="2355"/>
      <c r="Q65" s="2355"/>
      <c r="R65" s="2355"/>
      <c r="S65" s="2355"/>
      <c r="T65" s="2355"/>
      <c r="U65" s="2355"/>
      <c r="V65" s="2384"/>
      <c r="W65" s="2355"/>
      <c r="X65" s="2355"/>
      <c r="Y65" s="2355"/>
      <c r="Z65" s="2355"/>
      <c r="AA65" s="2355"/>
      <c r="AB65" s="3582"/>
      <c r="AC65" s="2394"/>
      <c r="AI65" s="2387"/>
      <c r="AJ65" s="2293" t="s">
        <v>15</v>
      </c>
      <c r="AK65" s="2293"/>
      <c r="AL65" s="2293"/>
    </row>
    <row r="66" spans="1:38" ht="15.75">
      <c r="A66" s="2389"/>
      <c r="B66" s="2390"/>
      <c r="C66" s="2383"/>
      <c r="D66" s="2391"/>
      <c r="E66" s="2392"/>
      <c r="F66" s="2392"/>
      <c r="G66" s="2392"/>
      <c r="H66" s="2391"/>
      <c r="I66" s="2392"/>
      <c r="J66" s="2392"/>
      <c r="K66" s="2392"/>
      <c r="L66" s="2391"/>
      <c r="M66" s="2355"/>
      <c r="N66" s="2355"/>
      <c r="O66" s="2355"/>
      <c r="P66" s="2355"/>
      <c r="Q66" s="2355"/>
      <c r="R66" s="2355"/>
      <c r="S66" s="2355"/>
      <c r="T66" s="2355"/>
      <c r="U66" s="2355"/>
      <c r="V66" s="2384"/>
      <c r="W66" s="2355"/>
      <c r="X66" s="2355"/>
      <c r="Y66" s="2355"/>
      <c r="Z66" s="2355"/>
      <c r="AA66" s="2355"/>
      <c r="AB66" s="2385"/>
      <c r="AC66" s="2394"/>
      <c r="AI66" s="2387"/>
      <c r="AJ66" s="2293"/>
      <c r="AK66" s="2293"/>
      <c r="AL66" s="2293"/>
    </row>
    <row r="67" spans="1:38" ht="15">
      <c r="A67" s="1456"/>
      <c r="B67" s="1456"/>
      <c r="C67" s="1456"/>
      <c r="D67" s="2393"/>
      <c r="E67" s="1456"/>
      <c r="F67" s="1456"/>
      <c r="G67" s="1456"/>
      <c r="H67" s="2393"/>
      <c r="I67" s="1456"/>
      <c r="J67" s="1456"/>
      <c r="K67" s="1456"/>
      <c r="L67" s="2393"/>
      <c r="M67" s="2355"/>
      <c r="N67" s="2355"/>
      <c r="O67" s="2355"/>
      <c r="P67" s="2355"/>
      <c r="Q67" s="2355"/>
      <c r="R67" s="2355"/>
      <c r="S67" s="2355"/>
      <c r="T67" s="2355"/>
      <c r="U67" s="2355"/>
      <c r="V67" s="2384"/>
      <c r="W67" s="2355"/>
      <c r="X67" s="2355"/>
      <c r="Y67" s="2355"/>
      <c r="Z67" s="2355"/>
      <c r="AA67" s="2355"/>
      <c r="AB67" s="2385"/>
      <c r="AC67" s="2394"/>
      <c r="AI67" s="2387"/>
      <c r="AJ67" s="2293"/>
      <c r="AK67" s="2293"/>
      <c r="AL67" s="2293"/>
    </row>
    <row r="68" spans="1:38" ht="15">
      <c r="A68" s="1456"/>
      <c r="B68" s="1456"/>
      <c r="C68" s="1456"/>
      <c r="D68" s="2393"/>
      <c r="E68" s="1456"/>
      <c r="F68" s="1456"/>
      <c r="G68" s="1456"/>
      <c r="H68" s="2393"/>
      <c r="I68" s="1456"/>
      <c r="J68" s="1456"/>
      <c r="K68" s="1456"/>
      <c r="L68" s="2393"/>
      <c r="M68" s="2355"/>
      <c r="N68" s="2355"/>
      <c r="O68" s="2355"/>
      <c r="P68" s="2355"/>
      <c r="Q68" s="2355"/>
      <c r="R68" s="2355"/>
      <c r="S68" s="2355"/>
      <c r="T68" s="2355"/>
      <c r="U68" s="2355"/>
      <c r="V68" s="2384"/>
      <c r="W68" s="2355"/>
      <c r="X68" s="2355"/>
      <c r="Y68" s="2355"/>
      <c r="Z68" s="2355"/>
      <c r="AA68" s="2355"/>
      <c r="AB68" s="2385"/>
      <c r="AC68" s="2394"/>
      <c r="AI68" s="2387"/>
      <c r="AJ68" s="2293"/>
      <c r="AK68" s="2293"/>
      <c r="AL68" s="2293"/>
    </row>
    <row r="69" spans="1:38" ht="15">
      <c r="A69" s="1456"/>
      <c r="B69" s="1456"/>
      <c r="C69" s="1456"/>
      <c r="D69" s="2393"/>
      <c r="E69" s="1456"/>
      <c r="F69" s="1456"/>
      <c r="G69" s="1456"/>
      <c r="H69" s="2393"/>
      <c r="I69" s="1456"/>
      <c r="J69" s="1456"/>
      <c r="K69" s="1456"/>
      <c r="L69" s="2393"/>
      <c r="M69" s="2355"/>
      <c r="N69" s="2355"/>
      <c r="O69" s="2355"/>
      <c r="P69" s="2355"/>
      <c r="Q69" s="2355"/>
      <c r="R69" s="2355"/>
      <c r="S69" s="2355"/>
      <c r="T69" s="2355"/>
      <c r="U69" s="2355"/>
      <c r="V69" s="2384"/>
      <c r="W69" s="2355"/>
      <c r="X69" s="2355"/>
      <c r="Y69" s="2355"/>
      <c r="Z69" s="2355"/>
      <c r="AA69" s="2355"/>
      <c r="AB69" s="2385"/>
      <c r="AI69" s="2387"/>
      <c r="AJ69" s="2293"/>
      <c r="AK69" s="2293"/>
      <c r="AL69" s="2293"/>
    </row>
    <row r="70" spans="1:38" ht="15">
      <c r="AI70" s="2387"/>
      <c r="AJ70" s="2293"/>
      <c r="AK70" s="2293"/>
      <c r="AL70" s="2293"/>
    </row>
    <row r="71" spans="1:38" ht="15">
      <c r="AI71" s="2387"/>
      <c r="AJ71" s="2293"/>
      <c r="AK71" s="2293"/>
      <c r="AL71" s="2293"/>
    </row>
    <row r="72" spans="1:38" ht="15">
      <c r="AI72" s="2387"/>
      <c r="AJ72" s="2293"/>
      <c r="AK72" s="2293"/>
      <c r="AL72" s="2293"/>
    </row>
    <row r="73" spans="1:38" ht="15">
      <c r="AI73" s="2387"/>
      <c r="AJ73" s="2293"/>
      <c r="AK73" s="2293"/>
      <c r="AL73" s="2293"/>
    </row>
    <row r="74" spans="1:38" ht="15">
      <c r="AI74" s="2387"/>
      <c r="AJ74" s="2293"/>
      <c r="AK74" s="2293"/>
      <c r="AL74" s="2293"/>
    </row>
    <row r="75" spans="1:38" ht="15">
      <c r="AI75" s="2387"/>
      <c r="AJ75" s="2293"/>
      <c r="AK75" s="2293"/>
      <c r="AL75" s="2293"/>
    </row>
    <row r="76" spans="1:38" ht="15">
      <c r="AI76" s="2387"/>
      <c r="AJ76" s="2293"/>
      <c r="AK76" s="2293"/>
      <c r="AL76" s="2293"/>
    </row>
    <row r="77" spans="1:38" ht="15">
      <c r="AI77" s="2387"/>
      <c r="AJ77" s="2293"/>
      <c r="AK77" s="2293"/>
      <c r="AL77" s="2293"/>
    </row>
    <row r="78" spans="1:38" ht="15">
      <c r="AI78" s="2387"/>
      <c r="AJ78" s="2293"/>
      <c r="AK78" s="2293"/>
      <c r="AL78" s="2293"/>
    </row>
    <row r="79" spans="1:38" ht="15">
      <c r="AI79" s="2387"/>
      <c r="AJ79" s="2293"/>
      <c r="AK79" s="2293"/>
      <c r="AL79" s="2293"/>
    </row>
    <row r="80" spans="1:38" ht="15">
      <c r="AI80" s="2387"/>
      <c r="AJ80" s="2293"/>
      <c r="AK80" s="2293"/>
      <c r="AL80" s="2293"/>
    </row>
    <row r="81" spans="35:38" ht="15">
      <c r="AI81" s="2387"/>
      <c r="AJ81" s="2293"/>
      <c r="AK81" s="2293"/>
      <c r="AL81" s="2293"/>
    </row>
    <row r="82" spans="35:38" ht="15">
      <c r="AI82" s="2387"/>
      <c r="AJ82" s="2293"/>
      <c r="AK82" s="2293"/>
      <c r="AL82" s="2293"/>
    </row>
    <row r="83" spans="35:38" ht="15">
      <c r="AI83" s="2387"/>
      <c r="AJ83" s="2293"/>
      <c r="AK83" s="2293"/>
      <c r="AL83" s="2293"/>
    </row>
    <row r="84" spans="35:38" ht="15">
      <c r="AI84" s="2387"/>
      <c r="AJ84" s="2293"/>
      <c r="AK84" s="2293"/>
      <c r="AL84" s="2293"/>
    </row>
    <row r="85" spans="35:38" ht="15">
      <c r="AI85" s="2387"/>
      <c r="AJ85" s="2293"/>
      <c r="AK85" s="2293"/>
      <c r="AL85" s="2293"/>
    </row>
    <row r="86" spans="35:38" ht="15">
      <c r="AI86" s="2387"/>
      <c r="AJ86" s="2293"/>
      <c r="AK86" s="2293"/>
      <c r="AL86" s="2293"/>
    </row>
    <row r="87" spans="35:38" ht="15">
      <c r="AI87" s="2387"/>
      <c r="AJ87" s="2293"/>
      <c r="AK87" s="2293"/>
      <c r="AL87" s="2293"/>
    </row>
    <row r="88" spans="35:38" ht="15">
      <c r="AI88" s="2387"/>
      <c r="AJ88" s="2293"/>
      <c r="AK88" s="2293"/>
      <c r="AL88" s="2293"/>
    </row>
    <row r="89" spans="35:38" ht="15">
      <c r="AI89" s="2387"/>
      <c r="AJ89" s="2293"/>
      <c r="AK89" s="2293"/>
      <c r="AL89" s="2293"/>
    </row>
    <row r="90" spans="35:38" ht="15">
      <c r="AI90" s="2387"/>
      <c r="AJ90" s="2293"/>
      <c r="AK90" s="2293"/>
      <c r="AL90" s="2293"/>
    </row>
    <row r="91" spans="35:38" ht="15">
      <c r="AI91" s="2387"/>
      <c r="AJ91" s="2293"/>
      <c r="AK91" s="2293"/>
      <c r="AL91" s="2293"/>
    </row>
    <row r="92" spans="35:38" ht="15">
      <c r="AI92" s="2387"/>
      <c r="AJ92" s="2293"/>
      <c r="AK92" s="2293"/>
      <c r="AL92" s="2293"/>
    </row>
    <row r="93" spans="35:38" ht="15">
      <c r="AI93" s="2387"/>
      <c r="AJ93" s="2293"/>
      <c r="AK93" s="2293"/>
      <c r="AL93" s="2293"/>
    </row>
    <row r="94" spans="35:38" ht="15">
      <c r="AI94" s="2387"/>
      <c r="AJ94" s="2293"/>
      <c r="AK94" s="2293"/>
      <c r="AL94" s="2293"/>
    </row>
    <row r="95" spans="35:38" ht="15">
      <c r="AI95" s="2387"/>
      <c r="AJ95" s="2293"/>
      <c r="AK95" s="2293"/>
      <c r="AL95" s="2293"/>
    </row>
    <row r="96" spans="35:38" ht="15">
      <c r="AI96" s="2387"/>
      <c r="AJ96" s="2293"/>
      <c r="AK96" s="2293"/>
      <c r="AL96" s="2293"/>
    </row>
    <row r="97" spans="35:38" ht="15">
      <c r="AI97" s="2387"/>
      <c r="AJ97" s="2293"/>
      <c r="AK97" s="2293"/>
      <c r="AL97" s="2293"/>
    </row>
    <row r="98" spans="35:38" ht="15">
      <c r="AI98" s="2387"/>
      <c r="AJ98" s="2293"/>
      <c r="AK98" s="2293"/>
      <c r="AL98" s="2293"/>
    </row>
    <row r="99" spans="35:38" ht="15">
      <c r="AI99" s="2387"/>
      <c r="AJ99" s="2293"/>
      <c r="AK99" s="2293"/>
      <c r="AL99" s="2293"/>
    </row>
    <row r="100" spans="35:38" ht="15">
      <c r="AI100" s="2387"/>
      <c r="AJ100" s="2293"/>
      <c r="AK100" s="2293"/>
      <c r="AL100" s="2293"/>
    </row>
    <row r="101" spans="35:38" ht="15">
      <c r="AI101" s="2387"/>
      <c r="AJ101" s="2293"/>
      <c r="AK101" s="2293"/>
      <c r="AL101" s="2293"/>
    </row>
    <row r="102" spans="35:38" ht="15">
      <c r="AI102" s="2387"/>
      <c r="AJ102" s="2293"/>
      <c r="AK102" s="2293"/>
      <c r="AL102" s="2293"/>
    </row>
    <row r="103" spans="35:38" ht="15">
      <c r="AI103" s="2387"/>
      <c r="AJ103" s="2293"/>
      <c r="AK103" s="2293"/>
      <c r="AL103" s="2293"/>
    </row>
    <row r="104" spans="35:38" ht="15">
      <c r="AI104" s="2387"/>
      <c r="AJ104" s="2293"/>
      <c r="AK104" s="2293"/>
      <c r="AL104" s="2293"/>
    </row>
    <row r="105" spans="35:38" ht="15">
      <c r="AI105" s="2387"/>
      <c r="AJ105" s="2293"/>
      <c r="AK105" s="2293"/>
      <c r="AL105" s="2293"/>
    </row>
    <row r="106" spans="35:38" ht="15">
      <c r="AI106" s="2387"/>
      <c r="AJ106" s="2293"/>
      <c r="AK106" s="2293"/>
      <c r="AL106" s="2293"/>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G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2"/>
  <sheetViews>
    <sheetView showGridLines="0" zoomScale="80" workbookViewId="0"/>
  </sheetViews>
  <sheetFormatPr defaultColWidth="8.88671875" defaultRowHeight="12.75"/>
  <cols>
    <col min="1" max="1" width="1.88671875" style="247" customWidth="1"/>
    <col min="2" max="2" width="40.88671875" style="247" customWidth="1"/>
    <col min="3" max="3" width="1.88671875" style="247" customWidth="1"/>
    <col min="4" max="4" width="12.109375" style="247" customWidth="1"/>
    <col min="5" max="5" width="1.88671875" style="247" customWidth="1"/>
    <col min="6" max="6" width="12" style="247" customWidth="1"/>
    <col min="7" max="7" width="1.88671875" style="247" customWidth="1"/>
    <col min="8" max="8" width="13.109375" style="247" customWidth="1"/>
    <col min="9" max="9" width="1.88671875" style="247" customWidth="1"/>
    <col min="10" max="10" width="13.109375" style="247" customWidth="1"/>
    <col min="11" max="11" width="1.88671875" style="247" customWidth="1"/>
    <col min="12" max="12" width="13.109375" style="247" customWidth="1"/>
    <col min="13" max="13" width="1.88671875" style="247" customWidth="1"/>
    <col min="14" max="14" width="14" style="247" customWidth="1"/>
    <col min="15" max="15" width="1.88671875" style="247" customWidth="1"/>
    <col min="16" max="16" width="11.88671875" style="247" customWidth="1"/>
    <col min="17" max="17" width="1.88671875" style="247" customWidth="1"/>
    <col min="18" max="18" width="11.5546875" style="247" customWidth="1"/>
    <col min="19" max="19" width="1.88671875" style="247" customWidth="1"/>
    <col min="20" max="20" width="12.109375" style="247" customWidth="1"/>
    <col min="21" max="21" width="1.88671875" style="247" customWidth="1"/>
    <col min="22" max="22" width="13" style="247" customWidth="1"/>
    <col min="23" max="23" width="1.88671875" style="247" customWidth="1"/>
    <col min="24" max="24" width="12.109375" style="247" customWidth="1"/>
    <col min="25" max="25" width="1.88671875" style="247" customWidth="1"/>
    <col min="26" max="26" width="10.88671875" style="247" bestFit="1" customWidth="1"/>
    <col min="27" max="27" width="1.109375" style="247" customWidth="1"/>
    <col min="28" max="29" width="1.88671875" style="247" customWidth="1"/>
    <col min="30" max="30" width="11.88671875" style="898" customWidth="1"/>
    <col min="31" max="32" width="1.44140625" style="898" customWidth="1"/>
    <col min="33" max="33" width="12.88671875" style="898" bestFit="1" customWidth="1"/>
    <col min="34" max="34" width="1.5546875" style="247" customWidth="1"/>
    <col min="35" max="35" width="0.88671875" style="247" customWidth="1"/>
    <col min="36" max="36" width="14.88671875" style="247" customWidth="1"/>
    <col min="37" max="37" width="0.88671875" style="247" customWidth="1"/>
    <col min="38" max="38" width="12.109375" style="247" customWidth="1"/>
    <col min="39" max="16384" width="8.88671875" style="247"/>
  </cols>
  <sheetData>
    <row r="1" spans="1:40" ht="15">
      <c r="B1" s="653" t="s">
        <v>979</v>
      </c>
    </row>
    <row r="2" spans="1:40" ht="15.75">
      <c r="A2" s="246"/>
      <c r="M2" s="29"/>
      <c r="N2" s="29"/>
      <c r="O2" s="265"/>
    </row>
    <row r="3" spans="1:40" ht="20.25" customHeight="1">
      <c r="A3" s="246"/>
      <c r="B3" s="249" t="s">
        <v>0</v>
      </c>
      <c r="M3" s="29"/>
      <c r="N3" s="29"/>
      <c r="O3" s="265"/>
      <c r="AF3" s="3604"/>
      <c r="AG3" s="3605"/>
      <c r="AH3" s="289"/>
      <c r="AI3" s="289"/>
      <c r="AJ3" s="289"/>
      <c r="AK3" s="289"/>
      <c r="AL3" s="397" t="s">
        <v>169</v>
      </c>
    </row>
    <row r="4" spans="1:40" ht="18">
      <c r="A4" s="246"/>
      <c r="B4" s="249" t="s">
        <v>176</v>
      </c>
      <c r="L4" s="29"/>
      <c r="M4" s="29"/>
      <c r="O4" s="265"/>
    </row>
    <row r="5" spans="1:40" ht="18">
      <c r="A5" s="246"/>
      <c r="B5" s="322" t="s">
        <v>149</v>
      </c>
      <c r="L5" s="265"/>
      <c r="M5" s="265"/>
      <c r="O5" s="265"/>
      <c r="X5" s="290"/>
    </row>
    <row r="6" spans="1:40" ht="20.25">
      <c r="A6" s="246"/>
      <c r="B6" s="1569" t="str">
        <f>'Cashflow Governmental'!A6</f>
        <v xml:space="preserve">FISCAL YEAR 2019-2020   </v>
      </c>
      <c r="L6" s="265"/>
      <c r="M6" s="265"/>
      <c r="O6" s="265"/>
      <c r="AL6" s="270"/>
    </row>
    <row r="7" spans="1:40" ht="18">
      <c r="A7" s="246"/>
      <c r="B7" s="249" t="s">
        <v>1419</v>
      </c>
      <c r="AI7" s="150"/>
      <c r="AJ7" s="150"/>
      <c r="AK7" s="150"/>
      <c r="AL7" s="150"/>
    </row>
    <row r="8" spans="1:40" ht="13.5" customHeight="1">
      <c r="A8" s="246"/>
      <c r="D8" s="2188"/>
      <c r="L8" s="265"/>
      <c r="M8" s="265"/>
      <c r="N8" s="265"/>
      <c r="O8" s="265"/>
      <c r="AC8" s="150"/>
      <c r="AD8" s="3281"/>
      <c r="AE8" s="3281"/>
      <c r="AF8" s="1082"/>
      <c r="AG8" s="1082"/>
      <c r="AH8" s="150"/>
      <c r="AI8" s="265"/>
      <c r="AJ8" s="265"/>
      <c r="AK8" s="265"/>
      <c r="AL8" s="265"/>
    </row>
    <row r="9" spans="1:40" ht="20.25" customHeight="1">
      <c r="A9" s="246"/>
      <c r="L9" s="265"/>
      <c r="M9" s="265"/>
      <c r="N9" s="265"/>
      <c r="O9" s="265"/>
      <c r="AC9" s="3928" t="str">
        <f>'Exhibit G'!AC9:AL9</f>
        <v>11 Months Ended February 29</v>
      </c>
      <c r="AD9" s="3928"/>
      <c r="AE9" s="3928"/>
      <c r="AF9" s="3928"/>
      <c r="AG9" s="3928"/>
      <c r="AH9" s="3928"/>
      <c r="AI9" s="3928"/>
      <c r="AJ9" s="3928"/>
      <c r="AK9" s="3928"/>
      <c r="AL9" s="3928"/>
    </row>
    <row r="10" spans="1:40" ht="15.75">
      <c r="A10" s="246"/>
      <c r="B10" s="30"/>
      <c r="C10" s="30"/>
      <c r="D10" s="756" t="str">
        <f>'Cashflow Governmental'!C13</f>
        <v>2019</v>
      </c>
      <c r="E10" s="29"/>
      <c r="F10" s="29"/>
      <c r="G10" s="29"/>
      <c r="H10" s="29"/>
      <c r="I10" s="29"/>
      <c r="J10" s="29"/>
      <c r="K10" s="29"/>
      <c r="L10" s="29"/>
      <c r="M10" s="29"/>
      <c r="N10" s="29"/>
      <c r="O10" s="29"/>
      <c r="P10" s="29"/>
      <c r="Q10" s="29"/>
      <c r="R10" s="29"/>
      <c r="S10" s="29"/>
      <c r="T10" s="29"/>
      <c r="U10" s="29"/>
      <c r="V10" s="756" t="str">
        <f>'Cashflow Governmental'!U13</f>
        <v>2020</v>
      </c>
      <c r="W10" s="29"/>
      <c r="X10" s="29"/>
      <c r="Y10" s="29"/>
      <c r="Z10" s="29"/>
      <c r="AA10" s="29"/>
      <c r="AB10" s="29"/>
      <c r="AC10" s="29"/>
      <c r="AD10" s="3282"/>
      <c r="AE10" s="3282"/>
      <c r="AF10" s="3282"/>
      <c r="AG10" s="3282"/>
      <c r="AH10" s="210"/>
      <c r="AI10" s="209"/>
      <c r="AJ10" s="760" t="s">
        <v>8</v>
      </c>
      <c r="AK10" s="760"/>
      <c r="AL10" s="760" t="s">
        <v>9</v>
      </c>
      <c r="AM10" s="763"/>
      <c r="AN10" s="763"/>
    </row>
    <row r="11" spans="1:40" ht="15.75">
      <c r="A11" s="246"/>
      <c r="B11" s="30"/>
      <c r="C11" s="30"/>
      <c r="D11" s="1069" t="s">
        <v>125</v>
      </c>
      <c r="E11" s="29"/>
      <c r="F11" s="1069" t="s">
        <v>126</v>
      </c>
      <c r="G11" s="29"/>
      <c r="H11" s="1069" t="s">
        <v>127</v>
      </c>
      <c r="I11" s="29"/>
      <c r="J11" s="1069" t="s">
        <v>128</v>
      </c>
      <c r="K11" s="29"/>
      <c r="L11" s="1069" t="s">
        <v>129</v>
      </c>
      <c r="M11" s="29"/>
      <c r="N11" s="1069" t="s">
        <v>144</v>
      </c>
      <c r="O11" s="29"/>
      <c r="P11" s="1069" t="s">
        <v>145</v>
      </c>
      <c r="Q11" s="29"/>
      <c r="R11" s="1069" t="s">
        <v>132</v>
      </c>
      <c r="S11" s="29"/>
      <c r="T11" s="1069" t="s">
        <v>133</v>
      </c>
      <c r="U11" s="29"/>
      <c r="V11" s="1069" t="s">
        <v>134</v>
      </c>
      <c r="W11" s="29"/>
      <c r="X11" s="1069" t="s">
        <v>135</v>
      </c>
      <c r="Y11" s="29"/>
      <c r="Z11" s="1069" t="s">
        <v>186</v>
      </c>
      <c r="AA11" s="764"/>
      <c r="AB11" s="29"/>
      <c r="AC11" s="29"/>
      <c r="AD11" s="3283">
        <f>'Cashflow Governmental'!AB14</f>
        <v>2020</v>
      </c>
      <c r="AE11" s="751"/>
      <c r="AF11" s="750" t="s">
        <v>15</v>
      </c>
      <c r="AG11" s="3283">
        <f>'Cashflow Governmental'!AE14</f>
        <v>2019</v>
      </c>
      <c r="AH11" s="746"/>
      <c r="AI11" s="209"/>
      <c r="AJ11" s="1075" t="s">
        <v>12</v>
      </c>
      <c r="AK11" s="759"/>
      <c r="AL11" s="1075" t="s">
        <v>13</v>
      </c>
      <c r="AM11" s="763"/>
      <c r="AN11" s="763"/>
    </row>
    <row r="12" spans="1:40" ht="5.25" customHeight="1">
      <c r="A12" s="246"/>
      <c r="B12" s="30"/>
      <c r="C12" s="30"/>
      <c r="D12" s="764"/>
      <c r="E12" s="29"/>
      <c r="F12" s="764"/>
      <c r="G12" s="29"/>
      <c r="H12" s="764"/>
      <c r="I12" s="29"/>
      <c r="J12" s="764"/>
      <c r="K12" s="29"/>
      <c r="L12" s="764"/>
      <c r="M12" s="29"/>
      <c r="N12" s="764"/>
      <c r="O12" s="29"/>
      <c r="P12" s="764"/>
      <c r="Q12" s="29"/>
      <c r="R12" s="764"/>
      <c r="S12" s="29"/>
      <c r="T12" s="764"/>
      <c r="U12" s="29"/>
      <c r="V12" s="764"/>
      <c r="W12" s="29"/>
      <c r="X12" s="764"/>
      <c r="Y12" s="29"/>
      <c r="Z12" s="764"/>
      <c r="AA12" s="764"/>
      <c r="AB12" s="29"/>
      <c r="AC12" s="29"/>
      <c r="AD12" s="3284"/>
      <c r="AE12" s="751"/>
      <c r="AF12" s="750"/>
      <c r="AG12" s="3284"/>
      <c r="AH12" s="746"/>
      <c r="AI12" s="209"/>
      <c r="AJ12" s="759"/>
      <c r="AK12" s="759"/>
      <c r="AL12" s="759"/>
      <c r="AM12" s="763"/>
      <c r="AN12" s="763"/>
    </row>
    <row r="13" spans="1:40" s="1074" customFormat="1" ht="15.75">
      <c r="A13" s="1072"/>
      <c r="B13" s="1894" t="s">
        <v>1279</v>
      </c>
      <c r="C13" s="37"/>
      <c r="D13" s="308">
        <v>5090.8</v>
      </c>
      <c r="E13" s="254"/>
      <c r="F13" s="1897">
        <f>D121</f>
        <v>6434.7</v>
      </c>
      <c r="G13" s="254"/>
      <c r="H13" s="1897">
        <f>F121</f>
        <v>6338.1</v>
      </c>
      <c r="I13" s="254"/>
      <c r="J13" s="1897">
        <f>H121</f>
        <v>7095.2</v>
      </c>
      <c r="K13" s="254"/>
      <c r="L13" s="1897">
        <f>J121</f>
        <v>7277.1</v>
      </c>
      <c r="M13" s="254"/>
      <c r="N13" s="1897">
        <f>L121</f>
        <v>7104.7</v>
      </c>
      <c r="O13" s="254"/>
      <c r="P13" s="1897">
        <f>N121</f>
        <v>5276.8</v>
      </c>
      <c r="Q13" s="254"/>
      <c r="R13" s="1897">
        <f>P121</f>
        <v>5350.5</v>
      </c>
      <c r="S13" s="254"/>
      <c r="T13" s="1897">
        <f>R121</f>
        <v>5061.3</v>
      </c>
      <c r="U13" s="254"/>
      <c r="V13" s="1897">
        <f>T121</f>
        <v>4858.3999999999996</v>
      </c>
      <c r="W13" s="254"/>
      <c r="X13" s="1897">
        <f>V121</f>
        <v>5609.6</v>
      </c>
      <c r="Y13" s="254"/>
      <c r="Z13" s="1897"/>
      <c r="AA13" s="764"/>
      <c r="AB13" s="254"/>
      <c r="AC13" s="2186"/>
      <c r="AD13" s="3285">
        <f>D13</f>
        <v>5090.8</v>
      </c>
      <c r="AE13" s="3284"/>
      <c r="AF13" s="3288"/>
      <c r="AG13" s="139">
        <v>4008.5</v>
      </c>
      <c r="AH13" s="746"/>
      <c r="AI13" s="272"/>
      <c r="AJ13" s="1895">
        <f>ROUND(SUM(+AD13-AG13),1)</f>
        <v>1082.3</v>
      </c>
      <c r="AK13" s="112"/>
      <c r="AL13" s="1898">
        <f>ROUND(IF(AG13=0,1,AJ13/ABS(AG13)),3)</f>
        <v>0.27</v>
      </c>
      <c r="AM13" s="1073"/>
      <c r="AN13" s="1073"/>
    </row>
    <row r="14" spans="1:40" s="1074" customFormat="1" ht="15.75">
      <c r="A14" s="1072"/>
      <c r="B14" s="1894"/>
      <c r="C14" s="37"/>
      <c r="D14" s="764"/>
      <c r="E14" s="254"/>
      <c r="F14" s="764"/>
      <c r="G14" s="254"/>
      <c r="H14" s="764"/>
      <c r="I14" s="254"/>
      <c r="J14" s="764"/>
      <c r="K14" s="254"/>
      <c r="L14" s="764"/>
      <c r="M14" s="254"/>
      <c r="N14" s="764"/>
      <c r="O14" s="254"/>
      <c r="P14" s="764"/>
      <c r="Q14" s="254"/>
      <c r="R14" s="764"/>
      <c r="S14" s="254"/>
      <c r="T14" s="764"/>
      <c r="U14" s="254"/>
      <c r="V14" s="764"/>
      <c r="W14" s="254"/>
      <c r="X14" s="764"/>
      <c r="Y14" s="254"/>
      <c r="Z14" s="764"/>
      <c r="AA14" s="764"/>
      <c r="AB14" s="254"/>
      <c r="AC14" s="2186"/>
      <c r="AD14" s="3284"/>
      <c r="AE14" s="3284"/>
      <c r="AF14" s="3288"/>
      <c r="AG14" s="3284"/>
      <c r="AH14" s="746"/>
      <c r="AI14" s="272"/>
      <c r="AJ14" s="759"/>
      <c r="AK14" s="759"/>
      <c r="AL14" s="759"/>
      <c r="AM14" s="1073"/>
      <c r="AN14" s="1073"/>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71"/>
      <c r="AD15" s="1103"/>
      <c r="AE15" s="106"/>
      <c r="AF15" s="3289"/>
      <c r="AG15" s="106"/>
      <c r="AH15" s="37"/>
      <c r="AI15" s="272"/>
      <c r="AJ15" s="30"/>
      <c r="AK15" s="30"/>
      <c r="AL15" s="30"/>
    </row>
    <row r="16" spans="1:40" ht="15" customHeight="1">
      <c r="A16" s="150"/>
      <c r="B16" s="261" t="s">
        <v>1097</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03"/>
      <c r="AE16" s="106"/>
      <c r="AF16" s="3290"/>
      <c r="AG16" s="106"/>
      <c r="AH16" s="275"/>
      <c r="AI16" s="37"/>
      <c r="AJ16" s="30"/>
      <c r="AK16" s="30"/>
      <c r="AL16" s="30"/>
    </row>
    <row r="17" spans="1:38" s="1868" customFormat="1" ht="15" customHeight="1">
      <c r="A17" s="1865"/>
      <c r="B17" s="1216" t="s">
        <v>1100</v>
      </c>
      <c r="C17" s="105"/>
      <c r="D17" s="907">
        <v>0</v>
      </c>
      <c r="E17" s="1566"/>
      <c r="F17" s="907">
        <v>0</v>
      </c>
      <c r="G17" s="1566"/>
      <c r="H17" s="907">
        <v>0</v>
      </c>
      <c r="I17" s="1566"/>
      <c r="J17" s="907">
        <v>0</v>
      </c>
      <c r="K17" s="1572"/>
      <c r="L17" s="907">
        <v>0</v>
      </c>
      <c r="M17" s="1837"/>
      <c r="N17" s="907">
        <v>0</v>
      </c>
      <c r="O17" s="1837"/>
      <c r="P17" s="1830">
        <v>0.2</v>
      </c>
      <c r="Q17" s="2032"/>
      <c r="R17" s="1830">
        <v>3</v>
      </c>
      <c r="S17" s="2032"/>
      <c r="T17" s="1830">
        <v>38.5</v>
      </c>
      <c r="U17" s="2032"/>
      <c r="V17" s="1830">
        <v>2107.4</v>
      </c>
      <c r="W17" s="2032"/>
      <c r="X17" s="1830">
        <f>$AD17-$D17-$F17-$H17-$J17-$L17-$N17-$P17-$R17-$T17-$V17</f>
        <v>0</v>
      </c>
      <c r="Y17" s="2032"/>
      <c r="Z17" s="1830"/>
      <c r="AA17" s="2033"/>
      <c r="AB17" s="2071"/>
      <c r="AC17" s="2072"/>
      <c r="AD17" s="1830">
        <v>2149.1</v>
      </c>
      <c r="AE17" s="2073"/>
      <c r="AF17" s="3291"/>
      <c r="AG17" s="1830">
        <v>2410</v>
      </c>
      <c r="AH17" s="1866"/>
      <c r="AI17" s="1026"/>
      <c r="AJ17" s="906">
        <f>ROUND(SUM(+AD17-AG17),1)</f>
        <v>-260.89999999999998</v>
      </c>
      <c r="AK17" s="906"/>
      <c r="AL17" s="1859">
        <f>ROUND(IF(AG17=0,0,AJ17/ABS(AG17)),3)</f>
        <v>-0.108</v>
      </c>
    </row>
    <row r="18" spans="1:38" s="1868" customFormat="1" ht="6" customHeight="1">
      <c r="A18" s="1865"/>
      <c r="B18" s="1216"/>
      <c r="C18" s="105"/>
      <c r="D18" s="907" t="s">
        <v>15</v>
      </c>
      <c r="E18" s="94"/>
      <c r="F18" s="907"/>
      <c r="G18" s="94"/>
      <c r="H18" s="907"/>
      <c r="I18" s="94"/>
      <c r="J18" s="907"/>
      <c r="K18" s="135"/>
      <c r="L18" s="907"/>
      <c r="M18" s="135"/>
      <c r="N18" s="907"/>
      <c r="O18" s="135"/>
      <c r="P18" s="1830"/>
      <c r="Q18" s="2074"/>
      <c r="R18" s="1830"/>
      <c r="S18" s="2074"/>
      <c r="T18" s="1830"/>
      <c r="U18" s="2074"/>
      <c r="V18" s="1830"/>
      <c r="W18" s="2074"/>
      <c r="X18" s="1830"/>
      <c r="Y18" s="2074"/>
      <c r="Z18" s="1830"/>
      <c r="AA18" s="2075"/>
      <c r="AB18" s="2074"/>
      <c r="AC18" s="2076"/>
      <c r="AD18" s="2074"/>
      <c r="AE18" s="2073"/>
      <c r="AF18" s="3292"/>
      <c r="AG18" s="2074"/>
      <c r="AH18" s="1866"/>
      <c r="AI18" s="1026"/>
      <c r="AJ18" s="135"/>
      <c r="AK18" s="112"/>
      <c r="AL18" s="1867"/>
    </row>
    <row r="19" spans="1:38" s="898" customFormat="1" ht="15" customHeight="1">
      <c r="A19" s="1082"/>
      <c r="B19" s="1216" t="s">
        <v>1161</v>
      </c>
      <c r="C19" s="107"/>
      <c r="D19" s="907" t="s">
        <v>15</v>
      </c>
      <c r="E19" s="1566"/>
      <c r="F19" s="907"/>
      <c r="G19" s="1566"/>
      <c r="H19" s="907"/>
      <c r="I19" s="1566"/>
      <c r="J19" s="907"/>
      <c r="K19" s="118"/>
      <c r="L19" s="907"/>
      <c r="M19" s="118"/>
      <c r="N19" s="907"/>
      <c r="O19" s="118"/>
      <c r="P19" s="1830"/>
      <c r="Q19" s="2040"/>
      <c r="R19" s="1830"/>
      <c r="S19" s="2040"/>
      <c r="T19" s="1830"/>
      <c r="U19" s="2040"/>
      <c r="V19" s="1830"/>
      <c r="W19" s="2040"/>
      <c r="X19" s="1830"/>
      <c r="Y19" s="2040"/>
      <c r="Z19" s="1830"/>
      <c r="AA19" s="2040"/>
      <c r="AB19" s="2040"/>
      <c r="AC19" s="2042"/>
      <c r="AD19" s="2040"/>
      <c r="AE19" s="2040"/>
      <c r="AF19" s="3293"/>
      <c r="AG19" s="2040"/>
      <c r="AH19" s="1085"/>
      <c r="AI19" s="67"/>
      <c r="AJ19" s="906"/>
      <c r="AK19" s="899"/>
      <c r="AL19" s="1869"/>
    </row>
    <row r="20" spans="1:38" s="898" customFormat="1" ht="15" customHeight="1">
      <c r="A20" s="1082"/>
      <c r="B20" s="1090" t="s">
        <v>1112</v>
      </c>
      <c r="C20" s="107"/>
      <c r="D20" s="907">
        <v>124.1</v>
      </c>
      <c r="E20" s="1882"/>
      <c r="F20" s="907">
        <v>76.400000000000006</v>
      </c>
      <c r="G20" s="1882"/>
      <c r="H20" s="907">
        <v>102.80000000000001</v>
      </c>
      <c r="I20" s="1882"/>
      <c r="J20" s="907">
        <v>79.099999999999937</v>
      </c>
      <c r="K20" s="1572"/>
      <c r="L20" s="907">
        <v>80.300000000000097</v>
      </c>
      <c r="M20" s="1572"/>
      <c r="N20" s="907">
        <v>104.79999999999995</v>
      </c>
      <c r="O20" s="1572"/>
      <c r="P20" s="1830">
        <v>80.999999999999972</v>
      </c>
      <c r="Q20" s="2043"/>
      <c r="R20" s="1830">
        <v>82.100000000000051</v>
      </c>
      <c r="S20" s="2043"/>
      <c r="T20" s="1830">
        <v>102.90000000000009</v>
      </c>
      <c r="U20" s="2043"/>
      <c r="V20" s="1830">
        <v>90.399999999999835</v>
      </c>
      <c r="W20" s="2043"/>
      <c r="X20" s="1830">
        <f t="shared" ref="X20:X28" si="0">$AD20-$D20-$F20-$H20-$J20-$L20-$N20-$P20-$R20-$T20-$V20</f>
        <v>74.100000000000165</v>
      </c>
      <c r="Y20" s="2043"/>
      <c r="Z20" s="1830"/>
      <c r="AA20" s="2044"/>
      <c r="AB20" s="2045"/>
      <c r="AC20" s="2047"/>
      <c r="AD20" s="1830">
        <v>998</v>
      </c>
      <c r="AE20" s="2077"/>
      <c r="AF20" s="3294"/>
      <c r="AG20" s="1830">
        <v>921.8</v>
      </c>
      <c r="AH20" s="1085"/>
      <c r="AI20" s="67"/>
      <c r="AJ20" s="906">
        <f t="shared" ref="AJ20:AJ28" si="1">ROUND(SUM(+AD20-AG20),1)</f>
        <v>76.2</v>
      </c>
      <c r="AK20" s="899"/>
      <c r="AL20" s="1863">
        <f t="shared" ref="AL20:AL29" si="2">ROUND(IF(AG20=0,0,AJ20/ABS(AG20)),3)</f>
        <v>8.3000000000000004E-2</v>
      </c>
    </row>
    <row r="21" spans="1:38" s="898" customFormat="1" ht="15" customHeight="1">
      <c r="A21" s="1082"/>
      <c r="B21" s="1090" t="s">
        <v>1113</v>
      </c>
      <c r="C21" s="107"/>
      <c r="D21" s="907">
        <v>0</v>
      </c>
      <c r="E21" s="1882"/>
      <c r="F21" s="907">
        <v>0</v>
      </c>
      <c r="G21" s="1882"/>
      <c r="H21" s="907">
        <v>0</v>
      </c>
      <c r="I21" s="1882"/>
      <c r="J21" s="907">
        <v>0</v>
      </c>
      <c r="K21" s="1572"/>
      <c r="L21" s="907">
        <v>0</v>
      </c>
      <c r="M21" s="1572"/>
      <c r="N21" s="907">
        <v>7.3</v>
      </c>
      <c r="O21" s="1572"/>
      <c r="P21" s="1830">
        <v>0</v>
      </c>
      <c r="Q21" s="2043"/>
      <c r="R21" s="1830">
        <v>0</v>
      </c>
      <c r="S21" s="2043"/>
      <c r="T21" s="1830">
        <v>5.6000000000000005</v>
      </c>
      <c r="U21" s="2043"/>
      <c r="V21" s="1830">
        <v>0</v>
      </c>
      <c r="W21" s="2043"/>
      <c r="X21" s="1830">
        <f t="shared" si="0"/>
        <v>0</v>
      </c>
      <c r="Y21" s="2043"/>
      <c r="Z21" s="1830"/>
      <c r="AA21" s="2044"/>
      <c r="AB21" s="2045"/>
      <c r="AC21" s="2047"/>
      <c r="AD21" s="1830">
        <v>12.9</v>
      </c>
      <c r="AE21" s="2077"/>
      <c r="AF21" s="3294"/>
      <c r="AG21" s="1830">
        <v>40.700000000000003</v>
      </c>
      <c r="AH21" s="1085"/>
      <c r="AI21" s="67"/>
      <c r="AJ21" s="906">
        <f t="shared" si="1"/>
        <v>-27.8</v>
      </c>
      <c r="AK21" s="899"/>
      <c r="AL21" s="1863">
        <f t="shared" si="2"/>
        <v>-0.68300000000000005</v>
      </c>
    </row>
    <row r="22" spans="1:38" s="898" customFormat="1" ht="15" customHeight="1">
      <c r="A22" s="1082"/>
      <c r="B22" s="1090" t="s">
        <v>1114</v>
      </c>
      <c r="C22" s="107"/>
      <c r="D22" s="907">
        <v>63.2</v>
      </c>
      <c r="E22" s="1882"/>
      <c r="F22" s="907">
        <v>59.399999999999991</v>
      </c>
      <c r="G22" s="1882"/>
      <c r="H22" s="907">
        <v>57.300000000000011</v>
      </c>
      <c r="I22" s="1882"/>
      <c r="J22" s="907">
        <v>75.400000000000034</v>
      </c>
      <c r="K22" s="1572"/>
      <c r="L22" s="907">
        <v>63.899999999999977</v>
      </c>
      <c r="M22" s="1572"/>
      <c r="N22" s="907">
        <v>59.400000000000034</v>
      </c>
      <c r="O22" s="1572"/>
      <c r="P22" s="1830">
        <v>65.5</v>
      </c>
      <c r="Q22" s="2043"/>
      <c r="R22" s="1830">
        <v>57.799999999999955</v>
      </c>
      <c r="S22" s="2043"/>
      <c r="T22" s="1830">
        <v>68.899999999999977</v>
      </c>
      <c r="U22" s="2043"/>
      <c r="V22" s="1830">
        <v>55.300000000000011</v>
      </c>
      <c r="W22" s="2043"/>
      <c r="X22" s="1830">
        <f t="shared" si="0"/>
        <v>45.299999999999955</v>
      </c>
      <c r="Y22" s="2043"/>
      <c r="Z22" s="1830"/>
      <c r="AA22" s="2044"/>
      <c r="AB22" s="2045"/>
      <c r="AC22" s="2047"/>
      <c r="AD22" s="1830">
        <v>671.4</v>
      </c>
      <c r="AE22" s="2077"/>
      <c r="AF22" s="3294"/>
      <c r="AG22" s="1830">
        <v>728.3</v>
      </c>
      <c r="AH22" s="1085"/>
      <c r="AI22" s="67"/>
      <c r="AJ22" s="906">
        <f t="shared" si="1"/>
        <v>-56.9</v>
      </c>
      <c r="AK22" s="899"/>
      <c r="AL22" s="1863">
        <f t="shared" si="2"/>
        <v>-7.8E-2</v>
      </c>
    </row>
    <row r="23" spans="1:38" s="898" customFormat="1" ht="15" customHeight="1">
      <c r="A23" s="1082"/>
      <c r="B23" s="1836" t="s">
        <v>1262</v>
      </c>
      <c r="C23" s="107"/>
      <c r="D23" s="907">
        <v>0.5</v>
      </c>
      <c r="E23" s="1882"/>
      <c r="F23" s="907">
        <v>0.4</v>
      </c>
      <c r="G23" s="1882"/>
      <c r="H23" s="907">
        <v>0.49999999999999989</v>
      </c>
      <c r="I23" s="1882"/>
      <c r="J23" s="907">
        <v>0.5</v>
      </c>
      <c r="K23" s="1572"/>
      <c r="L23" s="907">
        <v>0.4</v>
      </c>
      <c r="M23" s="1572"/>
      <c r="N23" s="907">
        <v>0.49999999999999989</v>
      </c>
      <c r="O23" s="1572"/>
      <c r="P23" s="1830">
        <v>0.40000000000000036</v>
      </c>
      <c r="Q23" s="2043"/>
      <c r="R23" s="1830">
        <v>0.50000000000000011</v>
      </c>
      <c r="S23" s="2043"/>
      <c r="T23" s="1830">
        <v>0.59999999999999953</v>
      </c>
      <c r="U23" s="2043"/>
      <c r="V23" s="1830">
        <v>0.50000000000000011</v>
      </c>
      <c r="W23" s="2043"/>
      <c r="X23" s="1830">
        <f t="shared" si="0"/>
        <v>0.49999999999999956</v>
      </c>
      <c r="Y23" s="2043"/>
      <c r="Z23" s="1830"/>
      <c r="AA23" s="2044"/>
      <c r="AB23" s="2045"/>
      <c r="AC23" s="2047"/>
      <c r="AD23" s="1830">
        <v>5.3</v>
      </c>
      <c r="AE23" s="2077"/>
      <c r="AF23" s="3294"/>
      <c r="AG23" s="1830">
        <v>3.6</v>
      </c>
      <c r="AH23" s="1085"/>
      <c r="AI23" s="67"/>
      <c r="AJ23" s="906">
        <f>ROUND(SUM(+AD23-AG23),1)</f>
        <v>1.7</v>
      </c>
      <c r="AK23" s="899"/>
      <c r="AL23" s="1765">
        <f>ROUND(IF(AG23=0,1,AJ23/ABS(AG23)),3)</f>
        <v>0.47199999999999998</v>
      </c>
    </row>
    <row r="24" spans="1:38" s="898" customFormat="1" ht="15" customHeight="1">
      <c r="A24" s="1082"/>
      <c r="B24" s="1090" t="s">
        <v>1115</v>
      </c>
      <c r="C24" s="107"/>
      <c r="D24" s="907">
        <v>9.6</v>
      </c>
      <c r="E24" s="1882"/>
      <c r="F24" s="907">
        <v>9.4</v>
      </c>
      <c r="G24" s="1882"/>
      <c r="H24" s="907">
        <v>9.4999999999999982</v>
      </c>
      <c r="I24" s="1882"/>
      <c r="J24" s="907">
        <v>8.7999999999999989</v>
      </c>
      <c r="K24" s="1572"/>
      <c r="L24" s="907">
        <v>10.1</v>
      </c>
      <c r="M24" s="1572"/>
      <c r="N24" s="907">
        <v>9.1000000000000032</v>
      </c>
      <c r="O24" s="1572"/>
      <c r="P24" s="1830">
        <v>9.9999999999999982</v>
      </c>
      <c r="Q24" s="2043"/>
      <c r="R24" s="1830">
        <v>8.6000000000000032</v>
      </c>
      <c r="S24" s="2043"/>
      <c r="T24" s="1830">
        <v>8.4999999999999911</v>
      </c>
      <c r="U24" s="2043"/>
      <c r="V24" s="1830">
        <v>8.9000000000000075</v>
      </c>
      <c r="W24" s="2043"/>
      <c r="X24" s="1830">
        <f t="shared" si="0"/>
        <v>7.5999999999999925</v>
      </c>
      <c r="Y24" s="2043"/>
      <c r="Z24" s="1830"/>
      <c r="AA24" s="2044"/>
      <c r="AB24" s="2045"/>
      <c r="AC24" s="2047"/>
      <c r="AD24" s="1830">
        <v>100.1</v>
      </c>
      <c r="AE24" s="2077"/>
      <c r="AF24" s="3294"/>
      <c r="AG24" s="1830">
        <v>102.3</v>
      </c>
      <c r="AH24" s="1085"/>
      <c r="AI24" s="67"/>
      <c r="AJ24" s="906">
        <f t="shared" si="1"/>
        <v>-2.2000000000000002</v>
      </c>
      <c r="AK24" s="899"/>
      <c r="AL24" s="1863">
        <f t="shared" si="2"/>
        <v>-2.1999999999999999E-2</v>
      </c>
    </row>
    <row r="25" spans="1:38" s="898" customFormat="1" ht="15" customHeight="1">
      <c r="A25" s="1082"/>
      <c r="B25" s="1090" t="s">
        <v>1116</v>
      </c>
      <c r="C25" s="107"/>
      <c r="D25" s="907">
        <v>0</v>
      </c>
      <c r="E25" s="1882"/>
      <c r="F25" s="907">
        <v>0</v>
      </c>
      <c r="G25" s="1882"/>
      <c r="H25" s="907">
        <v>0</v>
      </c>
      <c r="I25" s="1882"/>
      <c r="J25" s="907">
        <v>0</v>
      </c>
      <c r="K25" s="1572"/>
      <c r="L25" s="907">
        <v>0</v>
      </c>
      <c r="M25" s="1572"/>
      <c r="N25" s="907">
        <v>0</v>
      </c>
      <c r="O25" s="1572"/>
      <c r="P25" s="1830">
        <v>0</v>
      </c>
      <c r="Q25" s="2043"/>
      <c r="R25" s="1830">
        <v>0</v>
      </c>
      <c r="S25" s="2043"/>
      <c r="T25" s="1830">
        <v>0</v>
      </c>
      <c r="U25" s="2043"/>
      <c r="V25" s="1830">
        <v>0</v>
      </c>
      <c r="W25" s="2043"/>
      <c r="X25" s="1830">
        <f t="shared" si="0"/>
        <v>0</v>
      </c>
      <c r="Y25" s="2043"/>
      <c r="Z25" s="1830"/>
      <c r="AA25" s="2044"/>
      <c r="AB25" s="2045"/>
      <c r="AC25" s="2047"/>
      <c r="AD25" s="1830">
        <v>0</v>
      </c>
      <c r="AE25" s="2077"/>
      <c r="AF25" s="3294"/>
      <c r="AG25" s="1830">
        <v>0</v>
      </c>
      <c r="AH25" s="1085"/>
      <c r="AI25" s="67"/>
      <c r="AJ25" s="906">
        <f t="shared" si="1"/>
        <v>0</v>
      </c>
      <c r="AK25" s="899"/>
      <c r="AL25" s="1863">
        <f t="shared" si="2"/>
        <v>0</v>
      </c>
    </row>
    <row r="26" spans="1:38" s="898" customFormat="1" ht="15" customHeight="1">
      <c r="A26" s="1082"/>
      <c r="B26" s="1090" t="s">
        <v>1117</v>
      </c>
      <c r="C26" s="107"/>
      <c r="D26" s="907">
        <v>0</v>
      </c>
      <c r="E26" s="1882"/>
      <c r="F26" s="907">
        <v>0.1</v>
      </c>
      <c r="G26" s="1882"/>
      <c r="H26" s="907">
        <v>0.1</v>
      </c>
      <c r="I26" s="1882"/>
      <c r="J26" s="907">
        <v>0</v>
      </c>
      <c r="K26" s="1572"/>
      <c r="L26" s="907">
        <v>0</v>
      </c>
      <c r="M26" s="1572"/>
      <c r="N26" s="907">
        <v>9.9999999999999978E-2</v>
      </c>
      <c r="O26" s="1572"/>
      <c r="P26" s="1830">
        <v>0</v>
      </c>
      <c r="Q26" s="2043"/>
      <c r="R26" s="1830">
        <v>0.10000000000000006</v>
      </c>
      <c r="S26" s="2043"/>
      <c r="T26" s="1830">
        <v>0</v>
      </c>
      <c r="U26" s="2043"/>
      <c r="V26" s="1830">
        <v>0</v>
      </c>
      <c r="W26" s="2043"/>
      <c r="X26" s="1830">
        <f t="shared" si="0"/>
        <v>0.1</v>
      </c>
      <c r="Y26" s="2043"/>
      <c r="Z26" s="1830"/>
      <c r="AA26" s="2044"/>
      <c r="AB26" s="2045"/>
      <c r="AC26" s="2047"/>
      <c r="AD26" s="1830">
        <v>0.5</v>
      </c>
      <c r="AE26" s="2077"/>
      <c r="AF26" s="3294"/>
      <c r="AG26" s="1830">
        <v>-1.6</v>
      </c>
      <c r="AH26" s="1085"/>
      <c r="AI26" s="67"/>
      <c r="AJ26" s="906">
        <f t="shared" si="1"/>
        <v>2.1</v>
      </c>
      <c r="AK26" s="899"/>
      <c r="AL26" s="1870">
        <f>ROUND(IF(AG26=0,1,AJ26/ABS(AG26)),3)</f>
        <v>1.3129999999999999</v>
      </c>
    </row>
    <row r="27" spans="1:38" s="898" customFormat="1" ht="15" customHeight="1">
      <c r="A27" s="1082"/>
      <c r="B27" s="2285" t="s">
        <v>1564</v>
      </c>
      <c r="C27" s="107"/>
      <c r="D27" s="907">
        <v>0</v>
      </c>
      <c r="E27" s="1882"/>
      <c r="F27" s="907">
        <v>0</v>
      </c>
      <c r="G27" s="1882"/>
      <c r="H27" s="907">
        <v>0</v>
      </c>
      <c r="I27" s="1882"/>
      <c r="J27" s="907">
        <v>0</v>
      </c>
      <c r="K27" s="1572"/>
      <c r="L27" s="907">
        <v>0</v>
      </c>
      <c r="M27" s="1572"/>
      <c r="N27" s="907">
        <v>0</v>
      </c>
      <c r="O27" s="1572"/>
      <c r="P27" s="1830">
        <v>0</v>
      </c>
      <c r="Q27" s="2043"/>
      <c r="R27" s="1830">
        <v>0</v>
      </c>
      <c r="S27" s="2043"/>
      <c r="T27" s="1830">
        <v>0</v>
      </c>
      <c r="U27" s="2043"/>
      <c r="V27" s="1830">
        <v>0</v>
      </c>
      <c r="W27" s="2043"/>
      <c r="X27" s="1830">
        <f t="shared" si="0"/>
        <v>0</v>
      </c>
      <c r="Y27" s="2043"/>
      <c r="Z27" s="1830"/>
      <c r="AA27" s="2044"/>
      <c r="AB27" s="2045"/>
      <c r="AC27" s="2047"/>
      <c r="AD27" s="1830">
        <v>0</v>
      </c>
      <c r="AE27" s="2077"/>
      <c r="AF27" s="3294"/>
      <c r="AG27" s="1830">
        <v>0</v>
      </c>
      <c r="AH27" s="1085"/>
      <c r="AI27" s="67"/>
      <c r="AJ27" s="906">
        <f t="shared" ref="AJ27" si="3">ROUND(SUM(+AD27-AG27),1)</f>
        <v>0</v>
      </c>
      <c r="AK27" s="899"/>
      <c r="AL27" s="1870">
        <f>ROUND(IF(AG27=0,0,AJ27/ABS(AG27)),3)</f>
        <v>0</v>
      </c>
    </row>
    <row r="28" spans="1:38" s="898" customFormat="1" ht="15" customHeight="1">
      <c r="A28" s="1082"/>
      <c r="B28" s="1092" t="s">
        <v>1118</v>
      </c>
      <c r="C28" s="107"/>
      <c r="D28" s="907">
        <v>0</v>
      </c>
      <c r="E28" s="1882"/>
      <c r="F28" s="907">
        <v>0</v>
      </c>
      <c r="G28" s="1882"/>
      <c r="H28" s="907">
        <v>0</v>
      </c>
      <c r="I28" s="1882"/>
      <c r="J28" s="907">
        <v>0</v>
      </c>
      <c r="K28" s="1572"/>
      <c r="L28" s="907">
        <v>0</v>
      </c>
      <c r="M28" s="1572"/>
      <c r="N28" s="907">
        <v>0</v>
      </c>
      <c r="O28" s="1572"/>
      <c r="P28" s="1830">
        <v>0</v>
      </c>
      <c r="Q28" s="2043"/>
      <c r="R28" s="1830">
        <v>0</v>
      </c>
      <c r="S28" s="2043"/>
      <c r="T28" s="1830">
        <v>0</v>
      </c>
      <c r="U28" s="2043"/>
      <c r="V28" s="1830">
        <v>0</v>
      </c>
      <c r="W28" s="2043"/>
      <c r="X28" s="1830">
        <f t="shared" si="0"/>
        <v>0</v>
      </c>
      <c r="Y28" s="2043"/>
      <c r="Z28" s="1830"/>
      <c r="AA28" s="2044"/>
      <c r="AB28" s="2045"/>
      <c r="AC28" s="2047"/>
      <c r="AD28" s="1830">
        <v>0</v>
      </c>
      <c r="AE28" s="2077"/>
      <c r="AF28" s="3294"/>
      <c r="AG28" s="1830">
        <v>50.8</v>
      </c>
      <c r="AH28" s="1085"/>
      <c r="AI28" s="67"/>
      <c r="AJ28" s="906">
        <f t="shared" si="1"/>
        <v>-50.8</v>
      </c>
      <c r="AK28" s="899"/>
      <c r="AL28" s="1863">
        <f t="shared" si="2"/>
        <v>-1</v>
      </c>
    </row>
    <row r="29" spans="1:38" s="763" customFormat="1" ht="15" customHeight="1">
      <c r="A29" s="1080"/>
      <c r="B29" s="1091" t="s">
        <v>1233</v>
      </c>
      <c r="C29" s="29"/>
      <c r="D29" s="1880">
        <f>ROUND(SUM(D20:D28),1)</f>
        <v>197.4</v>
      </c>
      <c r="E29" s="933"/>
      <c r="F29" s="1880">
        <f>ROUND(SUM(F20:F28),1)</f>
        <v>145.69999999999999</v>
      </c>
      <c r="G29" s="933"/>
      <c r="H29" s="1880">
        <f>ROUND(SUM(H20:H28),1)</f>
        <v>170.2</v>
      </c>
      <c r="I29" s="933"/>
      <c r="J29" s="1880">
        <f>ROUND(SUM(J20:J28),1)</f>
        <v>163.80000000000001</v>
      </c>
      <c r="K29" s="933"/>
      <c r="L29" s="61">
        <f>ROUND(SUM(L20:L28),1)</f>
        <v>154.69999999999999</v>
      </c>
      <c r="M29" s="933"/>
      <c r="N29" s="61">
        <f>ROUND(SUM(N20:N28),1)</f>
        <v>181.2</v>
      </c>
      <c r="O29" s="933"/>
      <c r="P29" s="2078">
        <f>ROUND(SUM(P20:P28),1)</f>
        <v>156.9</v>
      </c>
      <c r="Q29" s="1489"/>
      <c r="R29" s="2078">
        <f>ROUND(SUM(R20:R28),1)</f>
        <v>149.1</v>
      </c>
      <c r="S29" s="1489"/>
      <c r="T29" s="2078">
        <f>ROUND(SUM(T20:T28),1)</f>
        <v>186.5</v>
      </c>
      <c r="U29" s="1489"/>
      <c r="V29" s="2078">
        <f>ROUND(SUM(V20:V28),1)</f>
        <v>155.1</v>
      </c>
      <c r="W29" s="1489"/>
      <c r="X29" s="2078">
        <f>ROUND(SUM(X20:X28),1)</f>
        <v>127.6</v>
      </c>
      <c r="Y29" s="1489"/>
      <c r="Z29" s="2078">
        <f>ROUND(SUM(Z20:Z28),1)</f>
        <v>0</v>
      </c>
      <c r="AA29" s="1472"/>
      <c r="AB29" s="1489"/>
      <c r="AC29" s="2057"/>
      <c r="AD29" s="2062">
        <f>ROUND(SUM(AD20:AD28),1)</f>
        <v>1788.2</v>
      </c>
      <c r="AE29" s="2095"/>
      <c r="AF29" s="3295"/>
      <c r="AG29" s="2062">
        <f>ROUND(SUM(AG20:AG28),1)</f>
        <v>1845.9</v>
      </c>
      <c r="AH29" s="283"/>
      <c r="AI29" s="76"/>
      <c r="AJ29" s="61">
        <f>ROUND(SUM(AJ20:AJ28),1)</f>
        <v>-57.7</v>
      </c>
      <c r="AK29" s="209"/>
      <c r="AL29" s="1061">
        <f t="shared" si="2"/>
        <v>-3.1E-2</v>
      </c>
    </row>
    <row r="30" spans="1:38" ht="15" customHeight="1">
      <c r="A30" s="150"/>
      <c r="B30" s="1216" t="s">
        <v>1101</v>
      </c>
      <c r="C30" s="31"/>
      <c r="D30" s="1566"/>
      <c r="E30" s="1566"/>
      <c r="F30" s="1566"/>
      <c r="G30" s="1566"/>
      <c r="H30" s="1566"/>
      <c r="I30" s="1566"/>
      <c r="J30" s="1566"/>
      <c r="K30" s="66"/>
      <c r="L30" s="66"/>
      <c r="M30" s="66"/>
      <c r="N30" s="66"/>
      <c r="O30" s="66"/>
      <c r="P30" s="2051"/>
      <c r="Q30" s="2051"/>
      <c r="R30" s="2051"/>
      <c r="S30" s="2051"/>
      <c r="T30" s="2051"/>
      <c r="U30" s="2051"/>
      <c r="V30" s="2051"/>
      <c r="W30" s="2051"/>
      <c r="X30" s="2051"/>
      <c r="Y30" s="2051"/>
      <c r="Z30" s="2051"/>
      <c r="AA30" s="2051"/>
      <c r="AB30" s="2051"/>
      <c r="AC30" s="2054"/>
      <c r="AD30" s="2040"/>
      <c r="AE30" s="2040"/>
      <c r="AF30" s="3293"/>
      <c r="AG30" s="2040"/>
      <c r="AH30" s="276"/>
      <c r="AI30" s="56"/>
      <c r="AJ30" s="652"/>
      <c r="AK30" s="931"/>
      <c r="AL30" s="931"/>
    </row>
    <row r="31" spans="1:38" s="898" customFormat="1" ht="15" customHeight="1">
      <c r="A31" s="1082"/>
      <c r="B31" s="1090" t="s">
        <v>1120</v>
      </c>
      <c r="C31" s="107"/>
      <c r="D31" s="907">
        <v>102.60000000000001</v>
      </c>
      <c r="E31" s="1882"/>
      <c r="F31" s="1055">
        <v>6</v>
      </c>
      <c r="G31" s="1882"/>
      <c r="H31" s="907">
        <v>175.39999999999998</v>
      </c>
      <c r="I31" s="1566"/>
      <c r="J31" s="907">
        <v>36.899999999999977</v>
      </c>
      <c r="K31" s="1572"/>
      <c r="L31" s="907">
        <v>21.4</v>
      </c>
      <c r="M31" s="1572"/>
      <c r="N31" s="907">
        <v>150.00000000000003</v>
      </c>
      <c r="O31" s="1572"/>
      <c r="P31" s="1830">
        <v>27.300000000000011</v>
      </c>
      <c r="Q31" s="2043"/>
      <c r="R31" s="1830">
        <v>39.199999999999932</v>
      </c>
      <c r="S31" s="2043"/>
      <c r="T31" s="1830">
        <v>174.90000000000012</v>
      </c>
      <c r="U31" s="2043"/>
      <c r="V31" s="1830">
        <v>31.099999999999937</v>
      </c>
      <c r="W31" s="2043"/>
      <c r="X31" s="1830">
        <f t="shared" ref="X31:X35" si="4">$AD31-$D31-$F31-$H31-$J31-$L31-$N31-$P31-$R31-$T31-$V31</f>
        <v>52.5</v>
      </c>
      <c r="Y31" s="2043"/>
      <c r="Z31" s="1830"/>
      <c r="AA31" s="2044"/>
      <c r="AB31" s="2045"/>
      <c r="AC31" s="2047"/>
      <c r="AD31" s="1830">
        <v>817.3</v>
      </c>
      <c r="AE31" s="2077"/>
      <c r="AF31" s="3294"/>
      <c r="AG31" s="1830">
        <v>699.9</v>
      </c>
      <c r="AH31" s="1085"/>
      <c r="AI31" s="67"/>
      <c r="AJ31" s="906">
        <f>ROUND(SUM(+AD31-AG31),1)</f>
        <v>117.4</v>
      </c>
      <c r="AK31" s="899"/>
      <c r="AL31" s="1863">
        <f t="shared" ref="AL31:AL36" si="5">ROUND(IF(AG31=0,0,AJ31/ABS(AG31)),3)</f>
        <v>0.16800000000000001</v>
      </c>
    </row>
    <row r="32" spans="1:38" s="898" customFormat="1" ht="15" customHeight="1">
      <c r="A32" s="1082"/>
      <c r="B32" s="1090" t="s">
        <v>1121</v>
      </c>
      <c r="C32" s="107"/>
      <c r="D32" s="907">
        <v>23.4</v>
      </c>
      <c r="E32" s="1882"/>
      <c r="F32" s="907">
        <v>-0.5</v>
      </c>
      <c r="G32" s="1882"/>
      <c r="H32" s="907">
        <v>23.5</v>
      </c>
      <c r="I32" s="1566"/>
      <c r="J32" s="907">
        <v>0.20000000000000284</v>
      </c>
      <c r="K32" s="1572"/>
      <c r="L32" s="907">
        <v>-0.89999999999999858</v>
      </c>
      <c r="M32" s="1572"/>
      <c r="N32" s="907">
        <v>32.399999999999991</v>
      </c>
      <c r="O32" s="1572"/>
      <c r="P32" s="1830">
        <v>0.80000000000001137</v>
      </c>
      <c r="Q32" s="2043"/>
      <c r="R32" s="1830">
        <v>1.1999999999999886</v>
      </c>
      <c r="S32" s="2043"/>
      <c r="T32" s="1830">
        <v>29.600000000000009</v>
      </c>
      <c r="U32" s="2043"/>
      <c r="V32" s="1830">
        <v>-0.30000000000000426</v>
      </c>
      <c r="W32" s="2043"/>
      <c r="X32" s="1830">
        <f t="shared" si="4"/>
        <v>0.19999999999998863</v>
      </c>
      <c r="Y32" s="2043"/>
      <c r="Z32" s="1830"/>
      <c r="AA32" s="2044"/>
      <c r="AB32" s="2045"/>
      <c r="AC32" s="2047"/>
      <c r="AD32" s="1830">
        <v>109.6</v>
      </c>
      <c r="AE32" s="2077"/>
      <c r="AF32" s="3294"/>
      <c r="AG32" s="1830">
        <v>105.6</v>
      </c>
      <c r="AH32" s="1085"/>
      <c r="AI32" s="67"/>
      <c r="AJ32" s="906">
        <f>ROUND(SUM(+AD32-AG32),1)</f>
        <v>4</v>
      </c>
      <c r="AK32" s="899"/>
      <c r="AL32" s="1863">
        <f t="shared" si="5"/>
        <v>3.7999999999999999E-2</v>
      </c>
    </row>
    <row r="33" spans="1:39" s="898" customFormat="1" ht="15" customHeight="1">
      <c r="A33" s="1082"/>
      <c r="B33" s="1090" t="s">
        <v>1122</v>
      </c>
      <c r="C33" s="107"/>
      <c r="D33" s="907">
        <v>14.4</v>
      </c>
      <c r="E33" s="1882"/>
      <c r="F33" s="907">
        <v>8.6</v>
      </c>
      <c r="G33" s="1882"/>
      <c r="H33" s="907">
        <v>48.5</v>
      </c>
      <c r="I33" s="1566"/>
      <c r="J33" s="907">
        <v>5.9000000000000057</v>
      </c>
      <c r="K33" s="1572"/>
      <c r="L33" s="907">
        <v>-3.8000000000000114</v>
      </c>
      <c r="M33" s="1572"/>
      <c r="N33" s="907">
        <v>49</v>
      </c>
      <c r="O33" s="1572"/>
      <c r="P33" s="1830">
        <v>-1.2999999999999972</v>
      </c>
      <c r="Q33" s="2043"/>
      <c r="R33" s="1830">
        <v>-0.29999999999999716</v>
      </c>
      <c r="S33" s="2043"/>
      <c r="T33" s="1830">
        <v>62.699999999999989</v>
      </c>
      <c r="U33" s="2043"/>
      <c r="V33" s="1830">
        <v>-0.89999999999997726</v>
      </c>
      <c r="W33" s="2043"/>
      <c r="X33" s="1830">
        <f t="shared" si="4"/>
        <v>-0.60000000000002274</v>
      </c>
      <c r="Y33" s="2043"/>
      <c r="Z33" s="1830"/>
      <c r="AA33" s="2044"/>
      <c r="AB33" s="2045"/>
      <c r="AC33" s="2047"/>
      <c r="AD33" s="1830">
        <v>182.2</v>
      </c>
      <c r="AE33" s="2077"/>
      <c r="AF33" s="3294"/>
      <c r="AG33" s="1830">
        <v>128.80000000000001</v>
      </c>
      <c r="AH33" s="1085"/>
      <c r="AI33" s="67"/>
      <c r="AJ33" s="906">
        <f>ROUND(SUM(+AD33-AG33),1)</f>
        <v>53.4</v>
      </c>
      <c r="AK33" s="899"/>
      <c r="AL33" s="1864">
        <f t="shared" si="5"/>
        <v>0.41499999999999998</v>
      </c>
    </row>
    <row r="34" spans="1:39" s="898" customFormat="1" ht="15" customHeight="1">
      <c r="A34" s="1082"/>
      <c r="B34" s="1090" t="s">
        <v>1123</v>
      </c>
      <c r="C34" s="107"/>
      <c r="D34" s="907">
        <v>19.899999999999999</v>
      </c>
      <c r="E34" s="1882"/>
      <c r="F34" s="907">
        <v>-16.399999999999999</v>
      </c>
      <c r="G34" s="1882"/>
      <c r="H34" s="907">
        <v>0.40000000000000036</v>
      </c>
      <c r="I34" s="1566"/>
      <c r="J34" s="907">
        <v>9.9999999999999645E-2</v>
      </c>
      <c r="K34" s="1572"/>
      <c r="L34" s="907">
        <v>-9.9999999999999645E-2</v>
      </c>
      <c r="M34" s="1572"/>
      <c r="N34" s="907">
        <v>-0.40000000000000036</v>
      </c>
      <c r="O34" s="1572"/>
      <c r="P34" s="1830">
        <v>-0.19999999999999929</v>
      </c>
      <c r="Q34" s="2043"/>
      <c r="R34" s="1830">
        <v>-5.1999999999999993</v>
      </c>
      <c r="S34" s="2043"/>
      <c r="T34" s="1830">
        <v>-0.10000000000000142</v>
      </c>
      <c r="U34" s="2043"/>
      <c r="V34" s="1830">
        <v>0.10000000000000142</v>
      </c>
      <c r="W34" s="2043"/>
      <c r="X34" s="1830">
        <f t="shared" si="4"/>
        <v>5.2999999999999972</v>
      </c>
      <c r="Y34" s="2043"/>
      <c r="Z34" s="1830"/>
      <c r="AA34" s="2044"/>
      <c r="AB34" s="2045"/>
      <c r="AC34" s="2047"/>
      <c r="AD34" s="1830">
        <v>3.4</v>
      </c>
      <c r="AE34" s="2077"/>
      <c r="AF34" s="3294"/>
      <c r="AG34" s="1830">
        <v>-17.600000000000001</v>
      </c>
      <c r="AH34" s="1085"/>
      <c r="AI34" s="67"/>
      <c r="AJ34" s="906">
        <f>ROUND(SUM(+AD34-AG34),1)</f>
        <v>21</v>
      </c>
      <c r="AK34" s="899"/>
      <c r="AL34" s="1864">
        <f t="shared" si="5"/>
        <v>1.1930000000000001</v>
      </c>
    </row>
    <row r="35" spans="1:39" s="898" customFormat="1" ht="15" customHeight="1">
      <c r="A35" s="1082"/>
      <c r="B35" s="1090" t="s">
        <v>1124</v>
      </c>
      <c r="C35" s="107"/>
      <c r="D35" s="907">
        <v>44.1</v>
      </c>
      <c r="E35" s="1882"/>
      <c r="F35" s="907">
        <v>43.9</v>
      </c>
      <c r="G35" s="1882"/>
      <c r="H35" s="907">
        <v>45.400000000000013</v>
      </c>
      <c r="I35" s="1566"/>
      <c r="J35" s="907">
        <v>41.299999999999976</v>
      </c>
      <c r="K35" s="1572"/>
      <c r="L35" s="907">
        <v>47.000000000000007</v>
      </c>
      <c r="M35" s="1572"/>
      <c r="N35" s="907">
        <v>43.900000000000027</v>
      </c>
      <c r="O35" s="1572"/>
      <c r="P35" s="1830">
        <v>47.199999999999967</v>
      </c>
      <c r="Q35" s="2043"/>
      <c r="R35" s="1830">
        <v>40.800000000000033</v>
      </c>
      <c r="S35" s="2043"/>
      <c r="T35" s="1830">
        <v>39.799999999999933</v>
      </c>
      <c r="U35" s="2043"/>
      <c r="V35" s="1830">
        <v>43.100000000000044</v>
      </c>
      <c r="W35" s="2043"/>
      <c r="X35" s="1830">
        <f t="shared" si="4"/>
        <v>35.000000000000007</v>
      </c>
      <c r="Y35" s="2043"/>
      <c r="Z35" s="1830"/>
      <c r="AA35" s="2044"/>
      <c r="AB35" s="2045"/>
      <c r="AC35" s="2047"/>
      <c r="AD35" s="1830">
        <v>471.5</v>
      </c>
      <c r="AE35" s="2077"/>
      <c r="AF35" s="3294"/>
      <c r="AG35" s="1830">
        <v>468.1</v>
      </c>
      <c r="AH35" s="1085"/>
      <c r="AI35" s="67"/>
      <c r="AJ35" s="906">
        <f>ROUND(SUM(+AD35-AG35),1)</f>
        <v>3.4</v>
      </c>
      <c r="AK35" s="899"/>
      <c r="AL35" s="1863">
        <f t="shared" si="5"/>
        <v>7.0000000000000001E-3</v>
      </c>
    </row>
    <row r="36" spans="1:39" s="763" customFormat="1" ht="15" customHeight="1">
      <c r="A36" s="1080"/>
      <c r="B36" s="1091" t="s">
        <v>1236</v>
      </c>
      <c r="C36" s="29"/>
      <c r="D36" s="1880">
        <f>ROUND(SUM(D31:D35),1)</f>
        <v>204.4</v>
      </c>
      <c r="E36" s="933"/>
      <c r="F36" s="1880">
        <f>ROUND(SUM(F31:F35),1)</f>
        <v>41.6</v>
      </c>
      <c r="G36" s="933"/>
      <c r="H36" s="1880">
        <f>ROUND(SUM(H31:H35),1)</f>
        <v>293.2</v>
      </c>
      <c r="I36" s="933"/>
      <c r="J36" s="1880">
        <f>ROUND(SUM(J31:J35),1)</f>
        <v>84.4</v>
      </c>
      <c r="K36" s="933"/>
      <c r="L36" s="61">
        <f>ROUND(SUM(L31:L35),1)</f>
        <v>63.6</v>
      </c>
      <c r="M36" s="933"/>
      <c r="N36" s="61">
        <f>ROUND(SUM(N31:N35),1)</f>
        <v>274.89999999999998</v>
      </c>
      <c r="O36" s="933"/>
      <c r="P36" s="2078">
        <f>ROUND(SUM(P31:P35),1)</f>
        <v>73.8</v>
      </c>
      <c r="Q36" s="1489"/>
      <c r="R36" s="2078">
        <f>ROUND(SUM(R31:R35),1)</f>
        <v>75.7</v>
      </c>
      <c r="S36" s="1489"/>
      <c r="T36" s="2078">
        <f>ROUND(SUM(T31:T35),1)</f>
        <v>306.89999999999998</v>
      </c>
      <c r="U36" s="1489"/>
      <c r="V36" s="2078">
        <f>ROUND(SUM(V31:V35),1)</f>
        <v>73.099999999999994</v>
      </c>
      <c r="W36" s="1489"/>
      <c r="X36" s="2078">
        <f>ROUND(SUM(X31:X35),1)</f>
        <v>92.4</v>
      </c>
      <c r="Y36" s="1489"/>
      <c r="Z36" s="2078">
        <f>ROUND(SUM(Z31:Z35),1)</f>
        <v>0</v>
      </c>
      <c r="AA36" s="1472"/>
      <c r="AB36" s="1489"/>
      <c r="AC36" s="2057"/>
      <c r="AD36" s="2062">
        <f>ROUND(SUM(AD31:AD35),1)</f>
        <v>1584</v>
      </c>
      <c r="AE36" s="2095"/>
      <c r="AF36" s="3295"/>
      <c r="AG36" s="2062">
        <f>ROUND(SUM(AG31:AG35),1)</f>
        <v>1384.8</v>
      </c>
      <c r="AH36" s="283"/>
      <c r="AI36" s="76"/>
      <c r="AJ36" s="61">
        <f>ROUND(SUM(AJ31:AJ35),1)</f>
        <v>199.2</v>
      </c>
      <c r="AK36" s="209"/>
      <c r="AL36" s="1435">
        <f t="shared" si="5"/>
        <v>0.14399999999999999</v>
      </c>
    </row>
    <row r="37" spans="1:39" ht="15" customHeight="1">
      <c r="A37" s="150"/>
      <c r="B37" s="1091"/>
      <c r="C37" s="31"/>
      <c r="D37" s="1566"/>
      <c r="E37" s="1566"/>
      <c r="F37" s="1566"/>
      <c r="G37" s="1566"/>
      <c r="H37" s="1566"/>
      <c r="I37" s="1566"/>
      <c r="J37" s="1566"/>
      <c r="K37" s="66"/>
      <c r="L37" s="66"/>
      <c r="M37" s="66"/>
      <c r="N37" s="66"/>
      <c r="O37" s="66"/>
      <c r="P37" s="2051"/>
      <c r="Q37" s="2051"/>
      <c r="R37" s="2051"/>
      <c r="S37" s="2051"/>
      <c r="T37" s="2051"/>
      <c r="U37" s="2051"/>
      <c r="V37" s="2051"/>
      <c r="W37" s="2051"/>
      <c r="X37" s="2051"/>
      <c r="Y37" s="2051"/>
      <c r="Z37" s="2051"/>
      <c r="AA37" s="2051"/>
      <c r="AB37" s="2051"/>
      <c r="AC37" s="2079"/>
      <c r="AD37" s="2021"/>
      <c r="AE37" s="2040"/>
      <c r="AF37" s="3293"/>
      <c r="AG37" s="2021"/>
      <c r="AH37" s="276"/>
      <c r="AI37" s="56"/>
      <c r="AJ37" s="652"/>
      <c r="AK37" s="931"/>
      <c r="AL37" s="1461"/>
    </row>
    <row r="38" spans="1:39" ht="15" customHeight="1">
      <c r="A38" s="150"/>
      <c r="B38" s="312" t="s">
        <v>1098</v>
      </c>
      <c r="C38" s="31"/>
      <c r="D38" s="3696">
        <f>ROUND(SUM(D17+D29+D36),1)</f>
        <v>401.8</v>
      </c>
      <c r="E38" s="1566"/>
      <c r="F38" s="3696">
        <f>ROUND(SUM(F17+F29+F36),1)</f>
        <v>187.3</v>
      </c>
      <c r="G38" s="1566"/>
      <c r="H38" s="3696">
        <f>ROUND(SUM(H17+H29+H36),1)</f>
        <v>463.4</v>
      </c>
      <c r="I38" s="1566"/>
      <c r="J38" s="3696">
        <f>ROUND(SUM(J17+J29+J36),1)</f>
        <v>248.2</v>
      </c>
      <c r="K38" s="66"/>
      <c r="L38" s="3696">
        <f>ROUND(SUM(L17+L29+L36),1)</f>
        <v>218.3</v>
      </c>
      <c r="M38" s="1566"/>
      <c r="N38" s="3696">
        <f>ROUND(SUM(N17+N29+N36),1)</f>
        <v>456.1</v>
      </c>
      <c r="O38" s="1566"/>
      <c r="P38" s="3696">
        <f>ROUND(SUM(P17+P29+P36),1)</f>
        <v>230.9</v>
      </c>
      <c r="Q38" s="1566"/>
      <c r="R38" s="3696">
        <f>ROUND(SUM(R17+R29+R36),1)</f>
        <v>227.8</v>
      </c>
      <c r="S38" s="2051"/>
      <c r="T38" s="3696">
        <f>ROUND(SUM(T17+T29+T36),1)</f>
        <v>531.9</v>
      </c>
      <c r="U38" s="1566"/>
      <c r="V38" s="3696">
        <f>ROUND(SUM(V17+V29+V36),1)</f>
        <v>2335.6</v>
      </c>
      <c r="W38" s="1566"/>
      <c r="X38" s="3696">
        <f>ROUND(SUM(X17+X29+X36),1)</f>
        <v>220</v>
      </c>
      <c r="Y38" s="1566"/>
      <c r="Z38" s="3696">
        <f>ROUND(SUM(Z17+Z29+Z36),1)</f>
        <v>0</v>
      </c>
      <c r="AA38" s="2081"/>
      <c r="AB38" s="2051"/>
      <c r="AC38" s="2082"/>
      <c r="AD38" s="3696">
        <f>ROUND(SUM(AD17+AD29+AD36),1)</f>
        <v>5521.3</v>
      </c>
      <c r="AE38" s="2040"/>
      <c r="AF38" s="2084"/>
      <c r="AG38" s="3696">
        <f>ROUND(SUM(AG17+AG29+AG36),1)</f>
        <v>5640.7</v>
      </c>
      <c r="AH38" s="280"/>
      <c r="AI38" s="56"/>
      <c r="AJ38" s="3696">
        <f>ROUND(SUM(AJ17+AJ29+AJ36),1)</f>
        <v>-119.4</v>
      </c>
      <c r="AK38" s="652"/>
      <c r="AL38" s="3697">
        <f>ROUND(IF(AG38=0,0,AJ38/ABS(AG38)),3)</f>
        <v>-2.1000000000000001E-2</v>
      </c>
      <c r="AM38" s="794"/>
    </row>
    <row r="39" spans="1:39" ht="15" customHeight="1">
      <c r="A39" s="150"/>
      <c r="B39" s="31"/>
      <c r="C39" s="31"/>
      <c r="D39" s="690"/>
      <c r="E39" s="1566"/>
      <c r="F39" s="690"/>
      <c r="G39" s="1566"/>
      <c r="H39" s="1566"/>
      <c r="I39" s="1566"/>
      <c r="J39" s="690"/>
      <c r="K39" s="66"/>
      <c r="L39" s="77"/>
      <c r="M39" s="66"/>
      <c r="N39" s="77"/>
      <c r="O39" s="66"/>
      <c r="P39" s="2060"/>
      <c r="Q39" s="2051"/>
      <c r="R39" s="2060"/>
      <c r="S39" s="2051"/>
      <c r="T39" s="2060"/>
      <c r="U39" s="2051"/>
      <c r="V39" s="2060"/>
      <c r="W39" s="2051"/>
      <c r="X39" s="2060"/>
      <c r="Y39" s="2051"/>
      <c r="Z39" s="2060"/>
      <c r="AA39" s="2060"/>
      <c r="AB39" s="2051"/>
      <c r="AC39" s="2082"/>
      <c r="AD39" s="2168"/>
      <c r="AE39" s="2713"/>
      <c r="AF39" s="2042"/>
      <c r="AG39" s="2168"/>
      <c r="AH39" s="280"/>
      <c r="AI39" s="56"/>
      <c r="AJ39" s="652"/>
      <c r="AK39" s="652"/>
      <c r="AL39" s="1459"/>
      <c r="AM39" s="794"/>
    </row>
    <row r="40" spans="1:39" ht="15" customHeight="1">
      <c r="A40" s="150"/>
      <c r="B40" s="261" t="s">
        <v>1033</v>
      </c>
      <c r="C40" s="31"/>
      <c r="D40" s="690"/>
      <c r="E40" s="1566"/>
      <c r="F40" s="690"/>
      <c r="G40" s="1566"/>
      <c r="H40" s="1566"/>
      <c r="I40" s="1566"/>
      <c r="J40" s="690"/>
      <c r="K40" s="66"/>
      <c r="L40" s="77"/>
      <c r="M40" s="66"/>
      <c r="N40" s="77"/>
      <c r="O40" s="66"/>
      <c r="P40" s="2060"/>
      <c r="Q40" s="2051"/>
      <c r="R40" s="2060"/>
      <c r="S40" s="2051"/>
      <c r="T40" s="2060"/>
      <c r="U40" s="2051"/>
      <c r="V40" s="2060"/>
      <c r="W40" s="2051"/>
      <c r="X40" s="2060"/>
      <c r="Y40" s="2051"/>
      <c r="Z40" s="2060"/>
      <c r="AA40" s="2060"/>
      <c r="AB40" s="2051"/>
      <c r="AC40" s="2082"/>
      <c r="AD40" s="2040"/>
      <c r="AE40" s="2040"/>
      <c r="AF40" s="2042"/>
      <c r="AG40" s="2040"/>
      <c r="AH40" s="276"/>
      <c r="AI40" s="56"/>
      <c r="AJ40" s="652"/>
      <c r="AK40" s="652"/>
      <c r="AL40" s="1459"/>
      <c r="AM40" s="794"/>
    </row>
    <row r="41" spans="1:39" ht="15" customHeight="1">
      <c r="A41" s="150"/>
      <c r="B41" s="903" t="s">
        <v>1154</v>
      </c>
      <c r="C41" s="31"/>
      <c r="D41" s="690"/>
      <c r="E41" s="1566"/>
      <c r="F41" s="690"/>
      <c r="G41" s="1566"/>
      <c r="H41" s="1566"/>
      <c r="I41" s="1566"/>
      <c r="J41" s="690"/>
      <c r="K41" s="66"/>
      <c r="L41" s="77"/>
      <c r="M41" s="66"/>
      <c r="N41" s="77"/>
      <c r="O41" s="66"/>
      <c r="P41" s="2060"/>
      <c r="Q41" s="2051"/>
      <c r="R41" s="2060"/>
      <c r="S41" s="2051"/>
      <c r="T41" s="2060"/>
      <c r="U41" s="2051"/>
      <c r="V41" s="2060"/>
      <c r="W41" s="2051"/>
      <c r="X41" s="2060"/>
      <c r="Y41" s="2051"/>
      <c r="Z41" s="2060"/>
      <c r="AA41" s="2060"/>
      <c r="AB41" s="2051"/>
      <c r="AC41" s="2082"/>
      <c r="AD41" s="2040"/>
      <c r="AE41" s="2040"/>
      <c r="AF41" s="2042"/>
      <c r="AG41" s="2040"/>
      <c r="AH41" s="276"/>
      <c r="AI41" s="56"/>
      <c r="AJ41" s="652"/>
      <c r="AK41" s="652"/>
      <c r="AL41" s="1459"/>
      <c r="AM41" s="794"/>
    </row>
    <row r="42" spans="1:39" s="898" customFormat="1" ht="15" customHeight="1">
      <c r="A42" s="1082"/>
      <c r="B42" s="903" t="s">
        <v>1066</v>
      </c>
      <c r="C42" s="107"/>
      <c r="D42" s="907">
        <v>1.1000000000000001</v>
      </c>
      <c r="E42" s="906"/>
      <c r="F42" s="907">
        <v>1.1000000000000001</v>
      </c>
      <c r="G42" s="906"/>
      <c r="H42" s="907">
        <v>0.89999999999999991</v>
      </c>
      <c r="I42" s="906"/>
      <c r="J42" s="907">
        <v>0.89999999999999991</v>
      </c>
      <c r="K42" s="1572"/>
      <c r="L42" s="907">
        <v>0.79999999999999982</v>
      </c>
      <c r="M42" s="1572"/>
      <c r="N42" s="907">
        <v>0.80000000000000027</v>
      </c>
      <c r="O42" s="1572"/>
      <c r="P42" s="1830">
        <v>1.1999999999999997</v>
      </c>
      <c r="Q42" s="2043"/>
      <c r="R42" s="1830">
        <v>0.89999999999999991</v>
      </c>
      <c r="S42" s="2043"/>
      <c r="T42" s="1830">
        <v>1.100000000000001</v>
      </c>
      <c r="U42" s="2043"/>
      <c r="V42" s="1830">
        <v>0.89999999999999902</v>
      </c>
      <c r="W42" s="2043"/>
      <c r="X42" s="1830">
        <f t="shared" ref="X42:X80" si="6">$AD42-$D42-$F42-$H42-$J42-$L42-$N42-$P42-$R42-$T42-$V42</f>
        <v>1.5000000000000004</v>
      </c>
      <c r="Y42" s="2043"/>
      <c r="Z42" s="1830"/>
      <c r="AA42" s="2044"/>
      <c r="AB42" s="2045"/>
      <c r="AC42" s="2047"/>
      <c r="AD42" s="1830">
        <v>11.2</v>
      </c>
      <c r="AE42" s="2077"/>
      <c r="AF42" s="3294"/>
      <c r="AG42" s="1830">
        <v>10.3</v>
      </c>
      <c r="AH42" s="1085"/>
      <c r="AI42" s="67"/>
      <c r="AJ42" s="906">
        <f t="shared" ref="AJ42:AJ80" si="7">ROUND(SUM(+AD42-AG42),1)</f>
        <v>0.9</v>
      </c>
      <c r="AK42" s="906"/>
      <c r="AL42" s="1859">
        <f>ROUND(IF(AG42=0,0,AJ42/ABS(AG42)),3)</f>
        <v>8.6999999999999994E-2</v>
      </c>
      <c r="AM42" s="1860"/>
    </row>
    <row r="43" spans="1:39" s="898" customFormat="1" ht="15" customHeight="1">
      <c r="A43" s="1082"/>
      <c r="B43" s="903" t="s">
        <v>1155</v>
      </c>
      <c r="C43" s="107"/>
      <c r="D43" s="907" t="s">
        <v>15</v>
      </c>
      <c r="E43" s="1566"/>
      <c r="F43" s="907"/>
      <c r="G43" s="1566"/>
      <c r="H43" s="907"/>
      <c r="I43" s="1566"/>
      <c r="J43" s="907"/>
      <c r="K43" s="118"/>
      <c r="L43" s="907"/>
      <c r="M43" s="906"/>
      <c r="N43" s="907"/>
      <c r="O43" s="118"/>
      <c r="P43" s="1830"/>
      <c r="Q43" s="2040"/>
      <c r="R43" s="1830"/>
      <c r="S43" s="2040"/>
      <c r="T43" s="1830"/>
      <c r="U43" s="2040"/>
      <c r="V43" s="1830"/>
      <c r="W43" s="2040"/>
      <c r="X43" s="1830"/>
      <c r="Y43" s="2040"/>
      <c r="Z43" s="1830"/>
      <c r="AA43" s="2039"/>
      <c r="AB43" s="2040"/>
      <c r="AC43" s="2084"/>
      <c r="AD43" s="2040"/>
      <c r="AE43" s="2040"/>
      <c r="AF43" s="2042"/>
      <c r="AG43" s="2040"/>
      <c r="AH43" s="1085"/>
      <c r="AI43" s="67"/>
      <c r="AJ43" s="906"/>
      <c r="AK43" s="906"/>
      <c r="AL43" s="1859"/>
      <c r="AM43" s="1860"/>
    </row>
    <row r="44" spans="1:39" s="898" customFormat="1" ht="15" customHeight="1">
      <c r="A44" s="1082"/>
      <c r="B44" s="903" t="s">
        <v>1068</v>
      </c>
      <c r="C44" s="107"/>
      <c r="D44" s="907">
        <v>66.400000000000006</v>
      </c>
      <c r="E44" s="1566"/>
      <c r="F44" s="907">
        <v>33.599999999999994</v>
      </c>
      <c r="G44" s="1566"/>
      <c r="H44" s="907">
        <v>94.199999999999989</v>
      </c>
      <c r="I44" s="1566"/>
      <c r="J44" s="907">
        <v>49.200000000000017</v>
      </c>
      <c r="K44" s="1572"/>
      <c r="L44" s="907">
        <v>43.900000000000006</v>
      </c>
      <c r="M44" s="1572"/>
      <c r="N44" s="907">
        <v>68.30000000000004</v>
      </c>
      <c r="O44" s="1572"/>
      <c r="P44" s="1830">
        <v>68.099999999999881</v>
      </c>
      <c r="Q44" s="2043"/>
      <c r="R44" s="1830">
        <v>28.800000000000068</v>
      </c>
      <c r="S44" s="2043"/>
      <c r="T44" s="1830">
        <v>72.600000000000051</v>
      </c>
      <c r="U44" s="2043"/>
      <c r="V44" s="1830">
        <v>91.799999999999955</v>
      </c>
      <c r="W44" s="2043"/>
      <c r="X44" s="1830">
        <f t="shared" si="6"/>
        <v>38.300000000000068</v>
      </c>
      <c r="Y44" s="2043"/>
      <c r="Z44" s="1830"/>
      <c r="AA44" s="2044"/>
      <c r="AB44" s="2045"/>
      <c r="AC44" s="2047"/>
      <c r="AD44" s="1830">
        <v>655.20000000000005</v>
      </c>
      <c r="AE44" s="2077"/>
      <c r="AF44" s="3294"/>
      <c r="AG44" s="1830">
        <v>612.70000000000005</v>
      </c>
      <c r="AH44" s="1085"/>
      <c r="AI44" s="67"/>
      <c r="AJ44" s="906">
        <f t="shared" si="7"/>
        <v>42.5</v>
      </c>
      <c r="AK44" s="906"/>
      <c r="AL44" s="1859">
        <f>ROUND(IF(AG44=0,0,AJ44/ABS(AG44)),3)</f>
        <v>6.9000000000000006E-2</v>
      </c>
      <c r="AM44" s="1860"/>
    </row>
    <row r="45" spans="1:39" s="898" customFormat="1" ht="15" customHeight="1">
      <c r="A45" s="1082"/>
      <c r="B45" s="903" t="s">
        <v>1069</v>
      </c>
      <c r="C45" s="107"/>
      <c r="D45" s="907">
        <v>625.70000000000005</v>
      </c>
      <c r="E45" s="1566"/>
      <c r="F45" s="907">
        <v>519.70000000000005</v>
      </c>
      <c r="G45" s="1566"/>
      <c r="H45" s="907">
        <v>504.69999999999982</v>
      </c>
      <c r="I45" s="1566"/>
      <c r="J45" s="907">
        <v>567.5</v>
      </c>
      <c r="K45" s="1572"/>
      <c r="L45" s="907">
        <v>515.90000000000032</v>
      </c>
      <c r="M45" s="1572"/>
      <c r="N45" s="907">
        <v>542.20000000000005</v>
      </c>
      <c r="O45" s="1572"/>
      <c r="P45" s="1830">
        <v>528.69999999999982</v>
      </c>
      <c r="Q45" s="2043"/>
      <c r="R45" s="1830">
        <v>469.10000000000036</v>
      </c>
      <c r="S45" s="2043"/>
      <c r="T45" s="1830">
        <v>522.39999999999941</v>
      </c>
      <c r="U45" s="2043"/>
      <c r="V45" s="1830">
        <v>573.50000000000023</v>
      </c>
      <c r="W45" s="2043"/>
      <c r="X45" s="1830">
        <f t="shared" si="6"/>
        <v>531.5</v>
      </c>
      <c r="Y45" s="2043"/>
      <c r="Z45" s="1830"/>
      <c r="AA45" s="2044"/>
      <c r="AB45" s="2045"/>
      <c r="AC45" s="2047"/>
      <c r="AD45" s="1830">
        <v>5900.9</v>
      </c>
      <c r="AE45" s="2077"/>
      <c r="AF45" s="3294"/>
      <c r="AG45" s="1830">
        <v>5566.3</v>
      </c>
      <c r="AH45" s="1085"/>
      <c r="AI45" s="67"/>
      <c r="AJ45" s="906">
        <f t="shared" si="7"/>
        <v>334.6</v>
      </c>
      <c r="AK45" s="906"/>
      <c r="AL45" s="1859">
        <f>ROUND(IF(AG45=0,0,AJ45/ABS(AG45)),3)</f>
        <v>0.06</v>
      </c>
      <c r="AM45" s="1860"/>
    </row>
    <row r="46" spans="1:39" ht="15" customHeight="1">
      <c r="A46" s="150"/>
      <c r="B46" s="903" t="s">
        <v>1070</v>
      </c>
      <c r="C46" s="31"/>
      <c r="D46" s="907">
        <v>5.0999999999999996</v>
      </c>
      <c r="E46" s="1566"/>
      <c r="F46" s="907">
        <v>0</v>
      </c>
      <c r="G46" s="1566"/>
      <c r="H46" s="907">
        <v>0.70000000000000018</v>
      </c>
      <c r="I46" s="1566"/>
      <c r="J46" s="907">
        <v>0</v>
      </c>
      <c r="K46" s="1572"/>
      <c r="L46" s="907">
        <v>0.90000000000000036</v>
      </c>
      <c r="M46" s="1572"/>
      <c r="N46" s="907">
        <v>44.199999999999996</v>
      </c>
      <c r="O46" s="1572"/>
      <c r="P46" s="1830">
        <v>-6</v>
      </c>
      <c r="Q46" s="2043"/>
      <c r="R46" s="1830">
        <v>-1.6999999999999957</v>
      </c>
      <c r="S46" s="2043"/>
      <c r="T46" s="1830">
        <v>0.79999999999999716</v>
      </c>
      <c r="U46" s="2043"/>
      <c r="V46" s="1830">
        <v>0</v>
      </c>
      <c r="W46" s="2043"/>
      <c r="X46" s="1830">
        <f t="shared" si="6"/>
        <v>11</v>
      </c>
      <c r="Y46" s="2043"/>
      <c r="Z46" s="1830"/>
      <c r="AA46" s="2044"/>
      <c r="AB46" s="2045"/>
      <c r="AC46" s="2047"/>
      <c r="AD46" s="1830">
        <v>55</v>
      </c>
      <c r="AE46" s="2077"/>
      <c r="AF46" s="3294"/>
      <c r="AG46" s="1830">
        <v>40.700000000000003</v>
      </c>
      <c r="AH46" s="276"/>
      <c r="AI46" s="56"/>
      <c r="AJ46" s="652">
        <f t="shared" si="7"/>
        <v>14.3</v>
      </c>
      <c r="AK46" s="652"/>
      <c r="AL46" s="1459">
        <f>ROUND(IF(AG46=0,0,AJ46/ABS(AG46)),3)</f>
        <v>0.35099999999999998</v>
      </c>
      <c r="AM46" s="794"/>
    </row>
    <row r="47" spans="1:39" ht="15" customHeight="1">
      <c r="A47" s="150"/>
      <c r="B47" s="903" t="s">
        <v>1071</v>
      </c>
      <c r="C47" s="31"/>
      <c r="D47" s="907">
        <v>0</v>
      </c>
      <c r="E47" s="1566"/>
      <c r="F47" s="907">
        <v>0.1</v>
      </c>
      <c r="G47" s="1566"/>
      <c r="H47" s="907">
        <v>0</v>
      </c>
      <c r="I47" s="1566"/>
      <c r="J47" s="907">
        <v>0</v>
      </c>
      <c r="K47" s="1572"/>
      <c r="L47" s="907">
        <v>0.1</v>
      </c>
      <c r="M47" s="1572"/>
      <c r="N47" s="907">
        <v>0</v>
      </c>
      <c r="O47" s="1572"/>
      <c r="P47" s="1830">
        <v>0</v>
      </c>
      <c r="Q47" s="2043"/>
      <c r="R47" s="1830">
        <v>-2.7755575615628914E-17</v>
      </c>
      <c r="S47" s="2043"/>
      <c r="T47" s="1830">
        <v>0.1</v>
      </c>
      <c r="U47" s="2043"/>
      <c r="V47" s="1830">
        <v>0.10000000000000006</v>
      </c>
      <c r="W47" s="2043"/>
      <c r="X47" s="1830">
        <f t="shared" si="6"/>
        <v>0</v>
      </c>
      <c r="Y47" s="2043"/>
      <c r="Z47" s="1830"/>
      <c r="AA47" s="2044"/>
      <c r="AB47" s="2045"/>
      <c r="AC47" s="2047"/>
      <c r="AD47" s="1830">
        <v>0.4</v>
      </c>
      <c r="AE47" s="2077"/>
      <c r="AF47" s="3294"/>
      <c r="AG47" s="1830">
        <v>1.3</v>
      </c>
      <c r="AH47" s="276"/>
      <c r="AI47" s="56"/>
      <c r="AJ47" s="652">
        <f t="shared" si="7"/>
        <v>-0.9</v>
      </c>
      <c r="AK47" s="652"/>
      <c r="AL47" s="1459">
        <f>ROUND(IF(AG47=0,0,AJ47/ABS(AG47)),3)</f>
        <v>-0.69199999999999995</v>
      </c>
      <c r="AM47" s="794"/>
    </row>
    <row r="48" spans="1:39" s="898" customFormat="1" ht="15" customHeight="1">
      <c r="A48" s="1082"/>
      <c r="B48" s="903" t="s">
        <v>1160</v>
      </c>
      <c r="C48" s="107"/>
      <c r="D48" s="907" t="s">
        <v>15</v>
      </c>
      <c r="E48" s="1566"/>
      <c r="F48" s="907"/>
      <c r="G48" s="1566"/>
      <c r="H48" s="907"/>
      <c r="I48" s="1566"/>
      <c r="J48" s="907"/>
      <c r="K48" s="118"/>
      <c r="L48" s="907"/>
      <c r="M48" s="118"/>
      <c r="N48" s="907"/>
      <c r="O48" s="118"/>
      <c r="P48" s="1830"/>
      <c r="Q48" s="2040"/>
      <c r="R48" s="1830"/>
      <c r="S48" s="2040"/>
      <c r="T48" s="1830"/>
      <c r="U48" s="2040"/>
      <c r="V48" s="1830"/>
      <c r="W48" s="2040"/>
      <c r="X48" s="1830"/>
      <c r="Y48" s="2040"/>
      <c r="Z48" s="1830"/>
      <c r="AA48" s="2039"/>
      <c r="AB48" s="2040"/>
      <c r="AC48" s="2084"/>
      <c r="AD48" s="3286"/>
      <c r="AE48" s="2040"/>
      <c r="AF48" s="2042"/>
      <c r="AG48" s="3286"/>
      <c r="AH48" s="1085"/>
      <c r="AI48" s="67"/>
      <c r="AJ48" s="906"/>
      <c r="AK48" s="906"/>
      <c r="AL48" s="1859"/>
      <c r="AM48" s="1860"/>
    </row>
    <row r="49" spans="1:39" s="898" customFormat="1" ht="15" customHeight="1">
      <c r="A49" s="1082"/>
      <c r="B49" s="903" t="s">
        <v>1255</v>
      </c>
      <c r="C49" s="107"/>
      <c r="D49" s="907">
        <v>0</v>
      </c>
      <c r="E49" s="1566"/>
      <c r="F49" s="907">
        <v>0.8</v>
      </c>
      <c r="G49" s="1566"/>
      <c r="H49" s="907">
        <v>1.4999999999999998</v>
      </c>
      <c r="I49" s="1566"/>
      <c r="J49" s="907">
        <v>0</v>
      </c>
      <c r="K49" s="1572"/>
      <c r="L49" s="907">
        <v>0.10000000000000009</v>
      </c>
      <c r="M49" s="1572"/>
      <c r="N49" s="907">
        <v>0.20000000000000018</v>
      </c>
      <c r="O49" s="1572"/>
      <c r="P49" s="1830">
        <v>0</v>
      </c>
      <c r="Q49" s="2043"/>
      <c r="R49" s="1830">
        <v>0</v>
      </c>
      <c r="S49" s="2043"/>
      <c r="T49" s="1830">
        <v>0</v>
      </c>
      <c r="U49" s="2043"/>
      <c r="V49" s="1830">
        <v>0</v>
      </c>
      <c r="W49" s="2043"/>
      <c r="X49" s="1830">
        <f t="shared" si="6"/>
        <v>0</v>
      </c>
      <c r="Y49" s="2043"/>
      <c r="Z49" s="1830"/>
      <c r="AA49" s="2044"/>
      <c r="AB49" s="2045"/>
      <c r="AC49" s="2047"/>
      <c r="AD49" s="1830">
        <v>2.6</v>
      </c>
      <c r="AE49" s="2077"/>
      <c r="AF49" s="3294"/>
      <c r="AG49" s="1830">
        <v>2.1</v>
      </c>
      <c r="AH49" s="1085"/>
      <c r="AI49" s="67"/>
      <c r="AJ49" s="906">
        <f>ROUND(SUM(+AD49-AG49),1)</f>
        <v>0.5</v>
      </c>
      <c r="AK49" s="906"/>
      <c r="AL49" s="1765">
        <f>ROUND(IF(AG49=0,0,AJ49/ABS(AG49)),3)</f>
        <v>0.23799999999999999</v>
      </c>
      <c r="AM49" s="1860"/>
    </row>
    <row r="50" spans="1:39" s="898" customFormat="1" ht="15" customHeight="1">
      <c r="A50" s="1082"/>
      <c r="B50" s="903" t="s">
        <v>1072</v>
      </c>
      <c r="C50" s="107"/>
      <c r="D50" s="907">
        <v>48.6</v>
      </c>
      <c r="E50" s="1566"/>
      <c r="F50" s="907">
        <v>36.9</v>
      </c>
      <c r="G50" s="1566"/>
      <c r="H50" s="907">
        <v>98</v>
      </c>
      <c r="I50" s="1566"/>
      <c r="J50" s="907">
        <v>47.5</v>
      </c>
      <c r="K50" s="1572"/>
      <c r="L50" s="907">
        <v>32.800000000000011</v>
      </c>
      <c r="M50" s="1572"/>
      <c r="N50" s="907">
        <v>95.599999999999966</v>
      </c>
      <c r="O50" s="1572"/>
      <c r="P50" s="1830">
        <v>49.400000000000034</v>
      </c>
      <c r="Q50" s="2043"/>
      <c r="R50" s="1830">
        <v>53.599999999999966</v>
      </c>
      <c r="S50" s="2043"/>
      <c r="T50" s="1830">
        <v>77.100000000000023</v>
      </c>
      <c r="U50" s="2043"/>
      <c r="V50" s="1830">
        <v>46.799999999999955</v>
      </c>
      <c r="W50" s="2043"/>
      <c r="X50" s="1830">
        <f t="shared" si="6"/>
        <v>36.400000000000091</v>
      </c>
      <c r="Y50" s="2043"/>
      <c r="Z50" s="1830"/>
      <c r="AA50" s="2044"/>
      <c r="AB50" s="2045"/>
      <c r="AC50" s="2047"/>
      <c r="AD50" s="1830">
        <v>622.70000000000005</v>
      </c>
      <c r="AE50" s="2077"/>
      <c r="AF50" s="3294"/>
      <c r="AG50" s="1830">
        <v>605.29999999999995</v>
      </c>
      <c r="AH50" s="1085"/>
      <c r="AI50" s="67"/>
      <c r="AJ50" s="906">
        <f t="shared" si="7"/>
        <v>17.399999999999999</v>
      </c>
      <c r="AK50" s="906"/>
      <c r="AL50" s="1859">
        <f t="shared" ref="AL50:AL55" si="8">ROUND(IF(AG50=0,0,AJ50/ABS(AG50)),3)</f>
        <v>2.9000000000000001E-2</v>
      </c>
      <c r="AM50" s="1860"/>
    </row>
    <row r="51" spans="1:39" s="898" customFormat="1" ht="15" customHeight="1">
      <c r="A51" s="1082"/>
      <c r="B51" s="903" t="s">
        <v>1073</v>
      </c>
      <c r="C51" s="107"/>
      <c r="D51" s="907">
        <v>3.6</v>
      </c>
      <c r="E51" s="1566"/>
      <c r="F51" s="907">
        <v>4.5999999999999996</v>
      </c>
      <c r="G51" s="1566"/>
      <c r="H51" s="907">
        <v>5.1000000000000014</v>
      </c>
      <c r="I51" s="1566"/>
      <c r="J51" s="907">
        <v>4.1999999999999993</v>
      </c>
      <c r="K51" s="1572"/>
      <c r="L51" s="907">
        <v>2.6999999999999975</v>
      </c>
      <c r="M51" s="1572"/>
      <c r="N51" s="907">
        <v>7.7999999999999989</v>
      </c>
      <c r="O51" s="1572"/>
      <c r="P51" s="1830">
        <v>4.7999999999999972</v>
      </c>
      <c r="Q51" s="2043"/>
      <c r="R51" s="1830">
        <v>5.0999999999999996</v>
      </c>
      <c r="S51" s="2043"/>
      <c r="T51" s="1830">
        <v>5.3000000000000043</v>
      </c>
      <c r="U51" s="2043"/>
      <c r="V51" s="1830">
        <v>4.5000000000000018</v>
      </c>
      <c r="W51" s="2043"/>
      <c r="X51" s="1830">
        <f t="shared" si="6"/>
        <v>5.1000000000000014</v>
      </c>
      <c r="Y51" s="2043"/>
      <c r="Z51" s="1830"/>
      <c r="AA51" s="2044"/>
      <c r="AB51" s="2045"/>
      <c r="AC51" s="2047"/>
      <c r="AD51" s="1830">
        <v>52.8</v>
      </c>
      <c r="AE51" s="2077"/>
      <c r="AF51" s="3294"/>
      <c r="AG51" s="1830">
        <v>51.3</v>
      </c>
      <c r="AH51" s="1085"/>
      <c r="AI51" s="67"/>
      <c r="AJ51" s="906">
        <f t="shared" si="7"/>
        <v>1.5</v>
      </c>
      <c r="AK51" s="906"/>
      <c r="AL51" s="1859">
        <f t="shared" si="8"/>
        <v>2.9000000000000001E-2</v>
      </c>
      <c r="AM51" s="1860"/>
    </row>
    <row r="52" spans="1:39" s="898" customFormat="1" ht="15" customHeight="1">
      <c r="A52" s="1082"/>
      <c r="B52" s="903" t="s">
        <v>1074</v>
      </c>
      <c r="C52" s="107"/>
      <c r="D52" s="907">
        <v>0.3</v>
      </c>
      <c r="E52" s="1566"/>
      <c r="F52" s="907">
        <v>0.39999999999999997</v>
      </c>
      <c r="G52" s="1566"/>
      <c r="H52" s="907">
        <v>1.1000000000000001</v>
      </c>
      <c r="I52" s="1566"/>
      <c r="J52" s="907">
        <v>0</v>
      </c>
      <c r="K52" s="1572"/>
      <c r="L52" s="907">
        <v>0.40000000000000013</v>
      </c>
      <c r="M52" s="1572"/>
      <c r="N52" s="907">
        <v>1.2</v>
      </c>
      <c r="O52" s="1572"/>
      <c r="P52" s="1830">
        <v>0.39999999999999991</v>
      </c>
      <c r="Q52" s="2043"/>
      <c r="R52" s="1830">
        <v>0.29999999999999982</v>
      </c>
      <c r="S52" s="2043"/>
      <c r="T52" s="1830">
        <v>0.80000000000000049</v>
      </c>
      <c r="U52" s="2043"/>
      <c r="V52" s="1830">
        <v>1.0999999999999985</v>
      </c>
      <c r="W52" s="2043"/>
      <c r="X52" s="1830">
        <f t="shared" si="6"/>
        <v>0</v>
      </c>
      <c r="Y52" s="2043"/>
      <c r="Z52" s="1830"/>
      <c r="AA52" s="2044"/>
      <c r="AB52" s="2045"/>
      <c r="AC52" s="2047"/>
      <c r="AD52" s="1830">
        <v>6</v>
      </c>
      <c r="AE52" s="2077"/>
      <c r="AF52" s="3294"/>
      <c r="AG52" s="1830">
        <v>7.7</v>
      </c>
      <c r="AH52" s="1085"/>
      <c r="AI52" s="67"/>
      <c r="AJ52" s="906">
        <f t="shared" si="7"/>
        <v>-1.7</v>
      </c>
      <c r="AK52" s="906"/>
      <c r="AL52" s="1859">
        <f>ROUND(IF(AG52=0,1,AJ52/ABS(AG52)),3)</f>
        <v>-0.221</v>
      </c>
      <c r="AM52" s="1860"/>
    </row>
    <row r="53" spans="1:39" s="898" customFormat="1" ht="15" customHeight="1">
      <c r="A53" s="1082"/>
      <c r="B53" s="903" t="s">
        <v>1075</v>
      </c>
      <c r="C53" s="107"/>
      <c r="D53" s="907">
        <v>26</v>
      </c>
      <c r="E53" s="1566"/>
      <c r="F53" s="907">
        <v>26.6</v>
      </c>
      <c r="G53" s="1566"/>
      <c r="H53" s="907">
        <v>28.699999999999996</v>
      </c>
      <c r="I53" s="1566"/>
      <c r="J53" s="907">
        <v>23.5</v>
      </c>
      <c r="K53" s="1572"/>
      <c r="L53" s="907">
        <v>28.300000000000004</v>
      </c>
      <c r="M53" s="1572"/>
      <c r="N53" s="907">
        <v>10</v>
      </c>
      <c r="O53" s="1572"/>
      <c r="P53" s="1830">
        <v>25.300000000000018</v>
      </c>
      <c r="Q53" s="2043"/>
      <c r="R53" s="1830">
        <v>25.799999999999983</v>
      </c>
      <c r="S53" s="2043"/>
      <c r="T53" s="1830">
        <v>22.9</v>
      </c>
      <c r="U53" s="2043"/>
      <c r="V53" s="1830">
        <v>35.1</v>
      </c>
      <c r="W53" s="2043"/>
      <c r="X53" s="1830">
        <f t="shared" si="6"/>
        <v>22.699999999999989</v>
      </c>
      <c r="Y53" s="2043"/>
      <c r="Z53" s="1830"/>
      <c r="AA53" s="2044"/>
      <c r="AB53" s="2045"/>
      <c r="AC53" s="2047"/>
      <c r="AD53" s="1830">
        <v>274.89999999999998</v>
      </c>
      <c r="AE53" s="2077"/>
      <c r="AF53" s="3294"/>
      <c r="AG53" s="1830">
        <v>461.6</v>
      </c>
      <c r="AH53" s="1085"/>
      <c r="AI53" s="67"/>
      <c r="AJ53" s="906">
        <f t="shared" si="7"/>
        <v>-186.7</v>
      </c>
      <c r="AK53" s="906"/>
      <c r="AL53" s="1859">
        <f t="shared" si="8"/>
        <v>-0.40400000000000003</v>
      </c>
      <c r="AM53" s="1860"/>
    </row>
    <row r="54" spans="1:39" s="898" customFormat="1" ht="15" customHeight="1">
      <c r="A54" s="1082"/>
      <c r="B54" s="903" t="s">
        <v>1076</v>
      </c>
      <c r="C54" s="107"/>
      <c r="D54" s="907">
        <v>54</v>
      </c>
      <c r="E54" s="1566"/>
      <c r="F54" s="907">
        <v>45.599999999999994</v>
      </c>
      <c r="G54" s="1566"/>
      <c r="H54" s="907">
        <v>65.400000000000006</v>
      </c>
      <c r="I54" s="1566"/>
      <c r="J54" s="907">
        <v>65.900000000000006</v>
      </c>
      <c r="K54" s="1572"/>
      <c r="L54" s="907">
        <v>93.999999999999972</v>
      </c>
      <c r="M54" s="1572"/>
      <c r="N54" s="907">
        <v>129.20000000000005</v>
      </c>
      <c r="O54" s="1572"/>
      <c r="P54" s="1830">
        <v>56.600000000000051</v>
      </c>
      <c r="Q54" s="2043"/>
      <c r="R54" s="1830">
        <v>71.099999999999881</v>
      </c>
      <c r="S54" s="2043"/>
      <c r="T54" s="1830">
        <v>60.700000000000045</v>
      </c>
      <c r="U54" s="2043"/>
      <c r="V54" s="1830">
        <v>49.299999999999955</v>
      </c>
      <c r="W54" s="2043"/>
      <c r="X54" s="1830">
        <f t="shared" si="6"/>
        <v>129.3000000000001</v>
      </c>
      <c r="Y54" s="2043"/>
      <c r="Z54" s="1830"/>
      <c r="AA54" s="2044"/>
      <c r="AB54" s="2045"/>
      <c r="AC54" s="2047"/>
      <c r="AD54" s="1830">
        <v>821.1</v>
      </c>
      <c r="AE54" s="2077"/>
      <c r="AF54" s="3294"/>
      <c r="AG54" s="1830">
        <v>695</v>
      </c>
      <c r="AH54" s="1085"/>
      <c r="AI54" s="67"/>
      <c r="AJ54" s="906">
        <f t="shared" si="7"/>
        <v>126.1</v>
      </c>
      <c r="AK54" s="906"/>
      <c r="AL54" s="1859">
        <f t="shared" si="8"/>
        <v>0.18099999999999999</v>
      </c>
      <c r="AM54" s="1860"/>
    </row>
    <row r="55" spans="1:39" s="898" customFormat="1" ht="15" customHeight="1">
      <c r="A55" s="1082"/>
      <c r="B55" s="903" t="s">
        <v>1034</v>
      </c>
      <c r="C55" s="107"/>
      <c r="D55" s="907">
        <v>7.6</v>
      </c>
      <c r="E55" s="1566"/>
      <c r="F55" s="907">
        <v>67.2</v>
      </c>
      <c r="G55" s="1566"/>
      <c r="H55" s="907">
        <v>106.7</v>
      </c>
      <c r="I55" s="1566"/>
      <c r="J55" s="907">
        <v>4.8000000000000114</v>
      </c>
      <c r="K55" s="1572"/>
      <c r="L55" s="907">
        <v>9.7999999999999829</v>
      </c>
      <c r="M55" s="1572"/>
      <c r="N55" s="907">
        <v>7.8000000000000256</v>
      </c>
      <c r="O55" s="1572"/>
      <c r="P55" s="1830">
        <v>13.899999999999977</v>
      </c>
      <c r="Q55" s="2043"/>
      <c r="R55" s="1830">
        <v>8.1000000000000227</v>
      </c>
      <c r="S55" s="2043"/>
      <c r="T55" s="1830">
        <v>18.099999999999966</v>
      </c>
      <c r="U55" s="2043"/>
      <c r="V55" s="1830">
        <v>6.4000000000000341</v>
      </c>
      <c r="W55" s="2043"/>
      <c r="X55" s="1830">
        <f t="shared" si="6"/>
        <v>4.0999999999999659</v>
      </c>
      <c r="Y55" s="2043"/>
      <c r="Z55" s="1830"/>
      <c r="AA55" s="2044"/>
      <c r="AB55" s="2045"/>
      <c r="AC55" s="2047"/>
      <c r="AD55" s="1830">
        <v>254.5</v>
      </c>
      <c r="AE55" s="2077"/>
      <c r="AF55" s="3294"/>
      <c r="AG55" s="1830">
        <v>146.4</v>
      </c>
      <c r="AH55" s="1085"/>
      <c r="AI55" s="67"/>
      <c r="AJ55" s="906">
        <f t="shared" si="7"/>
        <v>108.1</v>
      </c>
      <c r="AK55" s="906"/>
      <c r="AL55" s="1770">
        <f t="shared" si="8"/>
        <v>0.73799999999999999</v>
      </c>
      <c r="AM55" s="1860"/>
    </row>
    <row r="56" spans="1:39" s="898" customFormat="1" ht="15" customHeight="1">
      <c r="A56" s="1082"/>
      <c r="B56" s="903" t="s">
        <v>1157</v>
      </c>
      <c r="C56" s="107"/>
      <c r="D56" s="907" t="s">
        <v>15</v>
      </c>
      <c r="E56" s="1566"/>
      <c r="F56" s="907"/>
      <c r="G56" s="1566"/>
      <c r="H56" s="907"/>
      <c r="I56" s="1566"/>
      <c r="J56" s="907"/>
      <c r="K56" s="118"/>
      <c r="L56" s="907"/>
      <c r="M56" s="118"/>
      <c r="N56" s="907"/>
      <c r="O56" s="118"/>
      <c r="P56" s="1830"/>
      <c r="Q56" s="2040"/>
      <c r="R56" s="1830"/>
      <c r="S56" s="2040"/>
      <c r="T56" s="1830"/>
      <c r="U56" s="2040"/>
      <c r="V56" s="1830"/>
      <c r="W56" s="2040"/>
      <c r="X56" s="1830"/>
      <c r="Y56" s="2040"/>
      <c r="Z56" s="1830"/>
      <c r="AA56" s="2039"/>
      <c r="AB56" s="2040"/>
      <c r="AC56" s="2084"/>
      <c r="AD56" s="2040"/>
      <c r="AE56" s="2040"/>
      <c r="AF56" s="2042"/>
      <c r="AG56" s="2040"/>
      <c r="AH56" s="1085"/>
      <c r="AI56" s="67"/>
      <c r="AJ56" s="906"/>
      <c r="AK56" s="906"/>
      <c r="AL56" s="1859"/>
      <c r="AM56" s="1860"/>
    </row>
    <row r="57" spans="1:39" s="898" customFormat="1" ht="15" customHeight="1">
      <c r="A57" s="1082"/>
      <c r="B57" s="903" t="s">
        <v>1077</v>
      </c>
      <c r="C57" s="107"/>
      <c r="D57" s="907">
        <v>31.4</v>
      </c>
      <c r="E57" s="1566"/>
      <c r="F57" s="907">
        <v>18.800000000000004</v>
      </c>
      <c r="G57" s="1566"/>
      <c r="H57" s="907">
        <v>19.700000000000003</v>
      </c>
      <c r="I57" s="1566"/>
      <c r="J57" s="907">
        <v>37.699999999999982</v>
      </c>
      <c r="K57" s="1572"/>
      <c r="L57" s="907">
        <v>15.300000000000004</v>
      </c>
      <c r="M57" s="1572"/>
      <c r="N57" s="907">
        <v>20</v>
      </c>
      <c r="O57" s="1572"/>
      <c r="P57" s="1830">
        <v>36.79999999999999</v>
      </c>
      <c r="Q57" s="2043"/>
      <c r="R57" s="1830">
        <v>13.300000000000004</v>
      </c>
      <c r="S57" s="2043"/>
      <c r="T57" s="1830">
        <v>17.599999999999994</v>
      </c>
      <c r="U57" s="2043"/>
      <c r="V57" s="1830">
        <v>35.699999999999996</v>
      </c>
      <c r="W57" s="2043"/>
      <c r="X57" s="1830">
        <f t="shared" si="6"/>
        <v>15.199999999999982</v>
      </c>
      <c r="Y57" s="2043"/>
      <c r="Z57" s="1830"/>
      <c r="AA57" s="2044"/>
      <c r="AB57" s="2045"/>
      <c r="AC57" s="2047"/>
      <c r="AD57" s="1830">
        <v>261.5</v>
      </c>
      <c r="AE57" s="2077"/>
      <c r="AF57" s="3294"/>
      <c r="AG57" s="1830">
        <v>236.7</v>
      </c>
      <c r="AH57" s="1085"/>
      <c r="AI57" s="67"/>
      <c r="AJ57" s="906">
        <f t="shared" si="7"/>
        <v>24.8</v>
      </c>
      <c r="AK57" s="906"/>
      <c r="AL57" s="1770">
        <f>ROUND(IF(AG57=0,0,AJ57/ABS(AG57)),3)</f>
        <v>0.105</v>
      </c>
      <c r="AM57" s="1860"/>
    </row>
    <row r="58" spans="1:39" s="898" customFormat="1" ht="15" customHeight="1">
      <c r="A58" s="1082"/>
      <c r="B58" s="903" t="s">
        <v>1078</v>
      </c>
      <c r="C58" s="107"/>
      <c r="D58" s="907">
        <v>218.4</v>
      </c>
      <c r="E58" s="1566"/>
      <c r="F58" s="907">
        <v>262</v>
      </c>
      <c r="G58" s="1566"/>
      <c r="H58" s="907">
        <v>202.30000000000007</v>
      </c>
      <c r="I58" s="1566"/>
      <c r="J58" s="907">
        <v>225.69999999999993</v>
      </c>
      <c r="K58" s="1572"/>
      <c r="L58" s="907">
        <v>170.19999999999993</v>
      </c>
      <c r="M58" s="1572"/>
      <c r="N58" s="907">
        <v>176.30000000000007</v>
      </c>
      <c r="O58" s="1572"/>
      <c r="P58" s="1830">
        <v>220.09999999999991</v>
      </c>
      <c r="Q58" s="2043"/>
      <c r="R58" s="1830">
        <v>177.79999999999995</v>
      </c>
      <c r="S58" s="2043"/>
      <c r="T58" s="1830">
        <v>180.00000000000011</v>
      </c>
      <c r="U58" s="2043"/>
      <c r="V58" s="1830">
        <v>221.50000000000011</v>
      </c>
      <c r="W58" s="2043"/>
      <c r="X58" s="1830">
        <f t="shared" si="6"/>
        <v>170.19999999999993</v>
      </c>
      <c r="Y58" s="2043"/>
      <c r="Z58" s="1830"/>
      <c r="AA58" s="2044"/>
      <c r="AB58" s="2045"/>
      <c r="AC58" s="2047"/>
      <c r="AD58" s="1830">
        <v>2224.5</v>
      </c>
      <c r="AE58" s="2077"/>
      <c r="AF58" s="3294"/>
      <c r="AG58" s="1830">
        <v>2352.6</v>
      </c>
      <c r="AH58" s="1085"/>
      <c r="AI58" s="67"/>
      <c r="AJ58" s="906">
        <f t="shared" si="7"/>
        <v>-128.1</v>
      </c>
      <c r="AK58" s="906"/>
      <c r="AL58" s="1859">
        <f>ROUND(IF(AG58=0,0,AJ58/ABS(AG58)),3)</f>
        <v>-5.3999999999999999E-2</v>
      </c>
      <c r="AM58" s="1860"/>
    </row>
    <row r="59" spans="1:39" s="898" customFormat="1" ht="15" customHeight="1">
      <c r="A59" s="1082"/>
      <c r="B59" s="903" t="s">
        <v>1079</v>
      </c>
      <c r="C59" s="107"/>
      <c r="D59" s="907">
        <v>76.599999999999994</v>
      </c>
      <c r="E59" s="1566"/>
      <c r="F59" s="907">
        <v>88.5</v>
      </c>
      <c r="G59" s="1566"/>
      <c r="H59" s="907">
        <v>63.200000000000017</v>
      </c>
      <c r="I59" s="1566"/>
      <c r="J59" s="907">
        <v>89.5</v>
      </c>
      <c r="K59" s="1572"/>
      <c r="L59" s="907">
        <v>76.500000000000028</v>
      </c>
      <c r="M59" s="1572"/>
      <c r="N59" s="907">
        <v>77.5</v>
      </c>
      <c r="O59" s="1572"/>
      <c r="P59" s="1830">
        <v>94.599999999999881</v>
      </c>
      <c r="Q59" s="2043"/>
      <c r="R59" s="1830">
        <v>72.700000000000045</v>
      </c>
      <c r="S59" s="2043"/>
      <c r="T59" s="1830">
        <v>70.600000000000051</v>
      </c>
      <c r="U59" s="2043"/>
      <c r="V59" s="1830">
        <v>99</v>
      </c>
      <c r="W59" s="2043"/>
      <c r="X59" s="1830">
        <f t="shared" si="6"/>
        <v>79.099999999999881</v>
      </c>
      <c r="Y59" s="2043"/>
      <c r="Z59" s="1830"/>
      <c r="AA59" s="2044"/>
      <c r="AB59" s="2045"/>
      <c r="AC59" s="2047"/>
      <c r="AD59" s="1830">
        <v>887.8</v>
      </c>
      <c r="AE59" s="2077"/>
      <c r="AF59" s="3294"/>
      <c r="AG59" s="1830">
        <v>874.7</v>
      </c>
      <c r="AH59" s="1085"/>
      <c r="AI59" s="67"/>
      <c r="AJ59" s="906">
        <f t="shared" si="7"/>
        <v>13.1</v>
      </c>
      <c r="AK59" s="906"/>
      <c r="AL59" s="1859">
        <f>ROUND(IF(AG59=0,0,AJ59/ABS(AG59)),3)</f>
        <v>1.4999999999999999E-2</v>
      </c>
      <c r="AM59" s="1860"/>
    </row>
    <row r="60" spans="1:39" ht="15" customHeight="1">
      <c r="A60" s="150"/>
      <c r="B60" s="903" t="s">
        <v>1035</v>
      </c>
      <c r="C60" s="31"/>
      <c r="D60" s="907">
        <v>19.399999999999999</v>
      </c>
      <c r="E60" s="1566"/>
      <c r="F60" s="907">
        <v>18.200000000000003</v>
      </c>
      <c r="G60" s="1566"/>
      <c r="H60" s="907">
        <v>21.5</v>
      </c>
      <c r="I60" s="1566"/>
      <c r="J60" s="907">
        <v>19.699999999999996</v>
      </c>
      <c r="K60" s="1572"/>
      <c r="L60" s="907">
        <v>20.900000000000013</v>
      </c>
      <c r="M60" s="1572"/>
      <c r="N60" s="907">
        <v>19.199999999999989</v>
      </c>
      <c r="O60" s="1572"/>
      <c r="P60" s="1830">
        <v>19.799999999999983</v>
      </c>
      <c r="Q60" s="2043"/>
      <c r="R60" s="1830">
        <v>17.600000000000016</v>
      </c>
      <c r="S60" s="2043"/>
      <c r="T60" s="1830">
        <v>14.000000000000007</v>
      </c>
      <c r="U60" s="2043"/>
      <c r="V60" s="1830">
        <v>14.600000000000023</v>
      </c>
      <c r="W60" s="2043"/>
      <c r="X60" s="1830">
        <f t="shared" si="6"/>
        <v>13.899999999999977</v>
      </c>
      <c r="Y60" s="2043"/>
      <c r="Z60" s="1830"/>
      <c r="AA60" s="2044"/>
      <c r="AB60" s="2045"/>
      <c r="AC60" s="2047"/>
      <c r="AD60" s="1830">
        <v>198.8</v>
      </c>
      <c r="AE60" s="2077"/>
      <c r="AF60" s="3294"/>
      <c r="AG60" s="1830">
        <v>161.1</v>
      </c>
      <c r="AH60" s="276"/>
      <c r="AI60" s="56"/>
      <c r="AJ60" s="652">
        <f t="shared" si="7"/>
        <v>37.700000000000003</v>
      </c>
      <c r="AK60" s="652"/>
      <c r="AL60" s="1459">
        <f>ROUND(IF(AG60=0,0,AJ60/ABS(AG60)),3)</f>
        <v>0.23400000000000001</v>
      </c>
      <c r="AM60" s="794"/>
    </row>
    <row r="61" spans="1:39" s="898" customFormat="1" ht="15" customHeight="1">
      <c r="A61" s="1082"/>
      <c r="B61" s="903" t="s">
        <v>1158</v>
      </c>
      <c r="C61" s="107"/>
      <c r="D61" s="907" t="s">
        <v>15</v>
      </c>
      <c r="E61" s="1566"/>
      <c r="F61" s="907"/>
      <c r="G61" s="1566"/>
      <c r="H61" s="907"/>
      <c r="I61" s="1566"/>
      <c r="J61" s="907"/>
      <c r="K61" s="118"/>
      <c r="L61" s="907"/>
      <c r="M61" s="118"/>
      <c r="N61" s="907"/>
      <c r="O61" s="118"/>
      <c r="P61" s="1830"/>
      <c r="Q61" s="2040"/>
      <c r="R61" s="1830"/>
      <c r="S61" s="2040"/>
      <c r="T61" s="1830"/>
      <c r="U61" s="2040"/>
      <c r="V61" s="1830"/>
      <c r="W61" s="2040"/>
      <c r="X61" s="1830"/>
      <c r="Y61" s="2040"/>
      <c r="Z61" s="1830"/>
      <c r="AA61" s="2039"/>
      <c r="AB61" s="2040"/>
      <c r="AC61" s="2084"/>
      <c r="AD61" s="2040"/>
      <c r="AE61" s="2040"/>
      <c r="AF61" s="2042"/>
      <c r="AG61" s="2040"/>
      <c r="AH61" s="1085"/>
      <c r="AI61" s="67"/>
      <c r="AJ61" s="906"/>
      <c r="AK61" s="906"/>
      <c r="AL61" s="1859"/>
      <c r="AM61" s="1860"/>
    </row>
    <row r="62" spans="1:39" s="898" customFormat="1" ht="15" customHeight="1">
      <c r="A62" s="1082"/>
      <c r="B62" s="903" t="s">
        <v>1080</v>
      </c>
      <c r="C62" s="107"/>
      <c r="D62" s="907">
        <v>0</v>
      </c>
      <c r="E62" s="1566"/>
      <c r="F62" s="907">
        <v>0</v>
      </c>
      <c r="G62" s="1566"/>
      <c r="H62" s="907">
        <v>0</v>
      </c>
      <c r="I62" s="1566"/>
      <c r="J62" s="907">
        <v>0</v>
      </c>
      <c r="K62" s="1572"/>
      <c r="L62" s="907">
        <v>0</v>
      </c>
      <c r="M62" s="1572"/>
      <c r="N62" s="907">
        <v>0</v>
      </c>
      <c r="O62" s="1572"/>
      <c r="P62" s="1830">
        <v>0</v>
      </c>
      <c r="Q62" s="2043"/>
      <c r="R62" s="1830">
        <v>0</v>
      </c>
      <c r="S62" s="2043"/>
      <c r="T62" s="1830">
        <v>0</v>
      </c>
      <c r="U62" s="2043"/>
      <c r="V62" s="1830">
        <v>0</v>
      </c>
      <c r="W62" s="2043"/>
      <c r="X62" s="1830">
        <f t="shared" si="6"/>
        <v>0</v>
      </c>
      <c r="Y62" s="2043"/>
      <c r="Z62" s="1830"/>
      <c r="AA62" s="2044"/>
      <c r="AB62" s="2045"/>
      <c r="AC62" s="2047"/>
      <c r="AD62" s="1830">
        <v>0</v>
      </c>
      <c r="AE62" s="2077"/>
      <c r="AF62" s="3294"/>
      <c r="AG62" s="1830">
        <v>0</v>
      </c>
      <c r="AH62" s="1085"/>
      <c r="AI62" s="67"/>
      <c r="AJ62" s="906">
        <f t="shared" si="7"/>
        <v>0</v>
      </c>
      <c r="AK62" s="906"/>
      <c r="AL62" s="1859">
        <f>ROUND(IF(AG62=0,0,AJ62/ABS(AG62)),3)</f>
        <v>0</v>
      </c>
      <c r="AM62" s="1860"/>
    </row>
    <row r="63" spans="1:39" s="898" customFormat="1" ht="15" customHeight="1">
      <c r="A63" s="1082"/>
      <c r="B63" s="903" t="s">
        <v>1081</v>
      </c>
      <c r="C63" s="107"/>
      <c r="D63" s="907">
        <v>0</v>
      </c>
      <c r="E63" s="1566"/>
      <c r="F63" s="907">
        <v>0</v>
      </c>
      <c r="G63" s="1566"/>
      <c r="H63" s="907">
        <v>0</v>
      </c>
      <c r="I63" s="1566"/>
      <c r="J63" s="907">
        <v>0</v>
      </c>
      <c r="K63" s="1572"/>
      <c r="L63" s="907">
        <v>0</v>
      </c>
      <c r="M63" s="1572"/>
      <c r="N63" s="907">
        <v>23.1</v>
      </c>
      <c r="O63" s="1572"/>
      <c r="P63" s="1830">
        <v>5.5999999999999979</v>
      </c>
      <c r="Q63" s="2043"/>
      <c r="R63" s="1830">
        <v>0</v>
      </c>
      <c r="S63" s="2043"/>
      <c r="T63" s="1830">
        <v>3.9000000000000021</v>
      </c>
      <c r="U63" s="2043"/>
      <c r="V63" s="1830">
        <v>-12.200000000000003</v>
      </c>
      <c r="W63" s="2043"/>
      <c r="X63" s="1830">
        <f t="shared" si="6"/>
        <v>2.6000000000000014</v>
      </c>
      <c r="Y63" s="2043"/>
      <c r="Z63" s="1830"/>
      <c r="AA63" s="2044"/>
      <c r="AB63" s="2045"/>
      <c r="AC63" s="2047"/>
      <c r="AD63" s="1830">
        <v>23</v>
      </c>
      <c r="AE63" s="2077"/>
      <c r="AF63" s="3294"/>
      <c r="AG63" s="1830">
        <v>20.399999999999999</v>
      </c>
      <c r="AH63" s="1085"/>
      <c r="AI63" s="67"/>
      <c r="AJ63" s="906">
        <f t="shared" si="7"/>
        <v>2.6</v>
      </c>
      <c r="AK63" s="906"/>
      <c r="AL63" s="1859">
        <f>ROUND(IF(AG63=0,0,AJ63/ABS(AG63)),3)</f>
        <v>0.127</v>
      </c>
      <c r="AM63" s="1860"/>
    </row>
    <row r="64" spans="1:39" s="898" customFormat="1" ht="15" customHeight="1">
      <c r="A64" s="1082"/>
      <c r="B64" s="903" t="s">
        <v>1082</v>
      </c>
      <c r="C64" s="107"/>
      <c r="D64" s="907">
        <v>2</v>
      </c>
      <c r="E64" s="1566"/>
      <c r="F64" s="907">
        <v>1</v>
      </c>
      <c r="G64" s="1566"/>
      <c r="H64" s="907">
        <v>4.2</v>
      </c>
      <c r="I64" s="1566"/>
      <c r="J64" s="907">
        <v>0</v>
      </c>
      <c r="K64" s="1572"/>
      <c r="L64" s="907">
        <v>0</v>
      </c>
      <c r="M64" s="1572"/>
      <c r="N64" s="907">
        <v>0</v>
      </c>
      <c r="O64" s="1572"/>
      <c r="P64" s="1830">
        <v>0</v>
      </c>
      <c r="Q64" s="2043"/>
      <c r="R64" s="1830">
        <v>0</v>
      </c>
      <c r="S64" s="2043"/>
      <c r="T64" s="1830">
        <v>0</v>
      </c>
      <c r="U64" s="2043"/>
      <c r="V64" s="1830">
        <v>0</v>
      </c>
      <c r="W64" s="2043"/>
      <c r="X64" s="1830">
        <f t="shared" si="6"/>
        <v>0</v>
      </c>
      <c r="Y64" s="2043"/>
      <c r="Z64" s="1830"/>
      <c r="AA64" s="2044"/>
      <c r="AB64" s="2045"/>
      <c r="AC64" s="2047"/>
      <c r="AD64" s="1830">
        <v>7.2</v>
      </c>
      <c r="AE64" s="2077"/>
      <c r="AF64" s="3294"/>
      <c r="AG64" s="1830">
        <v>7.2</v>
      </c>
      <c r="AH64" s="1085"/>
      <c r="AI64" s="67"/>
      <c r="AJ64" s="906">
        <f t="shared" si="7"/>
        <v>0</v>
      </c>
      <c r="AK64" s="906"/>
      <c r="AL64" s="1870">
        <f>ROUND(IF(AG64=0,0,AJ64/ABS(AG64)),3)</f>
        <v>0</v>
      </c>
      <c r="AM64" s="1860"/>
    </row>
    <row r="65" spans="1:39" s="898" customFormat="1" ht="15" customHeight="1">
      <c r="A65" s="1082"/>
      <c r="B65" s="903" t="s">
        <v>1083</v>
      </c>
      <c r="C65" s="107"/>
      <c r="D65" s="907">
        <v>0.6</v>
      </c>
      <c r="E65" s="1566"/>
      <c r="F65" s="907">
        <v>4.7</v>
      </c>
      <c r="G65" s="1566"/>
      <c r="H65" s="907">
        <v>4.3</v>
      </c>
      <c r="I65" s="1566"/>
      <c r="J65" s="907">
        <v>13.5</v>
      </c>
      <c r="K65" s="1572"/>
      <c r="L65" s="907">
        <v>0</v>
      </c>
      <c r="M65" s="1572"/>
      <c r="N65" s="907">
        <v>1.6999999999999993</v>
      </c>
      <c r="O65" s="1572"/>
      <c r="P65" s="1830">
        <v>4.3999999999999986</v>
      </c>
      <c r="Q65" s="2043"/>
      <c r="R65" s="1830">
        <v>0</v>
      </c>
      <c r="S65" s="2043"/>
      <c r="T65" s="1830">
        <v>2.6000000000000014</v>
      </c>
      <c r="U65" s="2043"/>
      <c r="V65" s="1830">
        <v>23.099999999999998</v>
      </c>
      <c r="W65" s="2043"/>
      <c r="X65" s="1830">
        <f t="shared" si="6"/>
        <v>2.1999999999999993</v>
      </c>
      <c r="Y65" s="2043"/>
      <c r="Z65" s="1830"/>
      <c r="AA65" s="2044"/>
      <c r="AB65" s="2045"/>
      <c r="AC65" s="2047"/>
      <c r="AD65" s="1830">
        <v>57.1</v>
      </c>
      <c r="AE65" s="2077"/>
      <c r="AF65" s="3294"/>
      <c r="AG65" s="1830">
        <v>51.9</v>
      </c>
      <c r="AH65" s="1085"/>
      <c r="AI65" s="67"/>
      <c r="AJ65" s="906">
        <f t="shared" si="7"/>
        <v>5.2</v>
      </c>
      <c r="AK65" s="906"/>
      <c r="AL65" s="1765">
        <f t="shared" ref="AL65:AL67" si="9">ROUND(IF(AG65=0,0,AJ65/ABS(AG65)),3)</f>
        <v>0.1</v>
      </c>
      <c r="AM65" s="1860"/>
    </row>
    <row r="66" spans="1:39" s="898" customFormat="1" ht="15" customHeight="1">
      <c r="A66" s="1082"/>
      <c r="B66" s="903" t="s">
        <v>1053</v>
      </c>
      <c r="C66" s="107"/>
      <c r="D66" s="907">
        <v>9.4</v>
      </c>
      <c r="E66" s="1566"/>
      <c r="F66" s="907">
        <v>2.6999999999999993</v>
      </c>
      <c r="G66" s="1566"/>
      <c r="H66" s="907">
        <v>6.2999999999999989</v>
      </c>
      <c r="I66" s="1566"/>
      <c r="J66" s="907">
        <v>3.6000000000000014</v>
      </c>
      <c r="K66" s="1572"/>
      <c r="L66" s="907">
        <v>2.3000000000000007</v>
      </c>
      <c r="M66" s="1572"/>
      <c r="N66" s="907">
        <v>5.8999999999999968</v>
      </c>
      <c r="O66" s="1572"/>
      <c r="P66" s="1830">
        <v>3.9000000000000057</v>
      </c>
      <c r="Q66" s="2043"/>
      <c r="R66" s="1830">
        <v>1.7999999999999954</v>
      </c>
      <c r="S66" s="2043"/>
      <c r="T66" s="1830">
        <v>5.8999999999999986</v>
      </c>
      <c r="U66" s="2043"/>
      <c r="V66" s="1830">
        <v>2.1000000000000014</v>
      </c>
      <c r="W66" s="2043"/>
      <c r="X66" s="1830">
        <f t="shared" si="6"/>
        <v>1.7000000000000028</v>
      </c>
      <c r="Y66" s="2043"/>
      <c r="Z66" s="1830"/>
      <c r="AA66" s="2044"/>
      <c r="AB66" s="2045"/>
      <c r="AC66" s="2047"/>
      <c r="AD66" s="1830">
        <v>45.6</v>
      </c>
      <c r="AE66" s="2077"/>
      <c r="AF66" s="3294"/>
      <c r="AG66" s="1830">
        <v>97.7</v>
      </c>
      <c r="AH66" s="1085"/>
      <c r="AI66" s="67"/>
      <c r="AJ66" s="906">
        <f t="shared" si="7"/>
        <v>-52.1</v>
      </c>
      <c r="AK66" s="906"/>
      <c r="AL66" s="1859">
        <f t="shared" si="9"/>
        <v>-0.53300000000000003</v>
      </c>
      <c r="AM66" s="1860"/>
    </row>
    <row r="67" spans="1:39" s="898" customFormat="1" ht="15" customHeight="1">
      <c r="A67" s="1082"/>
      <c r="B67" s="903" t="s">
        <v>1054</v>
      </c>
      <c r="C67" s="107"/>
      <c r="D67" s="907">
        <v>39</v>
      </c>
      <c r="E67" s="1566"/>
      <c r="F67" s="907">
        <v>28.200000000000003</v>
      </c>
      <c r="G67" s="1566"/>
      <c r="H67" s="907">
        <v>8.3999999999999915</v>
      </c>
      <c r="I67" s="1566"/>
      <c r="J67" s="907">
        <v>29.300000000000011</v>
      </c>
      <c r="K67" s="1572"/>
      <c r="L67" s="907">
        <v>0.90000000000000568</v>
      </c>
      <c r="M67" s="1572"/>
      <c r="N67" s="907">
        <v>0.49999999999998579</v>
      </c>
      <c r="O67" s="1572"/>
      <c r="P67" s="1830">
        <v>65.500000000000014</v>
      </c>
      <c r="Q67" s="2043"/>
      <c r="R67" s="1830">
        <v>24.500000000000014</v>
      </c>
      <c r="S67" s="2043"/>
      <c r="T67" s="1830">
        <v>22.399999999999991</v>
      </c>
      <c r="U67" s="2043"/>
      <c r="V67" s="1830">
        <v>48.100000000000037</v>
      </c>
      <c r="W67" s="2043"/>
      <c r="X67" s="1830">
        <f t="shared" si="6"/>
        <v>87.100000000000009</v>
      </c>
      <c r="Y67" s="2043"/>
      <c r="Z67" s="1830"/>
      <c r="AA67" s="2044"/>
      <c r="AB67" s="2045"/>
      <c r="AC67" s="2047"/>
      <c r="AD67" s="1830">
        <v>353.9</v>
      </c>
      <c r="AE67" s="2077"/>
      <c r="AF67" s="3294"/>
      <c r="AG67" s="1830">
        <v>377.09999999999997</v>
      </c>
      <c r="AH67" s="1085"/>
      <c r="AI67" s="67"/>
      <c r="AJ67" s="906">
        <f t="shared" si="7"/>
        <v>-23.2</v>
      </c>
      <c r="AK67" s="906"/>
      <c r="AL67" s="1870">
        <f t="shared" si="9"/>
        <v>-6.2E-2</v>
      </c>
      <c r="AM67" s="1860"/>
    </row>
    <row r="68" spans="1:39" s="898" customFormat="1" ht="17.25" customHeight="1">
      <c r="A68" s="1082"/>
      <c r="B68" s="903" t="s">
        <v>1159</v>
      </c>
      <c r="C68" s="107"/>
      <c r="D68" s="907" t="s">
        <v>15</v>
      </c>
      <c r="E68" s="1566"/>
      <c r="F68" s="907"/>
      <c r="G68" s="1566"/>
      <c r="H68" s="907"/>
      <c r="I68" s="1566"/>
      <c r="J68" s="907"/>
      <c r="K68" s="118"/>
      <c r="L68" s="907"/>
      <c r="M68" s="118"/>
      <c r="N68" s="907"/>
      <c r="O68" s="118"/>
      <c r="P68" s="1830"/>
      <c r="Q68" s="2040"/>
      <c r="R68" s="1830"/>
      <c r="S68" s="2040"/>
      <c r="T68" s="1830"/>
      <c r="U68" s="2040"/>
      <c r="V68" s="1830"/>
      <c r="W68" s="2040"/>
      <c r="X68" s="1830"/>
      <c r="Y68" s="2040"/>
      <c r="Z68" s="1830"/>
      <c r="AA68" s="2039"/>
      <c r="AB68" s="2040"/>
      <c r="AC68" s="2084"/>
      <c r="AD68" s="2040"/>
      <c r="AE68" s="2040"/>
      <c r="AF68" s="2042"/>
      <c r="AG68" s="2040"/>
      <c r="AH68" s="1085"/>
      <c r="AI68" s="67"/>
      <c r="AJ68" s="906"/>
      <c r="AK68" s="906"/>
      <c r="AL68" s="1859"/>
      <c r="AM68" s="1860"/>
    </row>
    <row r="69" spans="1:39" s="898" customFormat="1" ht="15" customHeight="1">
      <c r="A69" s="1082"/>
      <c r="B69" s="903" t="s">
        <v>1084</v>
      </c>
      <c r="C69" s="107"/>
      <c r="D69" s="907">
        <v>1.4</v>
      </c>
      <c r="E69" s="1566"/>
      <c r="F69" s="907">
        <v>1.8000000000000003</v>
      </c>
      <c r="G69" s="1566"/>
      <c r="H69" s="907">
        <v>4.5999999999999996</v>
      </c>
      <c r="I69" s="1566"/>
      <c r="J69" s="907">
        <v>17.600000000000001</v>
      </c>
      <c r="K69" s="1572"/>
      <c r="L69" s="907">
        <v>4.2999999999999972</v>
      </c>
      <c r="M69" s="1572"/>
      <c r="N69" s="907">
        <v>3.7000000000000028</v>
      </c>
      <c r="O69" s="1572"/>
      <c r="P69" s="1830">
        <v>26.200000000000003</v>
      </c>
      <c r="Q69" s="2043"/>
      <c r="R69" s="1830">
        <v>27.300000000000004</v>
      </c>
      <c r="S69" s="2043"/>
      <c r="T69" s="1830">
        <v>15.899999999999999</v>
      </c>
      <c r="U69" s="2043"/>
      <c r="V69" s="1830">
        <v>15.799999999999983</v>
      </c>
      <c r="W69" s="2043"/>
      <c r="X69" s="1830">
        <f t="shared" si="6"/>
        <v>32.200000000000017</v>
      </c>
      <c r="Y69" s="2043"/>
      <c r="Z69" s="1830"/>
      <c r="AA69" s="2044"/>
      <c r="AB69" s="2045"/>
      <c r="AC69" s="2047"/>
      <c r="AD69" s="1830">
        <v>150.80000000000001</v>
      </c>
      <c r="AE69" s="2077"/>
      <c r="AF69" s="3294"/>
      <c r="AG69" s="1830">
        <v>116.8</v>
      </c>
      <c r="AH69" s="1085"/>
      <c r="AI69" s="67"/>
      <c r="AJ69" s="906">
        <f t="shared" si="7"/>
        <v>34</v>
      </c>
      <c r="AK69" s="906"/>
      <c r="AL69" s="1870">
        <f>ROUND(IF(AG69=0,0,AJ69/ABS(AG69)),3)</f>
        <v>0.29099999999999998</v>
      </c>
      <c r="AM69" s="1860"/>
    </row>
    <row r="70" spans="1:39" s="898" customFormat="1" ht="15" customHeight="1">
      <c r="A70" s="1082"/>
      <c r="B70" s="903" t="s">
        <v>1085</v>
      </c>
      <c r="C70" s="107"/>
      <c r="D70" s="907">
        <v>0.5</v>
      </c>
      <c r="E70" s="1566"/>
      <c r="F70" s="1055">
        <v>0.4</v>
      </c>
      <c r="G70" s="1566"/>
      <c r="H70" s="907">
        <v>0.6</v>
      </c>
      <c r="I70" s="1566"/>
      <c r="J70" s="907">
        <v>0.4000000000000058</v>
      </c>
      <c r="K70" s="1572"/>
      <c r="L70" s="907">
        <v>0.39999999999999147</v>
      </c>
      <c r="M70" s="1572"/>
      <c r="N70" s="907">
        <v>0.79999999999999716</v>
      </c>
      <c r="O70" s="1572"/>
      <c r="P70" s="1830">
        <v>0.70000000000001705</v>
      </c>
      <c r="Q70" s="2043"/>
      <c r="R70" s="1830">
        <v>0.69999999999999396</v>
      </c>
      <c r="S70" s="2043"/>
      <c r="T70" s="1830">
        <v>82.300000000000011</v>
      </c>
      <c r="U70" s="2043"/>
      <c r="V70" s="1830">
        <v>-67.399999999999977</v>
      </c>
      <c r="W70" s="2043"/>
      <c r="X70" s="1830">
        <f t="shared" si="6"/>
        <v>7.2999999999999829</v>
      </c>
      <c r="Y70" s="2043"/>
      <c r="Z70" s="1830"/>
      <c r="AA70" s="2044"/>
      <c r="AB70" s="2045"/>
      <c r="AC70" s="2047"/>
      <c r="AD70" s="1830">
        <v>26.700000000000024</v>
      </c>
      <c r="AE70" s="2077"/>
      <c r="AF70" s="3294"/>
      <c r="AG70" s="1830">
        <v>14.8</v>
      </c>
      <c r="AH70" s="1085"/>
      <c r="AI70" s="67"/>
      <c r="AJ70" s="906">
        <f t="shared" si="7"/>
        <v>11.9</v>
      </c>
      <c r="AK70" s="906"/>
      <c r="AL70" s="3839">
        <f>ROUND(IF(AG70=0,1,AJ70/ABS(AG70)),3)</f>
        <v>0.80400000000000005</v>
      </c>
      <c r="AM70" s="1860"/>
    </row>
    <row r="71" spans="1:39" s="898" customFormat="1" ht="15" customHeight="1">
      <c r="A71" s="1082"/>
      <c r="B71" s="903" t="s">
        <v>1389</v>
      </c>
      <c r="C71" s="107"/>
      <c r="D71" s="907">
        <v>0</v>
      </c>
      <c r="E71" s="1566"/>
      <c r="F71" s="907">
        <v>0</v>
      </c>
      <c r="G71" s="1566"/>
      <c r="H71" s="907">
        <v>0</v>
      </c>
      <c r="I71" s="1566"/>
      <c r="J71" s="907">
        <v>0</v>
      </c>
      <c r="K71" s="1572"/>
      <c r="L71" s="907">
        <v>0</v>
      </c>
      <c r="M71" s="1572"/>
      <c r="N71" s="907">
        <v>0</v>
      </c>
      <c r="O71" s="1572"/>
      <c r="P71" s="1830">
        <v>0</v>
      </c>
      <c r="Q71" s="2043"/>
      <c r="R71" s="1830">
        <v>0</v>
      </c>
      <c r="S71" s="2043"/>
      <c r="T71" s="1830">
        <v>0</v>
      </c>
      <c r="U71" s="2043"/>
      <c r="V71" s="1830">
        <v>468</v>
      </c>
      <c r="W71" s="2043"/>
      <c r="X71" s="1830">
        <f t="shared" si="6"/>
        <v>0</v>
      </c>
      <c r="Y71" s="2043"/>
      <c r="Z71" s="1830"/>
      <c r="AA71" s="2044"/>
      <c r="AB71" s="2045"/>
      <c r="AC71" s="2047"/>
      <c r="AD71" s="1830">
        <v>468</v>
      </c>
      <c r="AE71" s="2077"/>
      <c r="AF71" s="3296"/>
      <c r="AG71" s="1830">
        <v>1068</v>
      </c>
      <c r="AH71" s="1085"/>
      <c r="AI71" s="67"/>
      <c r="AJ71" s="906">
        <f t="shared" ref="AJ71" si="10">ROUND(SUM(+AD71-AG71),1)</f>
        <v>-600</v>
      </c>
      <c r="AK71" s="906"/>
      <c r="AL71" s="1859">
        <f>ROUND(IF(AG71=0,0,AJ71/ABS(AG71)),3)</f>
        <v>-0.56200000000000006</v>
      </c>
      <c r="AM71" s="1860"/>
    </row>
    <row r="72" spans="1:39" s="898" customFormat="1" ht="15" customHeight="1">
      <c r="A72" s="1082"/>
      <c r="B72" s="903" t="s">
        <v>1086</v>
      </c>
      <c r="C72" s="107"/>
      <c r="D72" s="907">
        <v>0.8</v>
      </c>
      <c r="E72" s="1566"/>
      <c r="F72" s="907">
        <v>1</v>
      </c>
      <c r="G72" s="1566"/>
      <c r="H72" s="907">
        <v>2.8</v>
      </c>
      <c r="I72" s="1566"/>
      <c r="J72" s="907">
        <v>0.30000000000000071</v>
      </c>
      <c r="K72" s="1572"/>
      <c r="L72" s="907">
        <v>0.59999999999999964</v>
      </c>
      <c r="M72" s="1572"/>
      <c r="N72" s="907">
        <v>0</v>
      </c>
      <c r="O72" s="1572"/>
      <c r="P72" s="1830">
        <v>0.29999999999999982</v>
      </c>
      <c r="Q72" s="2043"/>
      <c r="R72" s="1830">
        <v>0.29999999999999982</v>
      </c>
      <c r="S72" s="2043"/>
      <c r="T72" s="1830">
        <v>0.30000000000000071</v>
      </c>
      <c r="U72" s="2043"/>
      <c r="V72" s="1830">
        <v>0.5</v>
      </c>
      <c r="W72" s="2043"/>
      <c r="X72" s="1830">
        <f t="shared" si="6"/>
        <v>0.69999999999999929</v>
      </c>
      <c r="Y72" s="2043"/>
      <c r="Z72" s="1830"/>
      <c r="AA72" s="2044"/>
      <c r="AB72" s="2045"/>
      <c r="AC72" s="2047"/>
      <c r="AD72" s="1830">
        <v>7.6</v>
      </c>
      <c r="AE72" s="2077"/>
      <c r="AF72" s="3294"/>
      <c r="AG72" s="1830">
        <v>107</v>
      </c>
      <c r="AH72" s="1085"/>
      <c r="AI72" s="67"/>
      <c r="AJ72" s="906">
        <f t="shared" si="7"/>
        <v>-99.4</v>
      </c>
      <c r="AK72" s="906"/>
      <c r="AL72" s="1870">
        <f t="shared" ref="AL72:AL75" si="11">ROUND(IF(AG72=0,0,AJ72/ABS(AG72)),3)</f>
        <v>-0.92900000000000005</v>
      </c>
      <c r="AM72" s="1860"/>
    </row>
    <row r="73" spans="1:39" s="898" customFormat="1" ht="15" customHeight="1">
      <c r="A73" s="1082"/>
      <c r="B73" s="903" t="s">
        <v>1087</v>
      </c>
      <c r="C73" s="107"/>
      <c r="D73" s="907">
        <v>0.9</v>
      </c>
      <c r="E73" s="1566"/>
      <c r="F73" s="907">
        <v>0</v>
      </c>
      <c r="G73" s="1566"/>
      <c r="H73" s="907">
        <v>0</v>
      </c>
      <c r="I73" s="1566"/>
      <c r="J73" s="907">
        <v>0</v>
      </c>
      <c r="K73" s="1572"/>
      <c r="L73" s="907">
        <v>0</v>
      </c>
      <c r="M73" s="1572"/>
      <c r="N73" s="907">
        <v>0</v>
      </c>
      <c r="O73" s="1572"/>
      <c r="P73" s="1830">
        <v>0</v>
      </c>
      <c r="Q73" s="2043"/>
      <c r="R73" s="1830">
        <v>0</v>
      </c>
      <c r="S73" s="2043"/>
      <c r="T73" s="1830">
        <v>0</v>
      </c>
      <c r="U73" s="2043"/>
      <c r="V73" s="1830">
        <v>0</v>
      </c>
      <c r="W73" s="2043"/>
      <c r="X73" s="1830">
        <f t="shared" si="6"/>
        <v>0</v>
      </c>
      <c r="Y73" s="2043"/>
      <c r="Z73" s="1830"/>
      <c r="AA73" s="2044"/>
      <c r="AB73" s="2045"/>
      <c r="AC73" s="2047"/>
      <c r="AD73" s="1830">
        <v>0.9</v>
      </c>
      <c r="AE73" s="2077"/>
      <c r="AF73" s="3294"/>
      <c r="AG73" s="1830">
        <v>0.1</v>
      </c>
      <c r="AH73" s="1085"/>
      <c r="AI73" s="67"/>
      <c r="AJ73" s="906">
        <f t="shared" si="7"/>
        <v>0.8</v>
      </c>
      <c r="AK73" s="906"/>
      <c r="AL73" s="1859">
        <f>ROUND(IF(AG73=0,1,AJ73/ABS(AG73)),3)</f>
        <v>8</v>
      </c>
      <c r="AM73" s="1860"/>
    </row>
    <row r="74" spans="1:39" s="898" customFormat="1" ht="15" customHeight="1">
      <c r="A74" s="1082"/>
      <c r="B74" s="903" t="s">
        <v>1088</v>
      </c>
      <c r="C74" s="107"/>
      <c r="D74" s="907">
        <v>204.3</v>
      </c>
      <c r="E74" s="1566"/>
      <c r="F74" s="907">
        <v>156.19999999999999</v>
      </c>
      <c r="G74" s="1566"/>
      <c r="H74" s="907">
        <v>154.89999999999998</v>
      </c>
      <c r="I74" s="1566"/>
      <c r="J74" s="907">
        <v>222.30000000000013</v>
      </c>
      <c r="K74" s="1572"/>
      <c r="L74" s="907">
        <v>106.19999999999982</v>
      </c>
      <c r="M74" s="1572"/>
      <c r="N74" s="907">
        <v>243.2</v>
      </c>
      <c r="O74" s="1572"/>
      <c r="P74" s="1830">
        <v>193.80000000000024</v>
      </c>
      <c r="Q74" s="2043"/>
      <c r="R74" s="1830">
        <v>155.89999999999986</v>
      </c>
      <c r="S74" s="2043"/>
      <c r="T74" s="1830">
        <v>187.69999999999976</v>
      </c>
      <c r="U74" s="2043"/>
      <c r="V74" s="1830">
        <v>200.20000000000033</v>
      </c>
      <c r="W74" s="2043"/>
      <c r="X74" s="1830">
        <f t="shared" si="6"/>
        <v>230.19999999999982</v>
      </c>
      <c r="Y74" s="2043"/>
      <c r="Z74" s="1830"/>
      <c r="AA74" s="2044"/>
      <c r="AB74" s="2045"/>
      <c r="AC74" s="2047"/>
      <c r="AD74" s="1830">
        <v>2054.9</v>
      </c>
      <c r="AE74" s="2077"/>
      <c r="AF74" s="3294"/>
      <c r="AG74" s="1830">
        <v>1971.6</v>
      </c>
      <c r="AH74" s="1085"/>
      <c r="AI74" s="67"/>
      <c r="AJ74" s="906">
        <f t="shared" si="7"/>
        <v>83.3</v>
      </c>
      <c r="AK74" s="906"/>
      <c r="AL74" s="1859">
        <f t="shared" si="11"/>
        <v>4.2000000000000003E-2</v>
      </c>
      <c r="AM74" s="1860"/>
    </row>
    <row r="75" spans="1:39" s="898" customFormat="1" ht="15" customHeight="1">
      <c r="A75" s="1082"/>
      <c r="B75" s="903" t="s">
        <v>1089</v>
      </c>
      <c r="C75" s="107"/>
      <c r="D75" s="907">
        <v>5.2</v>
      </c>
      <c r="E75" s="1566"/>
      <c r="F75" s="907">
        <v>1</v>
      </c>
      <c r="G75" s="1566"/>
      <c r="H75" s="907">
        <v>6.7</v>
      </c>
      <c r="I75" s="1566"/>
      <c r="J75" s="907">
        <v>13.600000000000001</v>
      </c>
      <c r="K75" s="1572"/>
      <c r="L75" s="907">
        <v>1.1000000000000014</v>
      </c>
      <c r="M75" s="1572"/>
      <c r="N75" s="907">
        <v>3.7999999999999972</v>
      </c>
      <c r="O75" s="1572"/>
      <c r="P75" s="1830">
        <v>9.5999999999999979</v>
      </c>
      <c r="Q75" s="2043"/>
      <c r="R75" s="1830">
        <v>3.7999999999999972</v>
      </c>
      <c r="S75" s="2043"/>
      <c r="T75" s="1830">
        <v>4.0999999999999979</v>
      </c>
      <c r="U75" s="2043"/>
      <c r="V75" s="1830">
        <v>5.3999999999999986</v>
      </c>
      <c r="W75" s="2043"/>
      <c r="X75" s="1830">
        <f t="shared" si="6"/>
        <v>2</v>
      </c>
      <c r="Y75" s="2043"/>
      <c r="Z75" s="1830"/>
      <c r="AA75" s="2044"/>
      <c r="AB75" s="2045"/>
      <c r="AC75" s="2047"/>
      <c r="AD75" s="1830">
        <v>56.3</v>
      </c>
      <c r="AE75" s="2077"/>
      <c r="AF75" s="3294"/>
      <c r="AG75" s="1830">
        <v>52.6</v>
      </c>
      <c r="AH75" s="1085"/>
      <c r="AI75" s="67"/>
      <c r="AJ75" s="906">
        <f t="shared" si="7"/>
        <v>3.7</v>
      </c>
      <c r="AK75" s="906"/>
      <c r="AL75" s="1870">
        <f t="shared" si="11"/>
        <v>7.0000000000000007E-2</v>
      </c>
      <c r="AM75" s="1860"/>
    </row>
    <row r="76" spans="1:39" s="898" customFormat="1" ht="15" customHeight="1">
      <c r="A76" s="1082"/>
      <c r="B76" s="903" t="s">
        <v>1090</v>
      </c>
      <c r="C76" s="107"/>
      <c r="D76" s="907">
        <v>7.6</v>
      </c>
      <c r="E76" s="1566"/>
      <c r="F76" s="907">
        <v>1.2000000000000011</v>
      </c>
      <c r="G76" s="1566"/>
      <c r="H76" s="907">
        <v>0.79999999999999893</v>
      </c>
      <c r="I76" s="1566"/>
      <c r="J76" s="907">
        <v>1</v>
      </c>
      <c r="K76" s="1572"/>
      <c r="L76" s="907">
        <v>5.9</v>
      </c>
      <c r="M76" s="1572"/>
      <c r="N76" s="907">
        <v>0.39999999999999858</v>
      </c>
      <c r="O76" s="1572"/>
      <c r="P76" s="1830">
        <v>0.40000000000000213</v>
      </c>
      <c r="Q76" s="2043"/>
      <c r="R76" s="1830">
        <v>3.4000000000000021</v>
      </c>
      <c r="S76" s="2043"/>
      <c r="T76" s="1830">
        <v>0.39999999999999858</v>
      </c>
      <c r="U76" s="2043"/>
      <c r="V76" s="1830">
        <v>24.299999999999997</v>
      </c>
      <c r="W76" s="2043"/>
      <c r="X76" s="1830">
        <f t="shared" si="6"/>
        <v>0.80000000000000426</v>
      </c>
      <c r="Y76" s="2043"/>
      <c r="Z76" s="1830"/>
      <c r="AA76" s="2044"/>
      <c r="AB76" s="2045"/>
      <c r="AC76" s="2047"/>
      <c r="AD76" s="1830">
        <v>46.2</v>
      </c>
      <c r="AE76" s="2077"/>
      <c r="AF76" s="3294"/>
      <c r="AG76" s="1830">
        <v>74.600000000000009</v>
      </c>
      <c r="AH76" s="1085"/>
      <c r="AI76" s="67"/>
      <c r="AJ76" s="906">
        <f t="shared" si="7"/>
        <v>-28.4</v>
      </c>
      <c r="AK76" s="906"/>
      <c r="AL76" s="1870">
        <f>ROUND(IF(AG76=0,1,AJ76/ABS(AG76)),3)</f>
        <v>-0.38100000000000001</v>
      </c>
      <c r="AM76" s="1860"/>
    </row>
    <row r="77" spans="1:39" s="898" customFormat="1" ht="15" customHeight="1">
      <c r="A77" s="1082"/>
      <c r="B77" s="903" t="s">
        <v>1091</v>
      </c>
      <c r="C77" s="107"/>
      <c r="D77" s="907">
        <v>7.5</v>
      </c>
      <c r="E77" s="906"/>
      <c r="F77" s="907">
        <v>3.0999999999999996</v>
      </c>
      <c r="G77" s="906"/>
      <c r="H77" s="907">
        <v>8.5000000000000018</v>
      </c>
      <c r="I77" s="906"/>
      <c r="J77" s="907">
        <v>7.4999999999999982</v>
      </c>
      <c r="K77" s="1572"/>
      <c r="L77" s="907">
        <v>1.7000000000000028</v>
      </c>
      <c r="M77" s="1572"/>
      <c r="N77" s="907">
        <v>10.9</v>
      </c>
      <c r="O77" s="1572"/>
      <c r="P77" s="1830">
        <v>2.2999999999999972</v>
      </c>
      <c r="Q77" s="2043"/>
      <c r="R77" s="1830">
        <v>2.2000000000000011</v>
      </c>
      <c r="S77" s="2043"/>
      <c r="T77" s="1830">
        <v>10.799999999999997</v>
      </c>
      <c r="U77" s="2043"/>
      <c r="V77" s="1830">
        <v>2.5000000000000018</v>
      </c>
      <c r="W77" s="2043"/>
      <c r="X77" s="1830">
        <f t="shared" si="6"/>
        <v>3.7999999999999954</v>
      </c>
      <c r="Y77" s="2043"/>
      <c r="Z77" s="1830"/>
      <c r="AA77" s="2044"/>
      <c r="AB77" s="2045"/>
      <c r="AC77" s="2047"/>
      <c r="AD77" s="1830">
        <v>60.8</v>
      </c>
      <c r="AE77" s="2077"/>
      <c r="AF77" s="3294"/>
      <c r="AG77" s="1830">
        <v>83.9</v>
      </c>
      <c r="AH77" s="1085"/>
      <c r="AI77" s="67"/>
      <c r="AJ77" s="906">
        <f t="shared" si="7"/>
        <v>-23.1</v>
      </c>
      <c r="AK77" s="906"/>
      <c r="AL77" s="1859">
        <f>ROUND(IF(AG77=0,0,AJ77/ABS(AG77)),3)</f>
        <v>-0.27500000000000002</v>
      </c>
      <c r="AM77" s="1860"/>
    </row>
    <row r="78" spans="1:39" s="898" customFormat="1" ht="15" customHeight="1">
      <c r="A78" s="1082"/>
      <c r="B78" s="903" t="s">
        <v>1092</v>
      </c>
      <c r="C78" s="107"/>
      <c r="D78" s="1055">
        <v>40.9</v>
      </c>
      <c r="E78" s="906"/>
      <c r="F78" s="1055">
        <v>36.9</v>
      </c>
      <c r="G78" s="906"/>
      <c r="H78" s="907">
        <v>57.399999999999984</v>
      </c>
      <c r="I78" s="906"/>
      <c r="J78" s="907">
        <v>39.20000000000001</v>
      </c>
      <c r="K78" s="1572"/>
      <c r="L78" s="907">
        <v>43.699999999999996</v>
      </c>
      <c r="M78" s="1572"/>
      <c r="N78" s="907">
        <v>67.500000000000028</v>
      </c>
      <c r="O78" s="1572"/>
      <c r="P78" s="1830">
        <v>36.700000000000017</v>
      </c>
      <c r="Q78" s="2043"/>
      <c r="R78" s="1830">
        <v>32.30000000000004</v>
      </c>
      <c r="S78" s="2043"/>
      <c r="T78" s="1830">
        <v>33.099999999999966</v>
      </c>
      <c r="U78" s="2043"/>
      <c r="V78" s="1830">
        <v>44.900000000000063</v>
      </c>
      <c r="W78" s="2043"/>
      <c r="X78" s="1830">
        <f t="shared" si="6"/>
        <v>59.799999999999955</v>
      </c>
      <c r="Y78" s="2043"/>
      <c r="Z78" s="1830"/>
      <c r="AA78" s="2044"/>
      <c r="AB78" s="2045"/>
      <c r="AC78" s="2046"/>
      <c r="AD78" s="1830">
        <v>492.4</v>
      </c>
      <c r="AE78" s="2045"/>
      <c r="AF78" s="2047"/>
      <c r="AG78" s="1830">
        <v>442.5</v>
      </c>
      <c r="AH78" s="1085"/>
      <c r="AI78" s="67"/>
      <c r="AJ78" s="906">
        <f t="shared" si="7"/>
        <v>49.9</v>
      </c>
      <c r="AK78" s="906"/>
      <c r="AL78" s="1870">
        <f>ROUND(IF(AG78=0,0,AJ78/ABS(AG78)),3)</f>
        <v>0.113</v>
      </c>
      <c r="AM78" s="1860"/>
    </row>
    <row r="79" spans="1:39" ht="15" customHeight="1">
      <c r="A79" s="150"/>
      <c r="B79" s="903" t="s">
        <v>1064</v>
      </c>
      <c r="C79" s="31"/>
      <c r="D79" s="907">
        <v>0.9</v>
      </c>
      <c r="E79" s="906"/>
      <c r="F79" s="907">
        <v>0.79999999999999993</v>
      </c>
      <c r="G79" s="906"/>
      <c r="H79" s="907">
        <v>1.5000000000000004</v>
      </c>
      <c r="I79" s="906"/>
      <c r="J79" s="907">
        <v>2.4999999999999996</v>
      </c>
      <c r="K79" s="1572"/>
      <c r="L79" s="907">
        <v>1.6999999999999997</v>
      </c>
      <c r="M79" s="1572"/>
      <c r="N79" s="907">
        <v>2.4999999999999996</v>
      </c>
      <c r="O79" s="1572"/>
      <c r="P79" s="1830">
        <v>0.79999999999999893</v>
      </c>
      <c r="Q79" s="2043"/>
      <c r="R79" s="1830">
        <v>1.5000000000000004</v>
      </c>
      <c r="S79" s="2043"/>
      <c r="T79" s="1830">
        <v>1.3000000000000007</v>
      </c>
      <c r="U79" s="2043"/>
      <c r="V79" s="1830">
        <v>1.4</v>
      </c>
      <c r="W79" s="2043"/>
      <c r="X79" s="1830">
        <f>$AD79-$D79-$F79-$H79-$J79-$L79-$N79-$P79-$R79-$T79-$V79</f>
        <v>1.2999999999999989</v>
      </c>
      <c r="Y79" s="2043"/>
      <c r="Z79" s="1830"/>
      <c r="AA79" s="2044"/>
      <c r="AB79" s="2045"/>
      <c r="AC79" s="2046"/>
      <c r="AD79" s="1830">
        <v>16.2</v>
      </c>
      <c r="AE79" s="2045"/>
      <c r="AF79" s="2047"/>
      <c r="AG79" s="1830">
        <v>22.099999999999998</v>
      </c>
      <c r="AH79" s="276"/>
      <c r="AI79" s="56"/>
      <c r="AJ79" s="652">
        <f t="shared" si="7"/>
        <v>-5.9</v>
      </c>
      <c r="AK79" s="652"/>
      <c r="AL79" s="1459">
        <f>ROUND(IF(AG79=0,0,AJ79/ABS(AG79)),3)</f>
        <v>-0.26700000000000002</v>
      </c>
      <c r="AM79" s="794"/>
    </row>
    <row r="80" spans="1:39" s="898" customFormat="1" ht="15" customHeight="1">
      <c r="A80" s="1082"/>
      <c r="B80" s="903" t="s">
        <v>1065</v>
      </c>
      <c r="C80" s="107"/>
      <c r="D80" s="907">
        <v>52</v>
      </c>
      <c r="E80" s="906"/>
      <c r="F80" s="907">
        <v>48.099999999999994</v>
      </c>
      <c r="G80" s="906"/>
      <c r="H80" s="907">
        <v>34.900000000000006</v>
      </c>
      <c r="I80" s="906"/>
      <c r="J80" s="907">
        <v>45</v>
      </c>
      <c r="K80" s="1572"/>
      <c r="L80" s="907">
        <v>240</v>
      </c>
      <c r="M80" s="1572"/>
      <c r="N80" s="907">
        <v>309.89999999999998</v>
      </c>
      <c r="O80" s="1572"/>
      <c r="P80" s="1830">
        <v>137.5</v>
      </c>
      <c r="Q80" s="2043"/>
      <c r="R80" s="1830">
        <v>37.5</v>
      </c>
      <c r="S80" s="2043"/>
      <c r="T80" s="1830">
        <v>14.100000000000023</v>
      </c>
      <c r="U80" s="2043"/>
      <c r="V80" s="1830">
        <v>261.79999999999995</v>
      </c>
      <c r="W80" s="2043"/>
      <c r="X80" s="1830">
        <f t="shared" si="6"/>
        <v>352.60000000000014</v>
      </c>
      <c r="Y80" s="2043"/>
      <c r="Z80" s="1830"/>
      <c r="AA80" s="2044"/>
      <c r="AB80" s="2045"/>
      <c r="AC80" s="2047"/>
      <c r="AD80" s="1830">
        <v>1533.4</v>
      </c>
      <c r="AE80" s="2077"/>
      <c r="AF80" s="3294"/>
      <c r="AG80" s="1830">
        <v>1691.8</v>
      </c>
      <c r="AH80" s="1085"/>
      <c r="AI80" s="67"/>
      <c r="AJ80" s="906">
        <f t="shared" si="7"/>
        <v>-158.4</v>
      </c>
      <c r="AK80" s="906"/>
      <c r="AL80" s="1859">
        <f>ROUND(IF(AG80=0,0,AJ80/ABS(AG80)),3)</f>
        <v>-9.4E-2</v>
      </c>
      <c r="AM80" s="1860"/>
    </row>
    <row r="81" spans="1:39" s="898" customFormat="1" ht="15" customHeight="1">
      <c r="A81" s="1082"/>
      <c r="B81" s="312" t="s">
        <v>1201</v>
      </c>
      <c r="C81" s="107"/>
      <c r="D81" s="1881">
        <f>ROUND(SUM(D42:D80),1)</f>
        <v>1557.2</v>
      </c>
      <c r="E81" s="906"/>
      <c r="F81" s="1881">
        <f>ROUND(SUM(F42:F80),1)</f>
        <v>1411.2</v>
      </c>
      <c r="G81" s="906"/>
      <c r="H81" s="1881">
        <f>ROUND(SUM(H42:H80),1)</f>
        <v>1509.6</v>
      </c>
      <c r="I81" s="906"/>
      <c r="J81" s="1881">
        <f>ROUND(SUM(J42:J80),1)</f>
        <v>1531.9</v>
      </c>
      <c r="K81" s="118"/>
      <c r="L81" s="1574">
        <f>ROUND(SUM(L42:L80),1)</f>
        <v>1421.4</v>
      </c>
      <c r="M81" s="118"/>
      <c r="N81" s="1574">
        <f>ROUND(SUM(N42:N80),1)</f>
        <v>1874.2</v>
      </c>
      <c r="O81" s="118"/>
      <c r="P81" s="1488">
        <f>ROUND(SUM(P42:P80),1)</f>
        <v>1601.4</v>
      </c>
      <c r="Q81" s="2040"/>
      <c r="R81" s="1488">
        <f>ROUND(SUM(R42:R80),1)</f>
        <v>1233.7</v>
      </c>
      <c r="S81" s="2040"/>
      <c r="T81" s="1488">
        <f>ROUND(SUM(T42:T80),1)</f>
        <v>1448.9</v>
      </c>
      <c r="U81" s="2040"/>
      <c r="V81" s="1488">
        <f>ROUND(SUM(V42:V80),1)</f>
        <v>2198.8000000000002</v>
      </c>
      <c r="W81" s="2040"/>
      <c r="X81" s="1488">
        <f>ROUND(SUM(X42:X80),1)</f>
        <v>1842.6</v>
      </c>
      <c r="Y81" s="2040"/>
      <c r="Z81" s="1488">
        <f>ROUND(SUM(Z42:Z80),1)</f>
        <v>0</v>
      </c>
      <c r="AA81" s="1490"/>
      <c r="AB81" s="2040"/>
      <c r="AC81" s="2084"/>
      <c r="AD81" s="1488">
        <f>ROUND(SUM(AD42:AD80),1)</f>
        <v>17630.900000000001</v>
      </c>
      <c r="AE81" s="2040"/>
      <c r="AF81" s="2042"/>
      <c r="AG81" s="1488">
        <f>ROUND(SUM(AG42:AG80),1)</f>
        <v>18025.900000000001</v>
      </c>
      <c r="AH81" s="1085"/>
      <c r="AI81" s="67"/>
      <c r="AJ81" s="1574">
        <f>ROUND(SUM(AJ42:AJ80),1)</f>
        <v>-395</v>
      </c>
      <c r="AK81" s="906"/>
      <c r="AL81" s="1861">
        <f>ROUND(SUM(+AJ81/AG81),3)</f>
        <v>-2.1999999999999999E-2</v>
      </c>
      <c r="AM81" s="1860"/>
    </row>
    <row r="82" spans="1:39" s="898" customFormat="1" ht="15" customHeight="1">
      <c r="A82" s="1082"/>
      <c r="B82" s="312"/>
      <c r="C82" s="107"/>
      <c r="D82" s="115"/>
      <c r="E82" s="906"/>
      <c r="F82" s="115"/>
      <c r="G82" s="906"/>
      <c r="H82" s="115"/>
      <c r="I82" s="906"/>
      <c r="J82" s="115"/>
      <c r="K82" s="118"/>
      <c r="L82" s="115"/>
      <c r="M82" s="118"/>
      <c r="N82" s="115"/>
      <c r="O82" s="118"/>
      <c r="P82" s="1490"/>
      <c r="Q82" s="2040"/>
      <c r="R82" s="1490"/>
      <c r="S82" s="2040"/>
      <c r="T82" s="1490"/>
      <c r="U82" s="2040"/>
      <c r="V82" s="1490"/>
      <c r="W82" s="2040"/>
      <c r="X82" s="1490"/>
      <c r="Y82" s="2040"/>
      <c r="Z82" s="1490"/>
      <c r="AA82" s="1490"/>
      <c r="AB82" s="2040"/>
      <c r="AC82" s="2084"/>
      <c r="AD82" s="1490"/>
      <c r="AE82" s="2040"/>
      <c r="AF82" s="2042"/>
      <c r="AG82" s="1490"/>
      <c r="AH82" s="1085"/>
      <c r="AI82" s="67"/>
      <c r="AJ82" s="115"/>
      <c r="AK82" s="906"/>
      <c r="AL82" s="1862"/>
      <c r="AM82" s="1860"/>
    </row>
    <row r="83" spans="1:39" s="898" customFormat="1" ht="15" customHeight="1">
      <c r="A83" s="1082"/>
      <c r="B83" s="1857" t="s">
        <v>150</v>
      </c>
      <c r="C83" s="107"/>
      <c r="D83" s="907">
        <v>0</v>
      </c>
      <c r="E83" s="906"/>
      <c r="F83" s="907">
        <v>0</v>
      </c>
      <c r="G83" s="906"/>
      <c r="H83" s="907">
        <v>-0.9</v>
      </c>
      <c r="I83" s="906"/>
      <c r="J83" s="907">
        <v>9.9999999999999978E-2</v>
      </c>
      <c r="K83" s="1572"/>
      <c r="L83" s="907">
        <v>18.299999999999997</v>
      </c>
      <c r="M83" s="1572"/>
      <c r="N83" s="907">
        <v>0.10000000000000142</v>
      </c>
      <c r="O83" s="1572"/>
      <c r="P83" s="1830">
        <v>0</v>
      </c>
      <c r="Q83" s="2043"/>
      <c r="R83" s="1830">
        <v>9.9999999999997868E-2</v>
      </c>
      <c r="S83" s="2043"/>
      <c r="T83" s="1830">
        <v>0</v>
      </c>
      <c r="U83" s="2043"/>
      <c r="V83" s="1830">
        <v>-26.699999999999996</v>
      </c>
      <c r="W83" s="2043"/>
      <c r="X83" s="1830">
        <f t="shared" ref="X83" si="12">$AD83-$D83-$F83-$H83-$J83-$L83-$N83-$P83-$R83-$T83-$V83</f>
        <v>0.19999999999999929</v>
      </c>
      <c r="Y83" s="2043"/>
      <c r="Z83" s="1830"/>
      <c r="AA83" s="2044"/>
      <c r="AB83" s="2045"/>
      <c r="AC83" s="2047"/>
      <c r="AD83" s="1830">
        <v>-8.8000000000000007</v>
      </c>
      <c r="AE83" s="2077"/>
      <c r="AF83" s="3294"/>
      <c r="AG83" s="1830">
        <v>-1.3</v>
      </c>
      <c r="AH83" s="1085"/>
      <c r="AI83" s="67"/>
      <c r="AJ83" s="1035">
        <f>ROUND(SUM(+AD83-AG83),1)</f>
        <v>-7.5</v>
      </c>
      <c r="AK83" s="906"/>
      <c r="AL83" s="1765">
        <f>ROUND(IF(AG83=0,1,AJ83/ABS(AG83)),3)</f>
        <v>-5.7690000000000001</v>
      </c>
      <c r="AM83" s="1860"/>
    </row>
    <row r="84" spans="1:39" ht="15" customHeight="1">
      <c r="A84" s="150"/>
      <c r="B84" s="31"/>
      <c r="C84" s="31"/>
      <c r="D84" s="697"/>
      <c r="E84" s="1566"/>
      <c r="F84" s="697"/>
      <c r="G84" s="1566"/>
      <c r="H84" s="697"/>
      <c r="I84" s="1566"/>
      <c r="J84" s="697"/>
      <c r="K84" s="66"/>
      <c r="L84" s="88"/>
      <c r="M84" s="66"/>
      <c r="N84" s="88"/>
      <c r="O84" s="66"/>
      <c r="P84" s="2050"/>
      <c r="Q84" s="2051"/>
      <c r="R84" s="2050"/>
      <c r="S84" s="2051"/>
      <c r="T84" s="2050"/>
      <c r="U84" s="2051"/>
      <c r="V84" s="2050"/>
      <c r="W84" s="2051"/>
      <c r="X84" s="2050"/>
      <c r="Y84" s="2051"/>
      <c r="Z84" s="2050"/>
      <c r="AA84" s="2052"/>
      <c r="AB84" s="2051"/>
      <c r="AC84" s="2082"/>
      <c r="AD84" s="2096"/>
      <c r="AE84" s="2021"/>
      <c r="AF84" s="2042"/>
      <c r="AG84" s="2096"/>
      <c r="AH84" s="276"/>
      <c r="AI84" s="56"/>
      <c r="AJ84" s="1431"/>
      <c r="AK84" s="931"/>
      <c r="AL84" s="1474"/>
      <c r="AM84" s="794"/>
    </row>
    <row r="85" spans="1:39" ht="15" customHeight="1">
      <c r="A85" s="150"/>
      <c r="B85" s="29" t="s">
        <v>151</v>
      </c>
      <c r="C85" s="31"/>
      <c r="D85" s="933">
        <f>ROUND(SUM(D38+D81+D83),1)</f>
        <v>1959</v>
      </c>
      <c r="E85" s="933"/>
      <c r="F85" s="933">
        <f>ROUND(SUM(F38+F81+F83),1)</f>
        <v>1598.5</v>
      </c>
      <c r="G85" s="933"/>
      <c r="H85" s="933">
        <f>ROUND(SUM(H38+H81+H83),1)</f>
        <v>1972.1</v>
      </c>
      <c r="I85" s="933"/>
      <c r="J85" s="933">
        <f>ROUND(SUM(J38+J81+J83),1)</f>
        <v>1780.2</v>
      </c>
      <c r="K85" s="933"/>
      <c r="L85" s="933">
        <f>ROUND(SUM(L38+L81+L83),1)</f>
        <v>1658</v>
      </c>
      <c r="M85" s="933"/>
      <c r="N85" s="933">
        <f>ROUND(SUM(N38+N81+N83),1)</f>
        <v>2330.4</v>
      </c>
      <c r="O85" s="933"/>
      <c r="P85" s="1489">
        <f>ROUND(SUM(P38+P81+P83),1)</f>
        <v>1832.3</v>
      </c>
      <c r="Q85" s="1489"/>
      <c r="R85" s="1489">
        <f>ROUND(SUM(R38+R81+R83),1)</f>
        <v>1461.6</v>
      </c>
      <c r="S85" s="1489"/>
      <c r="T85" s="1489">
        <f>ROUND(SUM(T38+T81+T83),1)</f>
        <v>1980.8</v>
      </c>
      <c r="U85" s="1489"/>
      <c r="V85" s="1489">
        <f>ROUND(SUM(V38+V81+V83),1)</f>
        <v>4507.7</v>
      </c>
      <c r="W85" s="1489"/>
      <c r="X85" s="1489">
        <f>ROUND(SUM(X38+X81+X83),1)</f>
        <v>2062.8000000000002</v>
      </c>
      <c r="Y85" s="1489"/>
      <c r="Z85" s="1489">
        <f>ROUND(SUM(Z38+Z81+Z83),1)</f>
        <v>0</v>
      </c>
      <c r="AA85" s="1489"/>
      <c r="AB85" s="1489"/>
      <c r="AC85" s="2085"/>
      <c r="AD85" s="2095">
        <f>ROUND(SUM(AD38+AD81+AD83),1)</f>
        <v>23143.4</v>
      </c>
      <c r="AE85" s="1490"/>
      <c r="AF85" s="3278"/>
      <c r="AG85" s="2095">
        <f>ROUND(SUM(AG38+AG81+AG83),1)</f>
        <v>23665.3</v>
      </c>
      <c r="AH85" s="283"/>
      <c r="AI85" s="76"/>
      <c r="AJ85" s="839">
        <f>ROUND(SUM(AJ38+AJ81+AJ83),1)</f>
        <v>-521.9</v>
      </c>
      <c r="AK85" s="285"/>
      <c r="AL85" s="1463">
        <f>ROUND(SUM((AD85-AG85)/ABS(AG85)),3)</f>
        <v>-2.1999999999999999E-2</v>
      </c>
      <c r="AM85" s="794"/>
    </row>
    <row r="86" spans="1:39" ht="15" customHeight="1">
      <c r="A86" s="150"/>
      <c r="B86" s="31"/>
      <c r="C86" s="31"/>
      <c r="D86" s="697"/>
      <c r="E86" s="1566"/>
      <c r="F86" s="697"/>
      <c r="G86" s="1566"/>
      <c r="H86" s="697"/>
      <c r="I86" s="1566"/>
      <c r="J86" s="697"/>
      <c r="K86" s="66"/>
      <c r="L86" s="88"/>
      <c r="M86" s="66"/>
      <c r="N86" s="88"/>
      <c r="O86" s="66"/>
      <c r="P86" s="2050"/>
      <c r="Q86" s="2051"/>
      <c r="R86" s="2050"/>
      <c r="S86" s="2051"/>
      <c r="T86" s="2050"/>
      <c r="U86" s="2051"/>
      <c r="V86" s="2050"/>
      <c r="W86" s="2051"/>
      <c r="X86" s="2050"/>
      <c r="Y86" s="2051"/>
      <c r="Z86" s="2050"/>
      <c r="AA86" s="2052"/>
      <c r="AB86" s="2051"/>
      <c r="AC86" s="2082"/>
      <c r="AD86" s="2096"/>
      <c r="AE86" s="2021"/>
      <c r="AF86" s="2042"/>
      <c r="AG86" s="2096"/>
      <c r="AH86" s="276"/>
      <c r="AI86" s="56"/>
      <c r="AJ86" s="652"/>
      <c r="AK86" s="931"/>
      <c r="AL86" s="1459"/>
      <c r="AM86" s="794"/>
    </row>
    <row r="87" spans="1:39" ht="15" customHeight="1">
      <c r="A87" s="150"/>
      <c r="B87" s="173" t="s">
        <v>23</v>
      </c>
      <c r="C87" s="31"/>
      <c r="D87" s="1566"/>
      <c r="E87" s="1566"/>
      <c r="F87" s="1566"/>
      <c r="G87" s="1566"/>
      <c r="H87" s="1566"/>
      <c r="I87" s="1566"/>
      <c r="J87" s="1566"/>
      <c r="K87" s="66"/>
      <c r="L87" s="66"/>
      <c r="M87" s="66"/>
      <c r="N87" s="66"/>
      <c r="O87" s="66"/>
      <c r="P87" s="2051"/>
      <c r="Q87" s="2051"/>
      <c r="R87" s="2051"/>
      <c r="S87" s="2051"/>
      <c r="T87" s="2051"/>
      <c r="U87" s="2051"/>
      <c r="V87" s="2051"/>
      <c r="W87" s="2051"/>
      <c r="X87" s="2051"/>
      <c r="Y87" s="2051"/>
      <c r="Z87" s="2051"/>
      <c r="AA87" s="2051"/>
      <c r="AB87" s="2051"/>
      <c r="AC87" s="2082"/>
      <c r="AD87" s="2040"/>
      <c r="AE87" s="2021"/>
      <c r="AF87" s="2042"/>
      <c r="AG87" s="2040"/>
      <c r="AH87" s="276"/>
      <c r="AI87" s="56"/>
      <c r="AJ87" s="652"/>
      <c r="AK87" s="931"/>
      <c r="AL87" s="1459"/>
      <c r="AM87" s="794"/>
    </row>
    <row r="88" spans="1:39" ht="12.75" customHeight="1">
      <c r="A88" s="150"/>
      <c r="B88" s="699" t="s">
        <v>152</v>
      </c>
      <c r="C88" s="31"/>
      <c r="D88" s="690"/>
      <c r="E88" s="1566"/>
      <c r="F88" s="690"/>
      <c r="G88" s="1566"/>
      <c r="H88" s="1566"/>
      <c r="I88" s="1566"/>
      <c r="J88" s="690"/>
      <c r="K88" s="66"/>
      <c r="L88" s="77"/>
      <c r="M88" s="66"/>
      <c r="N88" s="77"/>
      <c r="O88" s="66"/>
      <c r="P88" s="2060"/>
      <c r="Q88" s="2051"/>
      <c r="R88" s="2060"/>
      <c r="S88" s="2051"/>
      <c r="T88" s="2060"/>
      <c r="U88" s="2051"/>
      <c r="V88" s="2051"/>
      <c r="W88" s="2051"/>
      <c r="X88" s="2060"/>
      <c r="Y88" s="2051"/>
      <c r="Z88" s="2051"/>
      <c r="AA88" s="2051"/>
      <c r="AB88" s="2051"/>
      <c r="AC88" s="2082"/>
      <c r="AD88" s="2038"/>
      <c r="AE88" s="2040"/>
      <c r="AF88" s="2042"/>
      <c r="AG88" s="2038"/>
      <c r="AH88" s="276"/>
      <c r="AI88" s="56"/>
      <c r="AJ88" s="652"/>
      <c r="AK88" s="931"/>
      <c r="AL88" s="1475"/>
      <c r="AM88" s="794"/>
    </row>
    <row r="89" spans="1:39" s="898" customFormat="1" ht="15" customHeight="1">
      <c r="A89" s="1082"/>
      <c r="B89" s="1854" t="s">
        <v>25</v>
      </c>
      <c r="C89" s="107"/>
      <c r="D89" s="907">
        <v>0.2</v>
      </c>
      <c r="E89" s="1566"/>
      <c r="F89" s="907">
        <v>0.49999999999999994</v>
      </c>
      <c r="G89" s="1566"/>
      <c r="H89" s="907">
        <v>349.3</v>
      </c>
      <c r="I89" s="1566"/>
      <c r="J89" s="907">
        <v>0.19999999999998863</v>
      </c>
      <c r="K89" s="1572"/>
      <c r="L89" s="907">
        <v>1.5</v>
      </c>
      <c r="M89" s="1572"/>
      <c r="N89" s="907">
        <v>2511.4</v>
      </c>
      <c r="O89" s="1572"/>
      <c r="P89" s="1830">
        <v>147.90000000000009</v>
      </c>
      <c r="Q89" s="2043"/>
      <c r="R89" s="1830">
        <v>149.40000000000009</v>
      </c>
      <c r="S89" s="2043"/>
      <c r="T89" s="1830">
        <v>183.79999999999973</v>
      </c>
      <c r="U89" s="2043"/>
      <c r="V89" s="1830">
        <v>2254.8000000000002</v>
      </c>
      <c r="W89" s="2043"/>
      <c r="X89" s="1830">
        <f t="shared" ref="X89:X98" si="13">$AD89-$D89-$F89-$H89-$J89-$L89-$N89-$P89-$R89-$T89-$V89</f>
        <v>147.10000000000036</v>
      </c>
      <c r="Y89" s="2043"/>
      <c r="Z89" s="1830"/>
      <c r="AA89" s="2044"/>
      <c r="AB89" s="2045"/>
      <c r="AC89" s="2047"/>
      <c r="AD89" s="1830">
        <v>5746.1</v>
      </c>
      <c r="AE89" s="2077"/>
      <c r="AF89" s="3294"/>
      <c r="AG89" s="1830">
        <v>5506.9</v>
      </c>
      <c r="AH89" s="1085"/>
      <c r="AI89" s="67"/>
      <c r="AJ89" s="906">
        <f>ROUND(SUM(+AD89-AG89),1)</f>
        <v>239.2</v>
      </c>
      <c r="AK89" s="906"/>
      <c r="AL89" s="1770">
        <f>ROUND(IF(AG89=0,1,AJ89/ABS(AG89)),3)</f>
        <v>4.2999999999999997E-2</v>
      </c>
      <c r="AM89" s="1860"/>
    </row>
    <row r="90" spans="1:39" s="898" customFormat="1" ht="15" customHeight="1">
      <c r="A90" s="1082"/>
      <c r="B90" s="1854" t="s">
        <v>26</v>
      </c>
      <c r="C90" s="107"/>
      <c r="D90" s="907">
        <v>0.1</v>
      </c>
      <c r="E90" s="1566"/>
      <c r="F90" s="907">
        <v>0</v>
      </c>
      <c r="G90" s="1566"/>
      <c r="H90" s="907">
        <v>0.5</v>
      </c>
      <c r="I90" s="1566"/>
      <c r="J90" s="907">
        <v>-9.9999999999999978E-2</v>
      </c>
      <c r="K90" s="1572"/>
      <c r="L90" s="907">
        <v>9.9999999999999978E-2</v>
      </c>
      <c r="M90" s="1572"/>
      <c r="N90" s="907">
        <v>0.20000000000000007</v>
      </c>
      <c r="O90" s="1572"/>
      <c r="P90" s="1830">
        <v>0</v>
      </c>
      <c r="Q90" s="2043"/>
      <c r="R90" s="1830">
        <v>0.19999999999999996</v>
      </c>
      <c r="S90" s="2043"/>
      <c r="T90" s="1830">
        <v>0.49999999999999989</v>
      </c>
      <c r="U90" s="2043"/>
      <c r="V90" s="1830">
        <v>0.49999999999999989</v>
      </c>
      <c r="W90" s="2043"/>
      <c r="X90" s="1830">
        <f t="shared" si="13"/>
        <v>2</v>
      </c>
      <c r="Y90" s="2043"/>
      <c r="Z90" s="1830"/>
      <c r="AA90" s="2044"/>
      <c r="AB90" s="2045"/>
      <c r="AC90" s="2047"/>
      <c r="AD90" s="1830">
        <v>4</v>
      </c>
      <c r="AE90" s="2077"/>
      <c r="AF90" s="3294"/>
      <c r="AG90" s="1830">
        <v>4.0999999999999996</v>
      </c>
      <c r="AH90" s="1085"/>
      <c r="AI90" s="67"/>
      <c r="AJ90" s="906">
        <f>ROUND(SUM(+AD90-AG90),1)</f>
        <v>-0.1</v>
      </c>
      <c r="AK90" s="906"/>
      <c r="AL90" s="1859">
        <f>ROUND(IF(AG90=0,1,AJ90/ABS(AG90)),3)</f>
        <v>-2.4E-2</v>
      </c>
      <c r="AM90" s="1860"/>
    </row>
    <row r="91" spans="1:39" s="898" customFormat="1" ht="15" customHeight="1">
      <c r="A91" s="1082"/>
      <c r="B91" s="1854" t="s">
        <v>27</v>
      </c>
      <c r="C91" s="107"/>
      <c r="D91" s="907">
        <v>25.4</v>
      </c>
      <c r="E91" s="1566"/>
      <c r="F91" s="907">
        <v>18.700000000000003</v>
      </c>
      <c r="G91" s="1566"/>
      <c r="H91" s="907">
        <v>1.7999999999999972</v>
      </c>
      <c r="I91" s="1566"/>
      <c r="J91" s="907">
        <v>20.199999999999996</v>
      </c>
      <c r="K91" s="1572"/>
      <c r="L91" s="907">
        <v>12.5</v>
      </c>
      <c r="M91" s="1572"/>
      <c r="N91" s="907">
        <v>22.9</v>
      </c>
      <c r="O91" s="1572"/>
      <c r="P91" s="1830">
        <v>14.099999999999994</v>
      </c>
      <c r="Q91" s="2043"/>
      <c r="R91" s="1830">
        <v>20.200000000000024</v>
      </c>
      <c r="S91" s="2043"/>
      <c r="T91" s="1830">
        <v>27.099999999999994</v>
      </c>
      <c r="U91" s="2043"/>
      <c r="V91" s="1830">
        <v>20.39999999999997</v>
      </c>
      <c r="W91" s="2043"/>
      <c r="X91" s="1830">
        <f t="shared" si="13"/>
        <v>34.199999999999996</v>
      </c>
      <c r="Y91" s="2043"/>
      <c r="Z91" s="1830"/>
      <c r="AA91" s="2044"/>
      <c r="AB91" s="2045"/>
      <c r="AC91" s="2047"/>
      <c r="AD91" s="1830">
        <v>217.5</v>
      </c>
      <c r="AE91" s="2077"/>
      <c r="AF91" s="3294"/>
      <c r="AG91" s="1830">
        <v>134.69999999999999</v>
      </c>
      <c r="AH91" s="1085"/>
      <c r="AI91" s="67"/>
      <c r="AJ91" s="906">
        <f>ROUND(SUM(+AD91-AG91),1)</f>
        <v>82.8</v>
      </c>
      <c r="AK91" s="906"/>
      <c r="AL91" s="1859">
        <f>ROUND(IF(AG91=0,0,AJ91/ABS(AG91)),3)</f>
        <v>0.61499999999999999</v>
      </c>
      <c r="AM91" s="1860"/>
    </row>
    <row r="92" spans="1:39" s="898" customFormat="1" ht="15" customHeight="1">
      <c r="A92" s="1082"/>
      <c r="B92" s="699" t="s">
        <v>1311</v>
      </c>
      <c r="C92" s="107"/>
      <c r="D92" s="907" t="s">
        <v>15</v>
      </c>
      <c r="E92" s="1566"/>
      <c r="F92" s="907"/>
      <c r="G92" s="1566"/>
      <c r="H92" s="907"/>
      <c r="I92" s="1566"/>
      <c r="J92" s="907"/>
      <c r="K92" s="1572"/>
      <c r="L92" s="907"/>
      <c r="M92" s="1572"/>
      <c r="N92" s="907"/>
      <c r="O92" s="1572"/>
      <c r="P92" s="1830"/>
      <c r="Q92" s="2043"/>
      <c r="R92" s="1830"/>
      <c r="S92" s="2043"/>
      <c r="T92" s="1830"/>
      <c r="U92" s="2043"/>
      <c r="V92" s="1830"/>
      <c r="W92" s="2043"/>
      <c r="X92" s="1830"/>
      <c r="Y92" s="2043"/>
      <c r="Z92" s="1830"/>
      <c r="AA92" s="2044"/>
      <c r="AB92" s="2045"/>
      <c r="AC92" s="2047"/>
      <c r="AD92" s="1830"/>
      <c r="AE92" s="2077"/>
      <c r="AF92" s="3294"/>
      <c r="AG92" s="1830"/>
      <c r="AH92" s="1085"/>
      <c r="AI92" s="67"/>
      <c r="AJ92" s="906"/>
      <c r="AK92" s="902"/>
      <c r="AL92" s="1859"/>
      <c r="AM92" s="1860"/>
    </row>
    <row r="93" spans="1:39" s="898" customFormat="1" ht="15" customHeight="1">
      <c r="A93" s="1082"/>
      <c r="B93" s="1855" t="s">
        <v>29</v>
      </c>
      <c r="C93" s="107"/>
      <c r="D93" s="907">
        <v>-1.1000000000000001</v>
      </c>
      <c r="E93" s="1566"/>
      <c r="F93" s="907">
        <v>881.9</v>
      </c>
      <c r="G93" s="1566"/>
      <c r="H93" s="907">
        <v>365.29999999999984</v>
      </c>
      <c r="I93" s="1566"/>
      <c r="J93" s="907">
        <v>582.80000000000018</v>
      </c>
      <c r="K93" s="1572"/>
      <c r="L93" s="907">
        <v>686.19999999999982</v>
      </c>
      <c r="M93" s="1572"/>
      <c r="N93" s="907">
        <v>607.5</v>
      </c>
      <c r="O93" s="1572"/>
      <c r="P93" s="1830">
        <v>469.70000000000027</v>
      </c>
      <c r="Q93" s="2043"/>
      <c r="R93" s="1830">
        <v>408.09999999999991</v>
      </c>
      <c r="S93" s="2043"/>
      <c r="T93" s="1830">
        <v>434.30000000000018</v>
      </c>
      <c r="U93" s="2043"/>
      <c r="V93" s="1830">
        <v>583.70000000000027</v>
      </c>
      <c r="W93" s="2043"/>
      <c r="X93" s="1830">
        <f t="shared" si="13"/>
        <v>492.20000000000027</v>
      </c>
      <c r="Y93" s="2043"/>
      <c r="Z93" s="1830"/>
      <c r="AA93" s="2044"/>
      <c r="AB93" s="2045"/>
      <c r="AC93" s="2047"/>
      <c r="AD93" s="1830">
        <v>5510.6</v>
      </c>
      <c r="AE93" s="2077"/>
      <c r="AF93" s="3294"/>
      <c r="AG93" s="1830">
        <v>5290.9</v>
      </c>
      <c r="AH93" s="1085"/>
      <c r="AI93" s="67"/>
      <c r="AJ93" s="906">
        <f t="shared" ref="AJ93:AJ98" si="14">ROUND(SUM(+AD93-AG93),1)</f>
        <v>219.7</v>
      </c>
      <c r="AK93" s="906"/>
      <c r="AL93" s="1859">
        <f t="shared" ref="AL93:AL98" si="15">ROUND(IF(AG93=0,0,AJ93/ABS(AG93)),3)</f>
        <v>4.2000000000000003E-2</v>
      </c>
      <c r="AM93" s="1860"/>
    </row>
    <row r="94" spans="1:39" s="898" customFormat="1" ht="15" customHeight="1">
      <c r="A94" s="1082"/>
      <c r="B94" s="1854" t="s">
        <v>30</v>
      </c>
      <c r="C94" s="107"/>
      <c r="D94" s="907">
        <v>60.1</v>
      </c>
      <c r="E94" s="1566"/>
      <c r="F94" s="907">
        <v>32.699999999999996</v>
      </c>
      <c r="G94" s="1566"/>
      <c r="H94" s="907">
        <v>104.70000000000002</v>
      </c>
      <c r="I94" s="1566"/>
      <c r="J94" s="907">
        <v>43.5</v>
      </c>
      <c r="K94" s="1572"/>
      <c r="L94" s="907">
        <v>165.1</v>
      </c>
      <c r="M94" s="1572"/>
      <c r="N94" s="907">
        <v>54.19999999999996</v>
      </c>
      <c r="O94" s="1572"/>
      <c r="P94" s="1830">
        <v>56.300000000000068</v>
      </c>
      <c r="Q94" s="2043"/>
      <c r="R94" s="1830">
        <v>41.600000000000023</v>
      </c>
      <c r="S94" s="2043"/>
      <c r="T94" s="1830">
        <v>100.29999999999984</v>
      </c>
      <c r="U94" s="2043"/>
      <c r="V94" s="1830">
        <v>103.79999999999995</v>
      </c>
      <c r="W94" s="2043"/>
      <c r="X94" s="1830">
        <f t="shared" si="13"/>
        <v>55.200000000000045</v>
      </c>
      <c r="Y94" s="2043"/>
      <c r="Z94" s="1830"/>
      <c r="AA94" s="2044"/>
      <c r="AB94" s="2045"/>
      <c r="AC94" s="2047"/>
      <c r="AD94" s="1830">
        <v>817.5</v>
      </c>
      <c r="AE94" s="2077"/>
      <c r="AF94" s="3294"/>
      <c r="AG94" s="1830">
        <v>828.9</v>
      </c>
      <c r="AH94" s="1085"/>
      <c r="AI94" s="67"/>
      <c r="AJ94" s="906">
        <f t="shared" si="14"/>
        <v>-11.4</v>
      </c>
      <c r="AK94" s="906"/>
      <c r="AL94" s="1859">
        <f t="shared" si="15"/>
        <v>-1.4E-2</v>
      </c>
      <c r="AM94" s="1860"/>
    </row>
    <row r="95" spans="1:39" s="898" customFormat="1" ht="15" customHeight="1">
      <c r="A95" s="1082"/>
      <c r="B95" s="1854" t="s">
        <v>31</v>
      </c>
      <c r="C95" s="107"/>
      <c r="D95" s="907">
        <v>20.100000000000001</v>
      </c>
      <c r="E95" s="1566"/>
      <c r="F95" s="907">
        <v>14.399999999999999</v>
      </c>
      <c r="G95" s="1566"/>
      <c r="H95" s="907">
        <v>16.100000000000001</v>
      </c>
      <c r="I95" s="1566"/>
      <c r="J95" s="907">
        <v>9.5</v>
      </c>
      <c r="K95" s="1572"/>
      <c r="L95" s="907">
        <v>20.100000000000001</v>
      </c>
      <c r="M95" s="1572"/>
      <c r="N95" s="907">
        <v>16.999999999999993</v>
      </c>
      <c r="O95" s="1572"/>
      <c r="P95" s="1830">
        <v>16.300000000000004</v>
      </c>
      <c r="Q95" s="2043"/>
      <c r="R95" s="1830">
        <v>12.29999999999999</v>
      </c>
      <c r="S95" s="2043"/>
      <c r="T95" s="1830">
        <v>12.400000000000006</v>
      </c>
      <c r="U95" s="2043"/>
      <c r="V95" s="1830">
        <v>-26.000000000000007</v>
      </c>
      <c r="W95" s="2043"/>
      <c r="X95" s="1830">
        <f t="shared" si="13"/>
        <v>56.10000000000003</v>
      </c>
      <c r="Y95" s="2043"/>
      <c r="Z95" s="1830"/>
      <c r="AA95" s="2044"/>
      <c r="AB95" s="2045"/>
      <c r="AC95" s="2047"/>
      <c r="AD95" s="1830">
        <v>168.3</v>
      </c>
      <c r="AE95" s="2077"/>
      <c r="AF95" s="3294"/>
      <c r="AG95" s="1830">
        <v>141.30000000000001</v>
      </c>
      <c r="AH95" s="1085"/>
      <c r="AI95" s="67"/>
      <c r="AJ95" s="906">
        <f t="shared" si="14"/>
        <v>27</v>
      </c>
      <c r="AK95" s="906"/>
      <c r="AL95" s="1859">
        <f t="shared" si="15"/>
        <v>0.191</v>
      </c>
      <c r="AM95" s="1860"/>
    </row>
    <row r="96" spans="1:39" s="898" customFormat="1" ht="15" customHeight="1">
      <c r="A96" s="1082"/>
      <c r="B96" s="1854" t="s">
        <v>32</v>
      </c>
      <c r="C96" s="107"/>
      <c r="D96" s="907">
        <v>0.9</v>
      </c>
      <c r="E96" s="1566"/>
      <c r="F96" s="907">
        <v>0.79999999999999993</v>
      </c>
      <c r="G96" s="1566"/>
      <c r="H96" s="907">
        <v>0.50000000000000033</v>
      </c>
      <c r="I96" s="1566"/>
      <c r="J96" s="907">
        <v>0.50000000000000011</v>
      </c>
      <c r="K96" s="1572"/>
      <c r="L96" s="907">
        <v>0.8999999999999998</v>
      </c>
      <c r="M96" s="1572"/>
      <c r="N96" s="907">
        <v>-0.70000000000000007</v>
      </c>
      <c r="O96" s="1572"/>
      <c r="P96" s="1830">
        <v>0.3999999999999998</v>
      </c>
      <c r="Q96" s="2043"/>
      <c r="R96" s="1830">
        <v>1.2000000000000002</v>
      </c>
      <c r="S96" s="2043"/>
      <c r="T96" s="1830">
        <v>-0.40000000000000024</v>
      </c>
      <c r="U96" s="2043"/>
      <c r="V96" s="1830">
        <v>-0.39999999999999958</v>
      </c>
      <c r="W96" s="2043"/>
      <c r="X96" s="1830">
        <f t="shared" si="13"/>
        <v>9.9999999999999756E-2</v>
      </c>
      <c r="Y96" s="2043"/>
      <c r="Z96" s="1830"/>
      <c r="AA96" s="2044"/>
      <c r="AB96" s="2045"/>
      <c r="AC96" s="2047"/>
      <c r="AD96" s="1830">
        <v>3.8</v>
      </c>
      <c r="AE96" s="2077"/>
      <c r="AF96" s="3294"/>
      <c r="AG96" s="1830">
        <v>4.3</v>
      </c>
      <c r="AH96" s="1085"/>
      <c r="AI96" s="67"/>
      <c r="AJ96" s="906">
        <f t="shared" si="14"/>
        <v>-0.5</v>
      </c>
      <c r="AK96" s="906"/>
      <c r="AL96" s="1859">
        <f t="shared" si="15"/>
        <v>-0.11600000000000001</v>
      </c>
      <c r="AM96" s="1860"/>
    </row>
    <row r="97" spans="1:39" s="898" customFormat="1" ht="15" customHeight="1">
      <c r="A97" s="1082"/>
      <c r="B97" s="1854" t="s">
        <v>33</v>
      </c>
      <c r="C97" s="107"/>
      <c r="D97" s="907">
        <v>1.1000000000000001</v>
      </c>
      <c r="E97" s="1566"/>
      <c r="F97" s="907">
        <v>6.6999999999999993</v>
      </c>
      <c r="G97" s="1566"/>
      <c r="H97" s="907">
        <v>1.3000000000000007</v>
      </c>
      <c r="I97" s="1566"/>
      <c r="J97" s="907">
        <v>5.8000000000000007</v>
      </c>
      <c r="K97" s="1572"/>
      <c r="L97" s="907">
        <v>3.3999999999999986</v>
      </c>
      <c r="M97" s="1572"/>
      <c r="N97" s="907">
        <v>4.3999999999999986</v>
      </c>
      <c r="O97" s="1572"/>
      <c r="P97" s="1830">
        <v>1.5</v>
      </c>
      <c r="Q97" s="2043"/>
      <c r="R97" s="1830">
        <v>13.900000000000002</v>
      </c>
      <c r="S97" s="2043"/>
      <c r="T97" s="1830">
        <v>6</v>
      </c>
      <c r="U97" s="2043"/>
      <c r="V97" s="1830">
        <v>1.2000000000000028</v>
      </c>
      <c r="W97" s="2043"/>
      <c r="X97" s="1830">
        <f t="shared" si="13"/>
        <v>8.5000000000000036</v>
      </c>
      <c r="Y97" s="2043"/>
      <c r="Z97" s="1830"/>
      <c r="AA97" s="2044"/>
      <c r="AB97" s="2045"/>
      <c r="AC97" s="2047"/>
      <c r="AD97" s="1830">
        <v>53.8</v>
      </c>
      <c r="AE97" s="2077"/>
      <c r="AF97" s="3294"/>
      <c r="AG97" s="1830">
        <v>62.9</v>
      </c>
      <c r="AH97" s="1085"/>
      <c r="AI97" s="67"/>
      <c r="AJ97" s="906">
        <f t="shared" si="14"/>
        <v>-9.1</v>
      </c>
      <c r="AK97" s="906"/>
      <c r="AL97" s="1870">
        <f>ROUND(IF(AG97=0,0,AJ97/ABS(AG97)),3)</f>
        <v>-0.14499999999999999</v>
      </c>
      <c r="AM97" s="1860"/>
    </row>
    <row r="98" spans="1:39" s="898" customFormat="1" ht="15" customHeight="1">
      <c r="A98" s="1082"/>
      <c r="B98" s="1854" t="s">
        <v>34</v>
      </c>
      <c r="C98" s="107"/>
      <c r="D98" s="907">
        <v>68.3</v>
      </c>
      <c r="E98" s="1566"/>
      <c r="F98" s="907">
        <v>402.7</v>
      </c>
      <c r="G98" s="1566"/>
      <c r="H98" s="907">
        <v>265.3</v>
      </c>
      <c r="I98" s="1566"/>
      <c r="J98" s="907">
        <v>274.10000000000008</v>
      </c>
      <c r="K98" s="1572"/>
      <c r="L98" s="907">
        <v>364.50000000000006</v>
      </c>
      <c r="M98" s="1572"/>
      <c r="N98" s="907">
        <v>327.19999999999976</v>
      </c>
      <c r="O98" s="1572"/>
      <c r="P98" s="1830">
        <v>279.80000000000024</v>
      </c>
      <c r="Q98" s="2043"/>
      <c r="R98" s="1830">
        <v>474.79999999999944</v>
      </c>
      <c r="S98" s="2043"/>
      <c r="T98" s="1830">
        <v>728.10000000000014</v>
      </c>
      <c r="U98" s="2043"/>
      <c r="V98" s="1830">
        <v>62.500000000000455</v>
      </c>
      <c r="W98" s="2043"/>
      <c r="X98" s="1830">
        <f t="shared" si="13"/>
        <v>90</v>
      </c>
      <c r="Y98" s="2043"/>
      <c r="Z98" s="1830"/>
      <c r="AA98" s="2044"/>
      <c r="AB98" s="2045"/>
      <c r="AC98" s="2047"/>
      <c r="AD98" s="1830">
        <v>3337.3</v>
      </c>
      <c r="AE98" s="2077"/>
      <c r="AF98" s="3294"/>
      <c r="AG98" s="1830">
        <v>3463.1</v>
      </c>
      <c r="AH98" s="1085"/>
      <c r="AI98" s="67"/>
      <c r="AJ98" s="906">
        <f t="shared" si="14"/>
        <v>-125.8</v>
      </c>
      <c r="AK98" s="906"/>
      <c r="AL98" s="1859">
        <f t="shared" si="15"/>
        <v>-3.5999999999999997E-2</v>
      </c>
      <c r="AM98" s="1860"/>
    </row>
    <row r="99" spans="1:39" ht="15" customHeight="1">
      <c r="A99" s="150"/>
      <c r="B99" s="29" t="s">
        <v>1202</v>
      </c>
      <c r="C99" s="31"/>
      <c r="D99" s="296">
        <f>ROUND(SUM(D89:D98),1)</f>
        <v>175.1</v>
      </c>
      <c r="E99" s="933"/>
      <c r="F99" s="296">
        <f>ROUND(SUM(F89:F98),1)</f>
        <v>1358.4</v>
      </c>
      <c r="G99" s="933"/>
      <c r="H99" s="296">
        <f>ROUND(SUM(H89:H98),1)</f>
        <v>1104.8</v>
      </c>
      <c r="I99" s="933"/>
      <c r="J99" s="296">
        <f>ROUND(SUM(J89:J98),1)</f>
        <v>936.5</v>
      </c>
      <c r="K99" s="933"/>
      <c r="L99" s="296">
        <f>ROUND(SUM(L89:L98),1)</f>
        <v>1254.3</v>
      </c>
      <c r="M99" s="933"/>
      <c r="N99" s="296">
        <f>ROUND(SUM(N89:N98),1)</f>
        <v>3544.1</v>
      </c>
      <c r="O99" s="933"/>
      <c r="P99" s="2061">
        <f>ROUND(SUM(P89:P98),1)</f>
        <v>986</v>
      </c>
      <c r="Q99" s="1489"/>
      <c r="R99" s="2061">
        <f>ROUND(SUM(R89:R98),1)</f>
        <v>1121.7</v>
      </c>
      <c r="S99" s="1489"/>
      <c r="T99" s="2061">
        <f>ROUND(SUM(T89:T98),1)</f>
        <v>1492.1</v>
      </c>
      <c r="U99" s="1489"/>
      <c r="V99" s="2061">
        <f>ROUND(SUM(V89:V98),1)</f>
        <v>3000.5</v>
      </c>
      <c r="W99" s="1489"/>
      <c r="X99" s="2061">
        <f>ROUND(SUM(X89:X98),1)</f>
        <v>885.4</v>
      </c>
      <c r="Y99" s="1489"/>
      <c r="Z99" s="2061">
        <f>ROUND(SUM(Z89:Z98),1)</f>
        <v>0</v>
      </c>
      <c r="AA99" s="1472"/>
      <c r="AB99" s="1489"/>
      <c r="AC99" s="2085"/>
      <c r="AD99" s="2062">
        <f>ROUND(SUM(AD89:AD98),1)</f>
        <v>15858.9</v>
      </c>
      <c r="AE99" s="1490"/>
      <c r="AF99" s="3278"/>
      <c r="AG99" s="2062">
        <f>ROUND(SUM(AG89:AG98),1)</f>
        <v>15437.1</v>
      </c>
      <c r="AH99" s="283"/>
      <c r="AI99" s="76"/>
      <c r="AJ99" s="61">
        <f>ROUND(SUM(AD99-AG99),1)</f>
        <v>421.8</v>
      </c>
      <c r="AK99" s="166"/>
      <c r="AL99" s="1462">
        <f>ROUND(SUM((AD99-AG99)/ABS(AG99)),3)</f>
        <v>2.7E-2</v>
      </c>
      <c r="AM99" s="794"/>
    </row>
    <row r="100" spans="1:39" ht="15" customHeight="1">
      <c r="A100" s="150"/>
      <c r="B100" s="31" t="s">
        <v>170</v>
      </c>
      <c r="C100" s="31"/>
      <c r="D100" s="1566"/>
      <c r="E100" s="1566"/>
      <c r="F100" s="1566"/>
      <c r="G100" s="1566"/>
      <c r="H100" s="1566"/>
      <c r="I100" s="1566"/>
      <c r="J100" s="1566"/>
      <c r="K100" s="66"/>
      <c r="L100" s="66"/>
      <c r="M100" s="66"/>
      <c r="N100" s="66"/>
      <c r="O100" s="66"/>
      <c r="P100" s="2051"/>
      <c r="Q100" s="2051"/>
      <c r="R100" s="2051"/>
      <c r="S100" s="2051"/>
      <c r="T100" s="2051"/>
      <c r="U100" s="2051"/>
      <c r="V100" s="2051"/>
      <c r="W100" s="2051"/>
      <c r="X100" s="2051"/>
      <c r="Y100" s="2051"/>
      <c r="Z100" s="2051"/>
      <c r="AA100" s="2051"/>
      <c r="AB100" s="2051"/>
      <c r="AC100" s="2082"/>
      <c r="AD100" s="2040"/>
      <c r="AE100" s="2040"/>
      <c r="AF100" s="2042"/>
      <c r="AG100" s="2040"/>
      <c r="AH100" s="276"/>
      <c r="AI100" s="56"/>
      <c r="AJ100" s="652"/>
      <c r="AK100" s="931"/>
      <c r="AL100" s="1459"/>
      <c r="AM100" s="794"/>
    </row>
    <row r="101" spans="1:39" s="898" customFormat="1" ht="15" customHeight="1">
      <c r="A101" s="1082"/>
      <c r="B101" s="107" t="s">
        <v>154</v>
      </c>
      <c r="C101" s="107"/>
      <c r="D101" s="907">
        <v>401.7</v>
      </c>
      <c r="E101" s="1566"/>
      <c r="F101" s="907">
        <v>580</v>
      </c>
      <c r="G101" s="1566"/>
      <c r="H101" s="907">
        <v>393.59999999999991</v>
      </c>
      <c r="I101" s="1566"/>
      <c r="J101" s="907">
        <v>449.40000000000009</v>
      </c>
      <c r="K101" s="1572"/>
      <c r="L101" s="907">
        <v>352.39999999999986</v>
      </c>
      <c r="M101" s="1572"/>
      <c r="N101" s="907">
        <v>388.2000000000005</v>
      </c>
      <c r="O101" s="1572"/>
      <c r="P101" s="1830">
        <v>559.19999999999982</v>
      </c>
      <c r="Q101" s="2043"/>
      <c r="R101" s="1830">
        <v>398.5</v>
      </c>
      <c r="S101" s="2043"/>
      <c r="T101" s="1830">
        <v>408</v>
      </c>
      <c r="U101" s="2043"/>
      <c r="V101" s="1830">
        <v>399.10000000000059</v>
      </c>
      <c r="W101" s="2043"/>
      <c r="X101" s="1830">
        <f t="shared" ref="X101:X104" si="16">$AD101-$D101-$F101-$H101-$J101-$L101-$N101-$P101-$R101-$T101-$V101</f>
        <v>404.49999999999977</v>
      </c>
      <c r="Y101" s="2043"/>
      <c r="Z101" s="1830"/>
      <c r="AA101" s="2044"/>
      <c r="AB101" s="2045"/>
      <c r="AC101" s="2047"/>
      <c r="AD101" s="1830">
        <v>4734.6000000000004</v>
      </c>
      <c r="AE101" s="2077"/>
      <c r="AF101" s="3294"/>
      <c r="AG101" s="1830">
        <v>4582.6000000000004</v>
      </c>
      <c r="AH101" s="1085"/>
      <c r="AI101" s="67"/>
      <c r="AJ101" s="906">
        <f>ROUND(SUM(+AD101-AG101),1)</f>
        <v>152</v>
      </c>
      <c r="AK101" s="906"/>
      <c r="AL101" s="1859">
        <f>ROUND(IF(AG101=0,0,AJ101/ABS(AG101)),3)</f>
        <v>3.3000000000000002E-2</v>
      </c>
      <c r="AM101" s="1860"/>
    </row>
    <row r="102" spans="1:39" s="898" customFormat="1" ht="15" customHeight="1">
      <c r="A102" s="1082"/>
      <c r="B102" s="107" t="s">
        <v>171</v>
      </c>
      <c r="C102" s="107"/>
      <c r="D102" s="907">
        <v>244.3</v>
      </c>
      <c r="E102" s="1566"/>
      <c r="F102" s="907">
        <v>248.5</v>
      </c>
      <c r="G102" s="1566"/>
      <c r="H102" s="907">
        <v>197.99999999999994</v>
      </c>
      <c r="I102" s="1566"/>
      <c r="J102" s="907">
        <v>228.40000000000015</v>
      </c>
      <c r="K102" s="1572"/>
      <c r="L102" s="907">
        <v>254.59999999999991</v>
      </c>
      <c r="M102" s="1572"/>
      <c r="N102" s="907">
        <v>216.2</v>
      </c>
      <c r="O102" s="1572"/>
      <c r="P102" s="1830">
        <v>257.2000000000001</v>
      </c>
      <c r="Q102" s="2043"/>
      <c r="R102" s="1830">
        <v>281.7999999999999</v>
      </c>
      <c r="S102" s="2043"/>
      <c r="T102" s="1830">
        <v>218.90000000000009</v>
      </c>
      <c r="U102" s="2043"/>
      <c r="V102" s="1830">
        <v>306.59999999999968</v>
      </c>
      <c r="W102" s="2043"/>
      <c r="X102" s="1830">
        <f t="shared" si="16"/>
        <v>273.59999999999991</v>
      </c>
      <c r="Y102" s="2043"/>
      <c r="Z102" s="1830"/>
      <c r="AA102" s="2044"/>
      <c r="AB102" s="2045"/>
      <c r="AC102" s="2047"/>
      <c r="AD102" s="1830">
        <v>2728.1</v>
      </c>
      <c r="AE102" s="2077"/>
      <c r="AF102" s="3294"/>
      <c r="AG102" s="1830">
        <v>2511.8000000000002</v>
      </c>
      <c r="AH102" s="1085"/>
      <c r="AI102" s="67"/>
      <c r="AJ102" s="906">
        <f>ROUND(SUM(+AD102-AG102),1)</f>
        <v>216.3</v>
      </c>
      <c r="AK102" s="906"/>
      <c r="AL102" s="1859">
        <f>ROUND(IF(AG102=0,0,AJ102/ABS(AG102)),3)</f>
        <v>8.5999999999999993E-2</v>
      </c>
      <c r="AM102" s="1860"/>
    </row>
    <row r="103" spans="1:39" s="898" customFormat="1" ht="15" customHeight="1">
      <c r="A103" s="1082"/>
      <c r="B103" s="107" t="s">
        <v>172</v>
      </c>
      <c r="C103" s="107"/>
      <c r="D103" s="907">
        <v>64</v>
      </c>
      <c r="E103" s="1566"/>
      <c r="F103" s="907">
        <v>87.199999999999989</v>
      </c>
      <c r="G103" s="1566"/>
      <c r="H103" s="907">
        <v>55.700000000000017</v>
      </c>
      <c r="I103" s="1566"/>
      <c r="J103" s="907">
        <v>78.599999999999994</v>
      </c>
      <c r="K103" s="1572"/>
      <c r="L103" s="907">
        <v>95.899999999999977</v>
      </c>
      <c r="M103" s="1572"/>
      <c r="N103" s="907">
        <v>71.200000000000045</v>
      </c>
      <c r="O103" s="1572"/>
      <c r="P103" s="1830">
        <v>66.500000000000028</v>
      </c>
      <c r="Q103" s="2043"/>
      <c r="R103" s="1830">
        <v>129.6999999999999</v>
      </c>
      <c r="S103" s="2043"/>
      <c r="T103" s="1830">
        <v>105.10000000000002</v>
      </c>
      <c r="U103" s="2043"/>
      <c r="V103" s="1830">
        <v>82.399999999999892</v>
      </c>
      <c r="W103" s="2043"/>
      <c r="X103" s="1830">
        <f t="shared" si="16"/>
        <v>64.5</v>
      </c>
      <c r="Y103" s="2043"/>
      <c r="Z103" s="1830"/>
      <c r="AA103" s="2044"/>
      <c r="AB103" s="2045"/>
      <c r="AC103" s="2047"/>
      <c r="AD103" s="1830">
        <v>900.8</v>
      </c>
      <c r="AE103" s="2077"/>
      <c r="AF103" s="3294"/>
      <c r="AG103" s="1830">
        <v>951</v>
      </c>
      <c r="AH103" s="1085"/>
      <c r="AI103" s="67"/>
      <c r="AJ103" s="906">
        <f>ROUND(SUM(+AD103-AG103),1)</f>
        <v>-50.2</v>
      </c>
      <c r="AK103" s="906"/>
      <c r="AL103" s="1859">
        <f>ROUND(IF(AG103=0,0,AJ103/ABS(AG103)),3)</f>
        <v>-5.2999999999999999E-2</v>
      </c>
      <c r="AM103" s="1860"/>
    </row>
    <row r="104" spans="1:39" s="898" customFormat="1" ht="15" customHeight="1">
      <c r="A104" s="1082"/>
      <c r="B104" s="107" t="s">
        <v>173</v>
      </c>
      <c r="C104" s="107"/>
      <c r="D104" s="907">
        <v>0</v>
      </c>
      <c r="E104" s="1566"/>
      <c r="F104" s="907">
        <v>0</v>
      </c>
      <c r="G104" s="1566"/>
      <c r="H104" s="907">
        <v>0.1</v>
      </c>
      <c r="I104" s="1566"/>
      <c r="J104" s="907">
        <v>0</v>
      </c>
      <c r="K104" s="1572"/>
      <c r="L104" s="907">
        <v>-0.1</v>
      </c>
      <c r="M104" s="1572"/>
      <c r="N104" s="907">
        <v>0</v>
      </c>
      <c r="O104" s="1572"/>
      <c r="P104" s="1830">
        <v>0</v>
      </c>
      <c r="Q104" s="2043"/>
      <c r="R104" s="1830">
        <v>0</v>
      </c>
      <c r="S104" s="2043"/>
      <c r="T104" s="1830">
        <v>0</v>
      </c>
      <c r="U104" s="2043"/>
      <c r="V104" s="1830">
        <v>0</v>
      </c>
      <c r="W104" s="2043"/>
      <c r="X104" s="1830">
        <f t="shared" si="16"/>
        <v>0</v>
      </c>
      <c r="Y104" s="2043"/>
      <c r="Z104" s="1830"/>
      <c r="AA104" s="2044"/>
      <c r="AB104" s="2045"/>
      <c r="AC104" s="2047"/>
      <c r="AD104" s="1830">
        <v>0</v>
      </c>
      <c r="AE104" s="2077"/>
      <c r="AF104" s="3294"/>
      <c r="AG104" s="1830">
        <v>0</v>
      </c>
      <c r="AH104" s="1085"/>
      <c r="AI104" s="67"/>
      <c r="AJ104" s="906">
        <f>ROUND(SUM(+AD104-AG104),1)</f>
        <v>0</v>
      </c>
      <c r="AK104" s="906"/>
      <c r="AL104" s="1765">
        <f>ROUND(IF(AG104=0,0,AJ104/ABS(AG104)),3)</f>
        <v>0</v>
      </c>
      <c r="AM104" s="1860"/>
    </row>
    <row r="105" spans="1:39" ht="15" customHeight="1">
      <c r="A105" s="150"/>
      <c r="B105" s="31"/>
      <c r="C105" s="31"/>
      <c r="D105" s="697"/>
      <c r="E105" s="1566"/>
      <c r="F105" s="697"/>
      <c r="G105" s="1566"/>
      <c r="H105" s="697"/>
      <c r="I105" s="1566"/>
      <c r="J105" s="697"/>
      <c r="K105" s="66"/>
      <c r="L105" s="88"/>
      <c r="M105" s="66"/>
      <c r="N105" s="88"/>
      <c r="O105" s="66"/>
      <c r="P105" s="2050"/>
      <c r="Q105" s="2051"/>
      <c r="R105" s="2050"/>
      <c r="S105" s="2051"/>
      <c r="T105" s="2050"/>
      <c r="U105" s="2051"/>
      <c r="V105" s="2050"/>
      <c r="W105" s="2051"/>
      <c r="X105" s="2050"/>
      <c r="Y105" s="2051"/>
      <c r="Z105" s="2050"/>
      <c r="AA105" s="2052"/>
      <c r="AB105" s="2051"/>
      <c r="AC105" s="2082"/>
      <c r="AD105" s="2096"/>
      <c r="AE105" s="2021"/>
      <c r="AF105" s="2042"/>
      <c r="AG105" s="2096"/>
      <c r="AH105" s="276"/>
      <c r="AI105" s="56"/>
      <c r="AJ105" s="1431"/>
      <c r="AK105" s="931"/>
      <c r="AL105" s="1474"/>
      <c r="AM105" s="794"/>
    </row>
    <row r="106" spans="1:39" ht="15" customHeight="1">
      <c r="A106" s="150"/>
      <c r="B106" s="29" t="s">
        <v>157</v>
      </c>
      <c r="C106" s="31"/>
      <c r="D106" s="933">
        <f>ROUND(SUM(D99:D104),1)</f>
        <v>885.1</v>
      </c>
      <c r="E106" s="933"/>
      <c r="F106" s="933">
        <f>ROUND(SUM(F99:F104),1)</f>
        <v>2274.1</v>
      </c>
      <c r="G106" s="933"/>
      <c r="H106" s="933">
        <f>ROUND(SUM(H99:H104),1)</f>
        <v>1752.2</v>
      </c>
      <c r="I106" s="933"/>
      <c r="J106" s="933">
        <f>ROUND(SUM(J99:J104),1)</f>
        <v>1692.9</v>
      </c>
      <c r="K106" s="933"/>
      <c r="L106" s="933">
        <f>ROUND(SUM(L99:L104),1)</f>
        <v>1957.1</v>
      </c>
      <c r="M106" s="933"/>
      <c r="N106" s="933">
        <f>ROUND(SUM(N99:N104),1)</f>
        <v>4219.7</v>
      </c>
      <c r="O106" s="933"/>
      <c r="P106" s="1489">
        <f>ROUND(SUM(P99:P104),1)</f>
        <v>1868.9</v>
      </c>
      <c r="Q106" s="1489"/>
      <c r="R106" s="1489">
        <f>ROUND(SUM(R99:R104),1)</f>
        <v>1931.7</v>
      </c>
      <c r="S106" s="1489"/>
      <c r="T106" s="1489">
        <f>ROUND(SUM(T99:T104),1)</f>
        <v>2224.1</v>
      </c>
      <c r="U106" s="1489"/>
      <c r="V106" s="1489">
        <f>ROUND(SUM(V99:V104),1)</f>
        <v>3788.6</v>
      </c>
      <c r="W106" s="1489"/>
      <c r="X106" s="1489">
        <f>ROUND(SUM(X99:X104),1)</f>
        <v>1628</v>
      </c>
      <c r="Y106" s="1489"/>
      <c r="Z106" s="1489">
        <f>ROUND(SUM(Z99:Z104),1)</f>
        <v>0</v>
      </c>
      <c r="AA106" s="1489"/>
      <c r="AB106" s="1489"/>
      <c r="AC106" s="2085"/>
      <c r="AD106" s="2095">
        <f>ROUND(SUM(AD99:AD104),1)</f>
        <v>24222.400000000001</v>
      </c>
      <c r="AE106" s="1490"/>
      <c r="AF106" s="3278"/>
      <c r="AG106" s="2095">
        <f>ROUND(SUM(AG99:AG104),1)</f>
        <v>23482.5</v>
      </c>
      <c r="AH106" s="283"/>
      <c r="AI106" s="76"/>
      <c r="AJ106" s="74">
        <f>ROUND(SUM(AD106-AG106),1)</f>
        <v>739.9</v>
      </c>
      <c r="AK106" s="210"/>
      <c r="AL106" s="1463">
        <f>ROUND(SUM((AD106-AG106)/ABS(AG106)),3)</f>
        <v>3.2000000000000001E-2</v>
      </c>
      <c r="AM106" s="794"/>
    </row>
    <row r="107" spans="1:39" ht="15" customHeight="1">
      <c r="A107" s="150"/>
      <c r="B107" s="31"/>
      <c r="C107" s="31"/>
      <c r="D107" s="697"/>
      <c r="E107" s="1566"/>
      <c r="F107" s="697"/>
      <c r="G107" s="1566"/>
      <c r="H107" s="697"/>
      <c r="I107" s="1566"/>
      <c r="J107" s="697"/>
      <c r="K107" s="66"/>
      <c r="L107" s="88"/>
      <c r="M107" s="66"/>
      <c r="N107" s="88"/>
      <c r="O107" s="66"/>
      <c r="P107" s="2050"/>
      <c r="Q107" s="2051"/>
      <c r="R107" s="2050"/>
      <c r="S107" s="2051"/>
      <c r="T107" s="2050"/>
      <c r="U107" s="2051"/>
      <c r="V107" s="2050"/>
      <c r="W107" s="2051"/>
      <c r="X107" s="2050"/>
      <c r="Y107" s="2051"/>
      <c r="Z107" s="2050"/>
      <c r="AA107" s="2052"/>
      <c r="AB107" s="2051"/>
      <c r="AC107" s="2082"/>
      <c r="AD107" s="2096"/>
      <c r="AE107" s="2021"/>
      <c r="AF107" s="2042"/>
      <c r="AG107" s="2096"/>
      <c r="AH107" s="276"/>
      <c r="AI107" s="56"/>
      <c r="AJ107" s="652"/>
      <c r="AK107" s="931"/>
      <c r="AL107" s="1459"/>
      <c r="AM107" s="794"/>
    </row>
    <row r="108" spans="1:39" ht="15" customHeight="1">
      <c r="A108" s="150"/>
      <c r="B108" s="29" t="s">
        <v>158</v>
      </c>
      <c r="C108" s="31"/>
      <c r="D108" s="1566"/>
      <c r="E108" s="1566"/>
      <c r="F108" s="1566"/>
      <c r="G108" s="1566"/>
      <c r="H108" s="1566"/>
      <c r="I108" s="1566"/>
      <c r="J108" s="1566"/>
      <c r="K108" s="66"/>
      <c r="L108" s="66"/>
      <c r="M108" s="66"/>
      <c r="N108" s="66"/>
      <c r="O108" s="66"/>
      <c r="P108" s="2051"/>
      <c r="Q108" s="2051"/>
      <c r="R108" s="2051"/>
      <c r="S108" s="2051"/>
      <c r="T108" s="2051"/>
      <c r="U108" s="2051"/>
      <c r="V108" s="2051"/>
      <c r="W108" s="2051"/>
      <c r="X108" s="2051"/>
      <c r="Y108" s="2051"/>
      <c r="Z108" s="2051"/>
      <c r="AA108" s="2051"/>
      <c r="AB108" s="2051"/>
      <c r="AC108" s="2082"/>
      <c r="AD108" s="2040"/>
      <c r="AE108" s="2021"/>
      <c r="AF108" s="2042"/>
      <c r="AG108" s="2040"/>
      <c r="AH108" s="276"/>
      <c r="AI108" s="56"/>
      <c r="AJ108" s="954"/>
      <c r="AK108" s="931"/>
      <c r="AL108" s="1459"/>
      <c r="AM108" s="794"/>
    </row>
    <row r="109" spans="1:39" ht="15" customHeight="1">
      <c r="A109" s="150"/>
      <c r="B109" s="29" t="s">
        <v>45</v>
      </c>
      <c r="C109" s="31"/>
      <c r="D109" s="933">
        <f>ROUND(SUM(D85-D106),1)</f>
        <v>1073.9000000000001</v>
      </c>
      <c r="E109" s="933"/>
      <c r="F109" s="933">
        <f>ROUND(SUM(F85-F106),1)</f>
        <v>-675.6</v>
      </c>
      <c r="G109" s="933"/>
      <c r="H109" s="933">
        <f>ROUND(SUM(H85-H106),1)</f>
        <v>219.9</v>
      </c>
      <c r="I109" s="933"/>
      <c r="J109" s="933">
        <f>ROUND(SUM(J85-J106),1)</f>
        <v>87.3</v>
      </c>
      <c r="K109" s="933"/>
      <c r="L109" s="933">
        <f>ROUND(SUM(L85-L106),1)</f>
        <v>-299.10000000000002</v>
      </c>
      <c r="M109" s="933"/>
      <c r="N109" s="933">
        <f>ROUND(SUM(N85-N106),1)</f>
        <v>-1889.3</v>
      </c>
      <c r="O109" s="933"/>
      <c r="P109" s="1489">
        <f>ROUND(SUM(P85-P106),1)</f>
        <v>-36.6</v>
      </c>
      <c r="Q109" s="1489"/>
      <c r="R109" s="1489">
        <f>ROUND(SUM(R85-R106),1)</f>
        <v>-470.1</v>
      </c>
      <c r="S109" s="1489"/>
      <c r="T109" s="1489">
        <f>ROUND(SUM(T85-T106),1)</f>
        <v>-243.3</v>
      </c>
      <c r="U109" s="1489"/>
      <c r="V109" s="1489">
        <f>ROUND(SUM(V85-V106),1)</f>
        <v>719.1</v>
      </c>
      <c r="W109" s="1489"/>
      <c r="X109" s="1489">
        <f>ROUND(SUM(X85-X106),1)</f>
        <v>434.8</v>
      </c>
      <c r="Y109" s="1489"/>
      <c r="Z109" s="1489">
        <f>ROUND(SUM(Z85-Z106),1)</f>
        <v>0</v>
      </c>
      <c r="AA109" s="1489"/>
      <c r="AB109" s="1489"/>
      <c r="AC109" s="2085"/>
      <c r="AD109" s="2095">
        <f>ROUND(SUM(AD85-AD106),1)</f>
        <v>-1079</v>
      </c>
      <c r="AE109" s="1490"/>
      <c r="AF109" s="3278"/>
      <c r="AG109" s="2095">
        <f>ROUND(SUM(AG85-AG106),1)</f>
        <v>182.8</v>
      </c>
      <c r="AH109" s="283"/>
      <c r="AI109" s="76"/>
      <c r="AJ109" s="74">
        <f>ROUND(SUM(AD109-AG109),1)</f>
        <v>-1261.8</v>
      </c>
      <c r="AK109" s="209"/>
      <c r="AL109" s="3755">
        <f>ROUND(IF(AG109=0,0,AJ109/ABS(AG109)),3)</f>
        <v>-6.9029999999999996</v>
      </c>
      <c r="AM109" s="794"/>
    </row>
    <row r="110" spans="1:39" ht="15" customHeight="1">
      <c r="A110" s="150"/>
      <c r="B110" s="31"/>
      <c r="C110" s="31"/>
      <c r="D110" s="697"/>
      <c r="E110" s="1566"/>
      <c r="F110" s="697"/>
      <c r="G110" s="1566"/>
      <c r="H110" s="697"/>
      <c r="I110" s="1566"/>
      <c r="J110" s="697"/>
      <c r="K110" s="66"/>
      <c r="L110" s="88"/>
      <c r="M110" s="66"/>
      <c r="N110" s="88"/>
      <c r="O110" s="66"/>
      <c r="P110" s="2050"/>
      <c r="Q110" s="2051"/>
      <c r="R110" s="2050"/>
      <c r="S110" s="2051"/>
      <c r="T110" s="2050"/>
      <c r="U110" s="2051"/>
      <c r="V110" s="2050"/>
      <c r="W110" s="2051"/>
      <c r="X110" s="2050"/>
      <c r="Y110" s="2051"/>
      <c r="Z110" s="2050"/>
      <c r="AA110" s="2052"/>
      <c r="AB110" s="2051"/>
      <c r="AC110" s="2082"/>
      <c r="AD110" s="2096"/>
      <c r="AE110" s="2021"/>
      <c r="AF110" s="2042"/>
      <c r="AG110" s="2096"/>
      <c r="AH110" s="276"/>
      <c r="AI110" s="56"/>
      <c r="AJ110" s="652"/>
      <c r="AK110" s="931"/>
      <c r="AL110" s="1459"/>
      <c r="AM110" s="794"/>
    </row>
    <row r="111" spans="1:39" ht="15" customHeight="1">
      <c r="A111" s="150"/>
      <c r="B111" s="29" t="s">
        <v>46</v>
      </c>
      <c r="C111" s="31"/>
      <c r="D111" s="1566"/>
      <c r="E111" s="1566"/>
      <c r="F111" s="1566"/>
      <c r="G111" s="1566"/>
      <c r="H111" s="1566"/>
      <c r="I111" s="1566"/>
      <c r="J111" s="1566"/>
      <c r="K111" s="66"/>
      <c r="L111" s="66"/>
      <c r="M111" s="66"/>
      <c r="N111" s="66"/>
      <c r="O111" s="66"/>
      <c r="P111" s="2051"/>
      <c r="Q111" s="2051"/>
      <c r="R111" s="2051"/>
      <c r="S111" s="2051"/>
      <c r="T111" s="2051"/>
      <c r="U111" s="2051"/>
      <c r="V111" s="2051"/>
      <c r="W111" s="2051"/>
      <c r="X111" s="2051"/>
      <c r="Y111" s="2051"/>
      <c r="Z111" s="2051"/>
      <c r="AA111" s="2051"/>
      <c r="AB111" s="2051"/>
      <c r="AC111" s="2082"/>
      <c r="AD111" s="2040"/>
      <c r="AE111" s="2021"/>
      <c r="AF111" s="2042"/>
      <c r="AG111" s="2040"/>
      <c r="AH111" s="276"/>
      <c r="AI111" s="56"/>
      <c r="AJ111" s="652"/>
      <c r="AK111" s="931"/>
      <c r="AL111" s="1459"/>
      <c r="AM111" s="794"/>
    </row>
    <row r="112" spans="1:39" s="898" customFormat="1" ht="15" customHeight="1">
      <c r="A112" s="1082"/>
      <c r="B112" s="107" t="s">
        <v>177</v>
      </c>
      <c r="C112" s="107"/>
      <c r="D112" s="907">
        <v>308.3</v>
      </c>
      <c r="E112" s="1566"/>
      <c r="F112" s="907">
        <v>585.29999999999995</v>
      </c>
      <c r="G112" s="1566"/>
      <c r="H112" s="907">
        <v>566.5</v>
      </c>
      <c r="I112" s="1566"/>
      <c r="J112" s="907">
        <v>215.40000000000009</v>
      </c>
      <c r="K112" s="1572"/>
      <c r="L112" s="907">
        <v>160.20000000000005</v>
      </c>
      <c r="M112" s="1572"/>
      <c r="N112" s="907">
        <v>168.60000000000014</v>
      </c>
      <c r="O112" s="1572"/>
      <c r="P112" s="1830">
        <v>119.5</v>
      </c>
      <c r="Q112" s="2043"/>
      <c r="R112" s="1830">
        <v>185.69999999999982</v>
      </c>
      <c r="S112" s="2043"/>
      <c r="T112" s="1830">
        <v>111.89999999999986</v>
      </c>
      <c r="U112" s="2043"/>
      <c r="V112" s="1830">
        <v>84.099999999999909</v>
      </c>
      <c r="W112" s="2043"/>
      <c r="X112" s="1830">
        <f t="shared" ref="X112:X113" si="17">$AD112-$D112-$F112-$H112-$J112-$L112-$N112-$P112-$R112-$T112-$V112</f>
        <v>123</v>
      </c>
      <c r="Y112" s="2043"/>
      <c r="Z112" s="1830"/>
      <c r="AA112" s="2044"/>
      <c r="AB112" s="2045"/>
      <c r="AC112" s="2047"/>
      <c r="AD112" s="1830">
        <v>2628.5</v>
      </c>
      <c r="AE112" s="2077"/>
      <c r="AF112" s="3294"/>
      <c r="AG112" s="1830">
        <v>2283.9</v>
      </c>
      <c r="AH112" s="1085"/>
      <c r="AI112" s="67"/>
      <c r="AJ112" s="906">
        <f>ROUND(SUM(+AD112-AG112),1)</f>
        <v>344.6</v>
      </c>
      <c r="AK112" s="906"/>
      <c r="AL112" s="1859">
        <f>ROUND(IF(AG112=0,0,AJ112/ABS(AG112)),3)</f>
        <v>0.151</v>
      </c>
      <c r="AM112" s="1860"/>
    </row>
    <row r="113" spans="1:52" s="898" customFormat="1" ht="15" customHeight="1">
      <c r="A113" s="1082"/>
      <c r="B113" s="107" t="s">
        <v>175</v>
      </c>
      <c r="C113" s="107"/>
      <c r="D113" s="907">
        <v>-38.299999999999997</v>
      </c>
      <c r="E113" s="1566"/>
      <c r="F113" s="907">
        <v>-6.3000000000000043</v>
      </c>
      <c r="G113" s="1566"/>
      <c r="H113" s="907">
        <v>-29.300000000000004</v>
      </c>
      <c r="I113" s="1566"/>
      <c r="J113" s="907">
        <v>-120.79999999999995</v>
      </c>
      <c r="K113" s="1572"/>
      <c r="L113" s="907">
        <v>-33.5</v>
      </c>
      <c r="M113" s="1572"/>
      <c r="N113" s="907">
        <v>-107.19999999999999</v>
      </c>
      <c r="O113" s="1572"/>
      <c r="P113" s="1830">
        <v>-9.2000000000000455</v>
      </c>
      <c r="Q113" s="2043"/>
      <c r="R113" s="1830">
        <v>-4.7999999999999545</v>
      </c>
      <c r="S113" s="2043"/>
      <c r="T113" s="1830">
        <v>-71.5</v>
      </c>
      <c r="U113" s="2043"/>
      <c r="V113" s="1830">
        <v>-52</v>
      </c>
      <c r="W113" s="2043"/>
      <c r="X113" s="1830">
        <f t="shared" si="17"/>
        <v>-130.10000000000019</v>
      </c>
      <c r="Y113" s="2043"/>
      <c r="Z113" s="1830"/>
      <c r="AA113" s="2044"/>
      <c r="AB113" s="2045"/>
      <c r="AC113" s="2047"/>
      <c r="AD113" s="1830">
        <v>-603</v>
      </c>
      <c r="AE113" s="2077"/>
      <c r="AF113" s="3294"/>
      <c r="AG113" s="3573">
        <v>-360</v>
      </c>
      <c r="AH113" s="1085"/>
      <c r="AI113" s="67"/>
      <c r="AJ113" s="1035">
        <f>ROUND(SUM(+AD113-AG113)*-1,1)</f>
        <v>243</v>
      </c>
      <c r="AK113" s="1035"/>
      <c r="AL113" s="2175">
        <f>ROUND(IF(AG113=0,0,AJ113/ABS(AG113)),3)</f>
        <v>0.67500000000000004</v>
      </c>
      <c r="AM113" s="1860"/>
    </row>
    <row r="114" spans="1:52" ht="15" customHeight="1">
      <c r="A114" s="150"/>
      <c r="B114" s="31"/>
      <c r="C114" s="31"/>
      <c r="D114" s="88"/>
      <c r="E114" s="66"/>
      <c r="F114" s="88"/>
      <c r="G114" s="66"/>
      <c r="H114" s="88"/>
      <c r="I114" s="66"/>
      <c r="J114" s="88"/>
      <c r="K114" s="66"/>
      <c r="L114" s="88"/>
      <c r="M114" s="66"/>
      <c r="N114" s="88"/>
      <c r="O114" s="66"/>
      <c r="P114" s="88"/>
      <c r="Q114" s="66"/>
      <c r="R114" s="88"/>
      <c r="S114" s="66"/>
      <c r="T114" s="88"/>
      <c r="U114" s="66"/>
      <c r="V114" s="88"/>
      <c r="W114" s="66"/>
      <c r="X114" s="88"/>
      <c r="Y114" s="66"/>
      <c r="Z114" s="88"/>
      <c r="AA114" s="56"/>
      <c r="AB114" s="66"/>
      <c r="AC114" s="57"/>
      <c r="AD114" s="126"/>
      <c r="AE114" s="67"/>
      <c r="AF114" s="1084"/>
      <c r="AG114" s="67"/>
      <c r="AH114" s="276"/>
      <c r="AI114" s="56"/>
      <c r="AJ114" s="1431"/>
      <c r="AK114" s="931"/>
      <c r="AL114" s="1474"/>
      <c r="AM114" s="794"/>
    </row>
    <row r="115" spans="1:52" ht="15" customHeight="1">
      <c r="A115" s="150"/>
      <c r="B115" s="29" t="s">
        <v>1203</v>
      </c>
      <c r="C115" s="31"/>
      <c r="D115" s="933">
        <f>ROUND(SUM(D112:D114),1)</f>
        <v>270</v>
      </c>
      <c r="E115" s="933"/>
      <c r="F115" s="933">
        <f>ROUND(SUM(F112:F114),1)</f>
        <v>579</v>
      </c>
      <c r="G115" s="933"/>
      <c r="H115" s="933">
        <f>ROUND(SUM(H112:H114),1)</f>
        <v>537.20000000000005</v>
      </c>
      <c r="I115" s="933"/>
      <c r="J115" s="933">
        <f>ROUND(SUM(J112:J114),1)</f>
        <v>94.6</v>
      </c>
      <c r="K115" s="933"/>
      <c r="L115" s="933">
        <f>ROUND(SUM(L112:L114),1)</f>
        <v>126.7</v>
      </c>
      <c r="M115" s="933"/>
      <c r="N115" s="933">
        <f>ROUND(SUM(N112:N114),1)</f>
        <v>61.4</v>
      </c>
      <c r="O115" s="933"/>
      <c r="P115" s="933">
        <f>ROUND(SUM(P112:P114),1)</f>
        <v>110.3</v>
      </c>
      <c r="Q115" s="933"/>
      <c r="R115" s="933">
        <f>ROUND(SUM(R112:R114),1)</f>
        <v>180.9</v>
      </c>
      <c r="S115" s="933"/>
      <c r="T115" s="933">
        <f>ROUND(SUM(T112:T114),1)</f>
        <v>40.4</v>
      </c>
      <c r="U115" s="933"/>
      <c r="V115" s="933">
        <f>ROUND(SUM(V112:V114),1)</f>
        <v>32.1</v>
      </c>
      <c r="W115" s="933"/>
      <c r="X115" s="933">
        <f>ROUND(SUM(X112:X114),1)</f>
        <v>-7.1</v>
      </c>
      <c r="Y115" s="933"/>
      <c r="Z115" s="933">
        <f>ROUND(SUM(Z112:Z114),1)</f>
        <v>0</v>
      </c>
      <c r="AA115" s="933"/>
      <c r="AB115" s="933"/>
      <c r="AC115" s="64"/>
      <c r="AD115" s="112">
        <f>ROUND(SUM(AD112:AD114),1)</f>
        <v>2025.5</v>
      </c>
      <c r="AE115" s="115"/>
      <c r="AF115" s="3297"/>
      <c r="AG115" s="112">
        <f>ROUND(SUM(AG112:AG114),1)</f>
        <v>1923.9</v>
      </c>
      <c r="AH115" s="283"/>
      <c r="AI115" s="76"/>
      <c r="AJ115" s="74">
        <f>ROUND(SUM(AD115-AG115),1)</f>
        <v>101.6</v>
      </c>
      <c r="AK115" s="166"/>
      <c r="AL115" s="1463">
        <f>ROUND(SUM((AD115-AG115)/ABS(AG115)),3)</f>
        <v>5.2999999999999999E-2</v>
      </c>
      <c r="AM115" s="1396"/>
    </row>
    <row r="116" spans="1:52" ht="15" customHeight="1">
      <c r="A116" s="150"/>
      <c r="B116" s="31"/>
      <c r="C116" s="31"/>
      <c r="D116" s="88"/>
      <c r="E116" s="66"/>
      <c r="F116" s="88"/>
      <c r="G116" s="66"/>
      <c r="H116" s="88"/>
      <c r="I116" s="66"/>
      <c r="J116" s="88"/>
      <c r="K116" s="66"/>
      <c r="L116" s="88"/>
      <c r="M116" s="66"/>
      <c r="N116" s="88"/>
      <c r="O116" s="66"/>
      <c r="P116" s="88"/>
      <c r="Q116" s="66"/>
      <c r="R116" s="88"/>
      <c r="S116" s="66"/>
      <c r="T116" s="88"/>
      <c r="U116" s="66"/>
      <c r="V116" s="88"/>
      <c r="W116" s="66"/>
      <c r="X116" s="88"/>
      <c r="Y116" s="66"/>
      <c r="Z116" s="88"/>
      <c r="AA116" s="56"/>
      <c r="AB116" s="66"/>
      <c r="AC116" s="57"/>
      <c r="AD116" s="126"/>
      <c r="AE116" s="67"/>
      <c r="AF116" s="1084"/>
      <c r="AG116" s="126"/>
      <c r="AH116" s="276"/>
      <c r="AI116" s="56"/>
      <c r="AJ116" s="652"/>
      <c r="AK116" s="931"/>
      <c r="AL116" s="1459"/>
      <c r="AM116" s="794"/>
    </row>
    <row r="117" spans="1:52" ht="15" customHeight="1">
      <c r="A117" s="150"/>
      <c r="B117" s="29" t="s">
        <v>166</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84"/>
      <c r="AG117" s="118"/>
      <c r="AH117" s="276"/>
      <c r="AI117" s="56"/>
      <c r="AJ117" s="652"/>
      <c r="AK117" s="931"/>
      <c r="AL117" s="1459"/>
      <c r="AM117" s="794"/>
    </row>
    <row r="118" spans="1:52" ht="15" customHeight="1">
      <c r="A118" s="150"/>
      <c r="B118" s="29" t="s">
        <v>1253</v>
      </c>
      <c r="C118" s="31"/>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57"/>
      <c r="AD118" s="118"/>
      <c r="AE118" s="67"/>
      <c r="AF118" s="1084"/>
      <c r="AG118" s="139"/>
      <c r="AH118" s="276"/>
      <c r="AI118" s="56"/>
      <c r="AJ118" s="652"/>
      <c r="AK118" s="931"/>
      <c r="AL118" s="1459"/>
      <c r="AM118" s="794"/>
    </row>
    <row r="119" spans="1:52" ht="15" customHeight="1">
      <c r="A119" s="150"/>
      <c r="B119" s="29" t="s">
        <v>1199</v>
      </c>
      <c r="C119" s="31"/>
      <c r="D119" s="839">
        <f>ROUND(SUM(D109+D115),1)</f>
        <v>1343.9</v>
      </c>
      <c r="E119" s="1567"/>
      <c r="F119" s="839">
        <f>ROUND(SUM(F109+F115),1)</f>
        <v>-96.6</v>
      </c>
      <c r="G119" s="1567"/>
      <c r="H119" s="839">
        <f>ROUND(SUM(H109+H115),1)</f>
        <v>757.1</v>
      </c>
      <c r="I119" s="1567"/>
      <c r="J119" s="839">
        <f>ROUND(SUM(J109+J115),1)</f>
        <v>181.9</v>
      </c>
      <c r="K119" s="1567"/>
      <c r="L119" s="839">
        <f>ROUND(SUM(L109+L115),1)</f>
        <v>-172.4</v>
      </c>
      <c r="M119" s="1567"/>
      <c r="N119" s="839">
        <f>ROUND(SUM(N109+N115),1)</f>
        <v>-1827.9</v>
      </c>
      <c r="O119" s="1567"/>
      <c r="P119" s="839">
        <f>ROUND(SUM(P109+P115),1)</f>
        <v>73.7</v>
      </c>
      <c r="Q119" s="1567"/>
      <c r="R119" s="839">
        <f>ROUND(SUM(R109+R115),1)</f>
        <v>-289.2</v>
      </c>
      <c r="S119" s="1567"/>
      <c r="T119" s="839">
        <f>ROUND(SUM(T109+T115),1)</f>
        <v>-202.9</v>
      </c>
      <c r="U119" s="1567"/>
      <c r="V119" s="839">
        <f>ROUND(SUM(V109+V115),1)</f>
        <v>751.2</v>
      </c>
      <c r="W119" s="1567"/>
      <c r="X119" s="839">
        <f>ROUND(SUM(X109+X115),1)</f>
        <v>427.7</v>
      </c>
      <c r="Y119" s="1567"/>
      <c r="Z119" s="839">
        <f>ROUND(SUM(Z109+Z115),1)</f>
        <v>0</v>
      </c>
      <c r="AA119" s="1567"/>
      <c r="AB119" s="1902"/>
      <c r="AC119" s="1567"/>
      <c r="AD119" s="1121">
        <f>ROUND(SUM(AD109+AD115),1)</f>
        <v>946.5</v>
      </c>
      <c r="AE119" s="3287"/>
      <c r="AF119" s="115"/>
      <c r="AG119" s="1121">
        <f>ROUND(SUM(AG109+AG115),1)</f>
        <v>2106.6999999999998</v>
      </c>
      <c r="AH119" s="276"/>
      <c r="AI119" s="1567"/>
      <c r="AJ119" s="839">
        <f>ROUND(SUM(AJ109+AJ115),1)</f>
        <v>-1160.2</v>
      </c>
      <c r="AK119" s="1567"/>
      <c r="AL119" s="1901">
        <f>ROUND(IF(AG119=0,0,AJ119/ABS(AG119)),3)</f>
        <v>-0.55100000000000005</v>
      </c>
      <c r="AM119" s="794"/>
    </row>
    <row r="120" spans="1:52" ht="15" customHeight="1">
      <c r="A120" s="150"/>
      <c r="B120" s="29"/>
      <c r="C120" s="31"/>
      <c r="D120" s="165"/>
      <c r="E120" s="165"/>
      <c r="F120" s="165"/>
      <c r="G120" s="165"/>
      <c r="H120" s="165"/>
      <c r="I120" s="165"/>
      <c r="J120" s="165"/>
      <c r="K120" s="165"/>
      <c r="L120" s="165"/>
      <c r="M120" s="165"/>
      <c r="N120" s="165"/>
      <c r="O120" s="165"/>
      <c r="P120" s="165"/>
      <c r="Q120" s="165"/>
      <c r="R120" s="165"/>
      <c r="S120" s="165"/>
      <c r="T120" s="219"/>
      <c r="U120" s="165"/>
      <c r="V120" s="165"/>
      <c r="W120" s="165"/>
      <c r="X120" s="165"/>
      <c r="Y120" s="165"/>
      <c r="Z120" s="165"/>
      <c r="AA120" s="165"/>
      <c r="AB120" s="165"/>
      <c r="AC120" s="2020"/>
      <c r="AD120" s="117"/>
      <c r="AE120" s="117"/>
      <c r="AF120" s="3298"/>
      <c r="AG120" s="117"/>
      <c r="AH120" s="59"/>
      <c r="AI120" s="272"/>
      <c r="AJ120" s="1433"/>
      <c r="AK120" s="1433"/>
      <c r="AL120" s="1475"/>
      <c r="AM120" s="794"/>
    </row>
    <row r="121" spans="1:52" ht="17.25" customHeight="1" thickBot="1">
      <c r="A121" s="150"/>
      <c r="B121" s="29" t="s">
        <v>1209</v>
      </c>
      <c r="C121" s="31"/>
      <c r="D121" s="267">
        <f>ROUND(SUM(+D119+D13),1)</f>
        <v>6434.7</v>
      </c>
      <c r="E121" s="165"/>
      <c r="F121" s="267">
        <f>ROUND(SUM(+F119+F13),1)</f>
        <v>6338.1</v>
      </c>
      <c r="G121" s="165"/>
      <c r="H121" s="267">
        <f>ROUND(SUM(+H119+H13),1)</f>
        <v>7095.2</v>
      </c>
      <c r="I121" s="165"/>
      <c r="J121" s="267">
        <f>ROUND(SUM(+J119+J13),1)</f>
        <v>7277.1</v>
      </c>
      <c r="K121" s="165"/>
      <c r="L121" s="267">
        <f>ROUND(SUM(+L119+L13),1)</f>
        <v>7104.7</v>
      </c>
      <c r="M121" s="165"/>
      <c r="N121" s="267">
        <f>ROUND(SUM(+N119+N13),1)</f>
        <v>5276.8</v>
      </c>
      <c r="O121" s="165"/>
      <c r="P121" s="267">
        <f>ROUND(SUM(+P119+P13),1)</f>
        <v>5350.5</v>
      </c>
      <c r="Q121" s="165"/>
      <c r="R121" s="267">
        <f>ROUND(SUM(+R119+R13),1)</f>
        <v>5061.3</v>
      </c>
      <c r="S121" s="165"/>
      <c r="T121" s="267">
        <f>ROUND(SUM(+T119+T13),1)</f>
        <v>4858.3999999999996</v>
      </c>
      <c r="U121" s="165"/>
      <c r="V121" s="267">
        <f>ROUND(SUM(+V119+V13),1)</f>
        <v>5609.6</v>
      </c>
      <c r="W121" s="165"/>
      <c r="X121" s="267">
        <f>ROUND(SUM(+X119+X13),1)</f>
        <v>6037.3</v>
      </c>
      <c r="Y121" s="165"/>
      <c r="Z121" s="267">
        <f>ROUND(SUM(+Z119+Z13),1)</f>
        <v>0</v>
      </c>
      <c r="AA121" s="165"/>
      <c r="AB121" s="165"/>
      <c r="AC121" s="2020"/>
      <c r="AD121" s="262">
        <f>ROUND(SUM(+AD119+AD13),1)</f>
        <v>6037.3</v>
      </c>
      <c r="AE121" s="117"/>
      <c r="AF121" s="3298"/>
      <c r="AG121" s="262">
        <f>ROUND(SUM(+AG119+AG13),1)</f>
        <v>6115.2</v>
      </c>
      <c r="AH121" s="59"/>
      <c r="AI121" s="272"/>
      <c r="AJ121" s="267">
        <f>ROUND(SUM(+AJ119+AJ13),1)</f>
        <v>-77.900000000000006</v>
      </c>
      <c r="AK121" s="1433"/>
      <c r="AL121" s="1899">
        <f>ROUND(IF(AG121=0,0,AJ121/ABS(AG121)),3)</f>
        <v>-1.2999999999999999E-2</v>
      </c>
      <c r="AM121" s="794"/>
    </row>
    <row r="122" spans="1:52" ht="15" customHeight="1" thickTop="1">
      <c r="A122" s="150"/>
      <c r="B122" s="29"/>
      <c r="C122" s="31"/>
      <c r="D122" s="165"/>
      <c r="E122" s="165"/>
      <c r="F122" s="165"/>
      <c r="G122" s="165"/>
      <c r="H122" s="165"/>
      <c r="I122" s="165"/>
      <c r="J122" s="165"/>
      <c r="K122" s="165"/>
      <c r="L122" s="165"/>
      <c r="M122" s="165"/>
      <c r="N122" s="165"/>
      <c r="O122" s="165"/>
      <c r="P122" s="219"/>
      <c r="Q122" s="165"/>
      <c r="R122" s="165"/>
      <c r="S122" s="165"/>
      <c r="T122" s="165"/>
      <c r="U122" s="165"/>
      <c r="V122" s="165"/>
      <c r="W122" s="165"/>
      <c r="X122" s="165"/>
      <c r="Y122" s="165"/>
      <c r="Z122" s="165"/>
      <c r="AA122" s="165"/>
      <c r="AB122" s="165"/>
      <c r="AC122" s="59"/>
      <c r="AD122" s="117"/>
      <c r="AE122" s="117"/>
      <c r="AF122" s="117"/>
      <c r="AG122" s="117"/>
      <c r="AH122" s="59"/>
      <c r="AI122" s="37"/>
      <c r="AJ122" s="1433"/>
      <c r="AK122" s="1433"/>
      <c r="AL122" s="1475"/>
      <c r="AM122" s="794"/>
    </row>
    <row r="123" spans="1:52" ht="15" customHeight="1">
      <c r="A123" s="150"/>
      <c r="B123" s="29"/>
      <c r="C123" s="31"/>
      <c r="D123" s="165"/>
      <c r="E123" s="165"/>
      <c r="F123" s="165"/>
      <c r="G123" s="165"/>
      <c r="H123" s="165"/>
      <c r="I123" s="165"/>
      <c r="J123" s="165"/>
      <c r="K123" s="165"/>
      <c r="L123" s="165"/>
      <c r="M123" s="165"/>
      <c r="N123" s="165"/>
      <c r="O123" s="165"/>
      <c r="P123" s="59"/>
      <c r="Q123" s="165"/>
      <c r="R123" s="165"/>
      <c r="S123" s="165"/>
      <c r="T123" s="165"/>
      <c r="U123" s="165"/>
      <c r="V123" s="165"/>
      <c r="W123" s="165"/>
      <c r="X123" s="165"/>
      <c r="Y123" s="165"/>
      <c r="Z123" s="165"/>
      <c r="AA123" s="165"/>
      <c r="AB123" s="165"/>
      <c r="AC123" s="59"/>
      <c r="AD123" s="117"/>
      <c r="AE123" s="117"/>
      <c r="AF123" s="117"/>
      <c r="AG123" s="117"/>
      <c r="AH123" s="59"/>
      <c r="AI123" s="37"/>
      <c r="AJ123" s="1433"/>
      <c r="AK123" s="1433"/>
      <c r="AL123" s="1475"/>
      <c r="AM123" s="794"/>
    </row>
    <row r="124" spans="1:52" ht="15" customHeight="1">
      <c r="B124" s="931"/>
      <c r="C124" s="30"/>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169"/>
      <c r="AE124" s="2169"/>
      <c r="AF124" s="2169"/>
      <c r="AG124" s="2169"/>
      <c r="AH124" s="269"/>
      <c r="AI124" s="269"/>
      <c r="AJ124" s="1432"/>
      <c r="AK124" s="1432"/>
      <c r="AL124" s="1459"/>
      <c r="AM124" s="794"/>
      <c r="AN124" s="297"/>
      <c r="AO124" s="297"/>
      <c r="AP124" s="297"/>
      <c r="AQ124" s="297"/>
      <c r="AR124" s="297"/>
      <c r="AS124" s="297"/>
      <c r="AT124" s="297"/>
      <c r="AU124" s="297"/>
      <c r="AV124" s="297"/>
      <c r="AW124" s="297"/>
      <c r="AX124" s="297"/>
      <c r="AY124" s="297"/>
      <c r="AZ124" s="297"/>
    </row>
    <row r="125" spans="1:52" ht="15" customHeight="1">
      <c r="B125" s="30"/>
      <c r="AL125" s="1477"/>
      <c r="AM125" s="794"/>
    </row>
    <row r="126" spans="1:52" ht="15" customHeight="1">
      <c r="B126" s="30"/>
      <c r="AL126" s="1477"/>
      <c r="AM126" s="794"/>
    </row>
    <row r="127" spans="1:52">
      <c r="AL127" s="1477"/>
      <c r="AM127" s="794"/>
    </row>
    <row r="128" spans="1:52" ht="15" customHeight="1">
      <c r="AL128" s="1477"/>
      <c r="AM128" s="794"/>
    </row>
    <row r="129" spans="4:39" ht="15" customHeight="1">
      <c r="D129" s="931"/>
      <c r="F129" s="931"/>
      <c r="H129" s="931"/>
      <c r="AJ129" s="1900"/>
      <c r="AL129" s="1477"/>
      <c r="AM129" s="794"/>
    </row>
    <row r="130" spans="4:39" ht="15" customHeight="1">
      <c r="AL130" s="794"/>
      <c r="AM130" s="794"/>
    </row>
    <row r="131" spans="4:39" ht="15" customHeight="1">
      <c r="AL131" s="794"/>
      <c r="AM131" s="794"/>
    </row>
    <row r="132" spans="4:39" ht="15" customHeight="1">
      <c r="AL132" s="794"/>
      <c r="AM132" s="794"/>
    </row>
    <row r="133" spans="4:39" ht="15" customHeight="1">
      <c r="AL133" s="794"/>
      <c r="AM133" s="794"/>
    </row>
    <row r="134" spans="4:39" ht="15" customHeight="1">
      <c r="AL134" s="794"/>
      <c r="AM134" s="794"/>
    </row>
    <row r="135" spans="4:39" ht="15" customHeight="1">
      <c r="AL135" s="794"/>
      <c r="AM135" s="794"/>
    </row>
    <row r="136" spans="4:39" ht="15" customHeight="1">
      <c r="AL136" s="794"/>
      <c r="AM136" s="794"/>
    </row>
    <row r="137" spans="4:39" ht="15" customHeight="1">
      <c r="AL137" s="794"/>
      <c r="AM137" s="794"/>
    </row>
    <row r="138" spans="4:39" ht="15" customHeight="1">
      <c r="AL138" s="794"/>
      <c r="AM138" s="794"/>
    </row>
    <row r="139" spans="4:39" ht="15" customHeight="1">
      <c r="AL139" s="794"/>
      <c r="AM139" s="794"/>
    </row>
    <row r="140" spans="4:39" ht="15" customHeight="1">
      <c r="AL140" s="794"/>
      <c r="AM140" s="794"/>
    </row>
    <row r="141" spans="4:39" ht="15" customHeight="1">
      <c r="AL141" s="794"/>
      <c r="AM141" s="794"/>
    </row>
    <row r="142" spans="4:39" ht="15" customHeight="1">
      <c r="AL142" s="794"/>
      <c r="AM142" s="794"/>
    </row>
    <row r="143" spans="4:39" ht="15" customHeight="1">
      <c r="AL143" s="794"/>
      <c r="AM143" s="794"/>
    </row>
    <row r="144" spans="4:39" ht="15" customHeight="1">
      <c r="AL144" s="794"/>
      <c r="AM144" s="794"/>
    </row>
    <row r="145" spans="38:39" ht="15" customHeight="1">
      <c r="AL145" s="794"/>
      <c r="AM145" s="794"/>
    </row>
    <row r="146" spans="38:39" ht="15" customHeight="1">
      <c r="AL146" s="794"/>
      <c r="AM146" s="794"/>
    </row>
    <row r="147" spans="38:39" ht="15" customHeight="1">
      <c r="AL147" s="794"/>
      <c r="AM147" s="794"/>
    </row>
    <row r="148" spans="38:39" ht="15" customHeight="1">
      <c r="AL148" s="794"/>
      <c r="AM148" s="794"/>
    </row>
    <row r="149" spans="38:39" ht="15" customHeight="1">
      <c r="AL149" s="794"/>
      <c r="AM149" s="794"/>
    </row>
    <row r="150" spans="38:39" ht="15" customHeight="1">
      <c r="AL150" s="794"/>
      <c r="AM150" s="794"/>
    </row>
    <row r="151" spans="38:39" ht="15" customHeight="1">
      <c r="AL151" s="794"/>
      <c r="AM151" s="794"/>
    </row>
    <row r="152" spans="38:39" ht="15" customHeight="1">
      <c r="AL152" s="794"/>
      <c r="AM152" s="794"/>
    </row>
    <row r="153" spans="38:39" ht="15" customHeight="1">
      <c r="AL153" s="794"/>
      <c r="AM153" s="794"/>
    </row>
    <row r="154" spans="38:39" ht="15" customHeight="1">
      <c r="AL154" s="794"/>
      <c r="AM154" s="794"/>
    </row>
    <row r="155" spans="38:39" ht="15" customHeight="1">
      <c r="AL155" s="794"/>
      <c r="AM155" s="794"/>
    </row>
    <row r="156" spans="38:39" ht="11.25" customHeight="1">
      <c r="AL156" s="794"/>
      <c r="AM156" s="794"/>
    </row>
    <row r="157" spans="38:39" ht="15" customHeight="1">
      <c r="AL157" s="794"/>
      <c r="AM157" s="794"/>
    </row>
    <row r="158" spans="38:39" ht="15" customHeight="1">
      <c r="AL158" s="794"/>
      <c r="AM158" s="794"/>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ageMargins left="0.25" right="0.25" top="0.5" bottom="0.25" header="0" footer="0.25"/>
  <pageSetup scale="39" firstPageNumber="25" orientation="landscape" useFirstPageNumber="1" r:id="rId1"/>
  <headerFooter scaleWithDoc="0" alignWithMargins="0">
    <oddFooter>&amp;C&amp;8&amp;P</oddFooter>
  </headerFooter>
  <rowBreaks count="1" manualBreakCount="1">
    <brk id="86" min="1" max="37" man="1"/>
  </rowBreaks>
  <ignoredErrors>
    <ignoredError sqref="AL43 AL56 AL48 AL61 AL68 AL37 AL39:AL41 AL24:AL25 AL20:AL22 AL28:AL36" unlockedFormula="1"/>
    <ignoredError sqref="AL81" evalError="1"/>
    <ignoredError sqref="AL74:AL76 AL23 AL26 AL52 AL70 AJ71:AM73 AJ74:AK74 AM74 AJ2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zoomScaleNormal="60" workbookViewId="0"/>
  </sheetViews>
  <sheetFormatPr defaultColWidth="8.88671875" defaultRowHeight="12.75"/>
  <cols>
    <col min="1" max="1" width="1.88671875" style="247" customWidth="1"/>
    <col min="2" max="2" width="44.88671875" style="247" customWidth="1"/>
    <col min="3" max="3" width="1.88671875" style="247" customWidth="1"/>
    <col min="4" max="4" width="15.109375" style="247" bestFit="1" customWidth="1"/>
    <col min="5" max="5" width="1.88671875" style="247" customWidth="1"/>
    <col min="6" max="6" width="12" style="247" customWidth="1"/>
    <col min="7" max="7" width="1.88671875" style="247" customWidth="1"/>
    <col min="8" max="8" width="11.109375" style="247" bestFit="1" customWidth="1"/>
    <col min="9" max="9" width="1.88671875" style="247" customWidth="1"/>
    <col min="10" max="10" width="11" style="247" customWidth="1"/>
    <col min="11" max="11" width="1.88671875" style="247" customWidth="1"/>
    <col min="12" max="12" width="11.109375" style="247" customWidth="1"/>
    <col min="13" max="13" width="1.88671875" style="247" customWidth="1"/>
    <col min="14" max="14" width="12.109375" style="247" customWidth="1"/>
    <col min="15" max="15" width="1.88671875" style="247" customWidth="1"/>
    <col min="16" max="16" width="11" style="247" bestFit="1" customWidth="1"/>
    <col min="17" max="17" width="1.88671875" style="247" customWidth="1"/>
    <col min="18" max="18" width="11.5546875" style="247" bestFit="1" customWidth="1"/>
    <col min="19" max="19" width="1.88671875" style="247" customWidth="1"/>
    <col min="20" max="20" width="11.44140625" style="247" customWidth="1"/>
    <col min="21" max="21" width="1.88671875" style="247" customWidth="1"/>
    <col min="22" max="22" width="11.109375" style="247" customWidth="1"/>
    <col min="23" max="23" width="1.88671875" style="247" customWidth="1"/>
    <col min="24" max="24" width="11.109375" style="247" bestFit="1" customWidth="1"/>
    <col min="25" max="25" width="1.88671875" style="247" customWidth="1"/>
    <col min="26" max="26" width="10.88671875" style="247" bestFit="1" customWidth="1"/>
    <col min="27" max="27" width="1" style="247" customWidth="1"/>
    <col min="28" max="29" width="1.88671875" style="247" customWidth="1"/>
    <col min="30" max="30" width="12.109375" style="898" customWidth="1"/>
    <col min="31" max="32" width="1.109375" style="898" customWidth="1"/>
    <col min="33" max="33" width="11.88671875" style="898" customWidth="1"/>
    <col min="34" max="34" width="1.44140625" style="247" customWidth="1"/>
    <col min="35" max="35" width="0.88671875" style="247" customWidth="1"/>
    <col min="36" max="36" width="13.109375" style="247" bestFit="1" customWidth="1"/>
    <col min="37" max="37" width="0.88671875" style="247" customWidth="1"/>
    <col min="38" max="38" width="13.88671875" style="794" bestFit="1" customWidth="1"/>
    <col min="39" max="16384" width="8.88671875" style="247"/>
  </cols>
  <sheetData>
    <row r="1" spans="1:41" ht="15">
      <c r="B1" s="653" t="s">
        <v>979</v>
      </c>
    </row>
    <row r="2" spans="1:41" ht="15.75">
      <c r="A2" s="246"/>
      <c r="M2" s="29"/>
      <c r="N2" s="29"/>
      <c r="O2" s="265"/>
    </row>
    <row r="3" spans="1:41" ht="18">
      <c r="A3" s="246"/>
      <c r="B3" s="249" t="s">
        <v>0</v>
      </c>
      <c r="M3" s="29"/>
      <c r="N3" s="29"/>
      <c r="O3" s="265"/>
      <c r="AF3" s="3225"/>
      <c r="AG3" s="3605"/>
      <c r="AH3" s="289"/>
      <c r="AI3" s="289"/>
      <c r="AJ3" s="289"/>
      <c r="AK3" s="289"/>
      <c r="AL3" s="250" t="s">
        <v>169</v>
      </c>
    </row>
    <row r="4" spans="1:41" ht="18">
      <c r="A4" s="246"/>
      <c r="B4" s="249" t="s">
        <v>178</v>
      </c>
      <c r="L4" s="29"/>
      <c r="M4" s="29"/>
      <c r="O4" s="265"/>
    </row>
    <row r="5" spans="1:41" ht="18">
      <c r="A5" s="246"/>
      <c r="B5" s="1569" t="s">
        <v>149</v>
      </c>
      <c r="L5" s="265"/>
      <c r="M5" s="265"/>
      <c r="O5" s="265"/>
      <c r="X5" s="290"/>
    </row>
    <row r="6" spans="1:41" ht="20.25">
      <c r="A6" s="246"/>
      <c r="B6" s="1569" t="str">
        <f>'Cashflow Governmental'!A6</f>
        <v xml:space="preserve">FISCAL YEAR 2019-2020   </v>
      </c>
      <c r="L6" s="265"/>
      <c r="M6" s="265"/>
      <c r="O6" s="265"/>
      <c r="AL6" s="795"/>
    </row>
    <row r="7" spans="1:41" ht="18">
      <c r="A7" s="246"/>
      <c r="B7" s="249" t="s">
        <v>1419</v>
      </c>
      <c r="AI7" s="150"/>
      <c r="AJ7" s="150"/>
      <c r="AK7" s="150"/>
      <c r="AL7" s="796"/>
    </row>
    <row r="8" spans="1:41" ht="13.5" customHeight="1">
      <c r="A8" s="246"/>
      <c r="B8" s="298"/>
      <c r="AI8" s="150"/>
      <c r="AJ8" s="150"/>
      <c r="AK8" s="150"/>
      <c r="AL8" s="796"/>
    </row>
    <row r="9" spans="1:41" ht="15.75">
      <c r="A9" s="246"/>
      <c r="L9" s="265"/>
      <c r="M9" s="265"/>
      <c r="N9" s="265"/>
      <c r="O9" s="265"/>
      <c r="AC9" s="3928" t="str">
        <f>'Exhibit G'!AC9:AL9</f>
        <v>11 Months Ended February 29</v>
      </c>
      <c r="AD9" s="3928"/>
      <c r="AE9" s="3928"/>
      <c r="AF9" s="3928"/>
      <c r="AG9" s="3928"/>
      <c r="AH9" s="3928"/>
      <c r="AI9" s="3928"/>
      <c r="AJ9" s="3928"/>
      <c r="AK9" s="3928"/>
      <c r="AL9" s="3928"/>
    </row>
    <row r="10" spans="1:41" ht="15.75">
      <c r="A10" s="246"/>
      <c r="B10" s="30"/>
      <c r="C10" s="30"/>
      <c r="D10" s="756" t="str">
        <f>'Cashflow Governmental'!C13</f>
        <v>2019</v>
      </c>
      <c r="E10" s="29"/>
      <c r="F10" s="29"/>
      <c r="G10" s="29"/>
      <c r="H10" s="29"/>
      <c r="I10" s="29"/>
      <c r="J10" s="29"/>
      <c r="K10" s="29"/>
      <c r="L10" s="29"/>
      <c r="M10" s="29"/>
      <c r="N10" s="29"/>
      <c r="O10" s="29"/>
      <c r="P10" s="29"/>
      <c r="Q10" s="29"/>
      <c r="R10" s="29"/>
      <c r="S10" s="29"/>
      <c r="T10" s="29"/>
      <c r="U10" s="29"/>
      <c r="V10" s="756" t="str">
        <f>'Cashflow Governmental'!U13</f>
        <v>2020</v>
      </c>
      <c r="W10" s="29"/>
      <c r="X10" s="29"/>
      <c r="Y10" s="29"/>
      <c r="Z10" s="29"/>
      <c r="AA10" s="29"/>
      <c r="AB10" s="29"/>
      <c r="AC10" s="29"/>
      <c r="AD10" s="3282"/>
      <c r="AE10" s="3282"/>
      <c r="AF10" s="3282"/>
      <c r="AG10" s="3282"/>
      <c r="AH10" s="210"/>
      <c r="AI10" s="209"/>
      <c r="AJ10" s="760" t="s">
        <v>8</v>
      </c>
      <c r="AK10" s="760"/>
      <c r="AL10" s="797" t="s">
        <v>9</v>
      </c>
      <c r="AM10" s="763"/>
      <c r="AN10" s="763"/>
      <c r="AO10" s="763"/>
    </row>
    <row r="11" spans="1:41" ht="15.75">
      <c r="A11" s="246"/>
      <c r="B11" s="30"/>
      <c r="C11" s="30"/>
      <c r="D11" s="747" t="s">
        <v>125</v>
      </c>
      <c r="E11" s="29"/>
      <c r="F11" s="747" t="s">
        <v>126</v>
      </c>
      <c r="G11" s="29"/>
      <c r="H11" s="747" t="s">
        <v>127</v>
      </c>
      <c r="I11" s="29"/>
      <c r="J11" s="747" t="s">
        <v>128</v>
      </c>
      <c r="K11" s="29"/>
      <c r="L11" s="747" t="s">
        <v>129</v>
      </c>
      <c r="M11" s="29"/>
      <c r="N11" s="747" t="s">
        <v>144</v>
      </c>
      <c r="O11" s="29"/>
      <c r="P11" s="747" t="s">
        <v>145</v>
      </c>
      <c r="Q11" s="29"/>
      <c r="R11" s="747" t="s">
        <v>132</v>
      </c>
      <c r="S11" s="29"/>
      <c r="T11" s="747" t="s">
        <v>133</v>
      </c>
      <c r="U11" s="29"/>
      <c r="V11" s="747" t="s">
        <v>134</v>
      </c>
      <c r="W11" s="29"/>
      <c r="X11" s="747" t="s">
        <v>135</v>
      </c>
      <c r="Y11" s="29"/>
      <c r="Z11" s="747" t="s">
        <v>186</v>
      </c>
      <c r="AA11" s="747"/>
      <c r="AB11" s="29"/>
      <c r="AC11" s="29"/>
      <c r="AD11" s="751">
        <f>'Cashflow Governmental'!AB14</f>
        <v>2020</v>
      </c>
      <c r="AE11" s="751"/>
      <c r="AF11" s="105" t="s">
        <v>15</v>
      </c>
      <c r="AG11" s="751">
        <f>'Cashflow Governmental'!AE14</f>
        <v>2019</v>
      </c>
      <c r="AH11" s="746"/>
      <c r="AI11" s="209"/>
      <c r="AJ11" s="765" t="s">
        <v>12</v>
      </c>
      <c r="AK11" s="759"/>
      <c r="AL11" s="798" t="s">
        <v>13</v>
      </c>
      <c r="AM11" s="763"/>
      <c r="AN11" s="763"/>
      <c r="AO11" s="763"/>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71"/>
      <c r="AD12" s="3299"/>
      <c r="AE12" s="3299"/>
      <c r="AF12" s="3289"/>
      <c r="AG12" s="3299"/>
      <c r="AH12" s="37"/>
      <c r="AI12" s="272"/>
      <c r="AJ12" s="30"/>
      <c r="AK12" s="30"/>
      <c r="AL12" s="264"/>
    </row>
    <row r="13" spans="1:41" ht="15.75">
      <c r="A13" s="246"/>
      <c r="B13" s="1894" t="s">
        <v>1279</v>
      </c>
      <c r="C13" s="30"/>
      <c r="D13" s="308">
        <v>-1248.3999999999999</v>
      </c>
      <c r="E13" s="30"/>
      <c r="F13" s="219">
        <f>D92</f>
        <v>567.70000000000005</v>
      </c>
      <c r="G13" s="30"/>
      <c r="H13" s="219">
        <f>F92</f>
        <v>-69.2</v>
      </c>
      <c r="I13" s="30"/>
      <c r="J13" s="219">
        <f>H92</f>
        <v>891.4</v>
      </c>
      <c r="K13" s="30"/>
      <c r="L13" s="219">
        <f>J92</f>
        <v>-396.5</v>
      </c>
      <c r="M13" s="30"/>
      <c r="N13" s="219">
        <f>L92</f>
        <v>356.6</v>
      </c>
      <c r="O13" s="30"/>
      <c r="P13" s="219">
        <f>N92</f>
        <v>964.7</v>
      </c>
      <c r="Q13" s="30"/>
      <c r="R13" s="219">
        <f>P92</f>
        <v>516.1</v>
      </c>
      <c r="S13" s="30"/>
      <c r="T13" s="219">
        <f>R92</f>
        <v>538.20000000000005</v>
      </c>
      <c r="U13" s="30"/>
      <c r="V13" s="219">
        <f>T92</f>
        <v>2004.4</v>
      </c>
      <c r="W13" s="30"/>
      <c r="X13" s="219">
        <f>V92</f>
        <v>1565.8</v>
      </c>
      <c r="Y13" s="30"/>
      <c r="Z13" s="219"/>
      <c r="AA13" s="37"/>
      <c r="AB13" s="30"/>
      <c r="AC13" s="1071"/>
      <c r="AD13" s="139">
        <f>D13</f>
        <v>-1248.3999999999999</v>
      </c>
      <c r="AE13" s="1103"/>
      <c r="AF13" s="3289"/>
      <c r="AG13" s="139">
        <v>293.60000000000002</v>
      </c>
      <c r="AH13" s="37"/>
      <c r="AI13" s="272"/>
      <c r="AJ13" s="94">
        <f>+AD13-AG13</f>
        <v>-1542</v>
      </c>
      <c r="AK13" s="30"/>
      <c r="AL13" s="274">
        <f>+AJ13/AG13</f>
        <v>-5.2520435967302452</v>
      </c>
    </row>
    <row r="14" spans="1:41" ht="15.75">
      <c r="A14" s="246"/>
      <c r="B14" s="1894"/>
      <c r="C14" s="30"/>
      <c r="D14" s="37"/>
      <c r="E14" s="30"/>
      <c r="F14" s="37"/>
      <c r="G14" s="30"/>
      <c r="H14" s="37"/>
      <c r="I14" s="30"/>
      <c r="J14" s="37"/>
      <c r="K14" s="30"/>
      <c r="L14" s="37"/>
      <c r="M14" s="30"/>
      <c r="N14" s="1070"/>
      <c r="O14" s="30"/>
      <c r="P14" s="37"/>
      <c r="Q14" s="30"/>
      <c r="R14" s="37"/>
      <c r="S14" s="30"/>
      <c r="T14" s="37"/>
      <c r="U14" s="30"/>
      <c r="V14" s="37"/>
      <c r="W14" s="30"/>
      <c r="X14" s="37"/>
      <c r="Y14" s="30"/>
      <c r="Z14" s="37"/>
      <c r="AA14" s="37"/>
      <c r="AB14" s="1904"/>
      <c r="AC14" s="37"/>
      <c r="AD14" s="1103"/>
      <c r="AE14" s="1103"/>
      <c r="AF14" s="3289"/>
      <c r="AG14" s="1103"/>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290"/>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300"/>
      <c r="AF16" s="3303"/>
      <c r="AG16" s="362"/>
      <c r="AH16" s="294"/>
      <c r="AI16" s="37"/>
      <c r="AJ16" s="954"/>
      <c r="AK16" s="652"/>
      <c r="AL16" s="921"/>
    </row>
    <row r="17" spans="1:39" ht="15" customHeight="1">
      <c r="A17" s="150"/>
      <c r="B17" s="261" t="s">
        <v>1033</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084"/>
      <c r="AG17" s="118"/>
      <c r="AH17" s="276"/>
      <c r="AI17" s="56"/>
      <c r="AJ17" s="954"/>
      <c r="AK17" s="954"/>
      <c r="AL17" s="678"/>
    </row>
    <row r="18" spans="1:39" ht="15" customHeight="1">
      <c r="A18" s="150"/>
      <c r="B18" s="903" t="s">
        <v>1154</v>
      </c>
      <c r="C18" s="31"/>
      <c r="D18" s="690" t="s">
        <v>15</v>
      </c>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084"/>
      <c r="AG18" s="118"/>
      <c r="AH18" s="276"/>
      <c r="AI18" s="56"/>
      <c r="AJ18" s="954"/>
      <c r="AK18" s="954"/>
      <c r="AL18" s="678"/>
    </row>
    <row r="19" spans="1:39" ht="15" customHeight="1">
      <c r="A19" s="150"/>
      <c r="B19" s="903" t="s">
        <v>1066</v>
      </c>
      <c r="C19" s="31"/>
      <c r="D19" s="693">
        <v>0</v>
      </c>
      <c r="E19" s="905"/>
      <c r="F19" s="693">
        <v>0</v>
      </c>
      <c r="G19" s="906"/>
      <c r="H19" s="693">
        <v>0</v>
      </c>
      <c r="I19" s="906"/>
      <c r="J19" s="693">
        <v>0</v>
      </c>
      <c r="K19" s="1572"/>
      <c r="L19" s="693">
        <v>0</v>
      </c>
      <c r="M19" s="1572"/>
      <c r="N19" s="693">
        <v>0</v>
      </c>
      <c r="O19" s="1837"/>
      <c r="P19" s="1830">
        <v>0</v>
      </c>
      <c r="Q19" s="2032"/>
      <c r="R19" s="1830">
        <v>0</v>
      </c>
      <c r="S19" s="2032"/>
      <c r="T19" s="1830">
        <v>0</v>
      </c>
      <c r="U19" s="2032"/>
      <c r="V19" s="1830">
        <v>0</v>
      </c>
      <c r="W19" s="2032"/>
      <c r="X19" s="1830">
        <f>$AD19-$D19-$F19-$H19-$J19-$L19-$N19-$P19-$R19-$T19-$V19</f>
        <v>0</v>
      </c>
      <c r="Y19" s="2032"/>
      <c r="Z19" s="1830"/>
      <c r="AA19" s="2033"/>
      <c r="AB19" s="1885"/>
      <c r="AC19" s="2034"/>
      <c r="AD19" s="1830">
        <v>0</v>
      </c>
      <c r="AE19" s="2045"/>
      <c r="AF19" s="2047"/>
      <c r="AG19" s="1830">
        <v>0</v>
      </c>
      <c r="AH19" s="1403"/>
      <c r="AI19" s="954"/>
      <c r="AJ19" s="906">
        <f>ROUND(SUM(+AD19-AG19),1)</f>
        <v>0</v>
      </c>
      <c r="AK19" s="954"/>
      <c r="AL19" s="1466">
        <f>ROUND(IF(AG19=0,0,AJ19/ABS(AG19)),3)</f>
        <v>0</v>
      </c>
    </row>
    <row r="20" spans="1:39" s="898" customFormat="1" ht="15" customHeight="1">
      <c r="A20" s="1082"/>
      <c r="B20" s="903" t="s">
        <v>1155</v>
      </c>
      <c r="C20" s="107"/>
      <c r="D20" s="693" t="s">
        <v>15</v>
      </c>
      <c r="E20" s="825"/>
      <c r="F20" s="693"/>
      <c r="G20" s="825"/>
      <c r="H20" s="693"/>
      <c r="I20" s="825"/>
      <c r="J20" s="693"/>
      <c r="K20" s="140"/>
      <c r="L20" s="693"/>
      <c r="M20" s="140"/>
      <c r="N20" s="693"/>
      <c r="O20" s="140"/>
      <c r="P20" s="1830"/>
      <c r="Q20" s="2036"/>
      <c r="R20" s="1830"/>
      <c r="S20" s="2036"/>
      <c r="T20" s="1830"/>
      <c r="U20" s="2036"/>
      <c r="V20" s="1830"/>
      <c r="W20" s="2040"/>
      <c r="X20" s="1830"/>
      <c r="Y20" s="2040"/>
      <c r="Z20" s="1830"/>
      <c r="AA20" s="2039"/>
      <c r="AB20" s="2036"/>
      <c r="AC20" s="2041"/>
      <c r="AD20" s="2040"/>
      <c r="AE20" s="2040"/>
      <c r="AF20" s="2042"/>
      <c r="AG20" s="2040"/>
      <c r="AH20" s="1085"/>
      <c r="AI20" s="67"/>
      <c r="AJ20" s="1035"/>
      <c r="AK20" s="1035"/>
      <c r="AL20" s="1476"/>
    </row>
    <row r="21" spans="1:39" s="898" customFormat="1" ht="15" customHeight="1">
      <c r="A21" s="1082"/>
      <c r="B21" s="903" t="s">
        <v>1068</v>
      </c>
      <c r="C21" s="107"/>
      <c r="D21" s="693">
        <v>4.5</v>
      </c>
      <c r="E21" s="825"/>
      <c r="F21" s="693">
        <v>39.1</v>
      </c>
      <c r="G21" s="825"/>
      <c r="H21" s="693">
        <v>0.19999999999999574</v>
      </c>
      <c r="I21" s="825"/>
      <c r="J21" s="693">
        <v>2.8000000000000043</v>
      </c>
      <c r="K21" s="1572"/>
      <c r="L21" s="693">
        <v>10.699999999999996</v>
      </c>
      <c r="M21" s="1572"/>
      <c r="N21" s="693">
        <v>0.20000000000000284</v>
      </c>
      <c r="O21" s="1572"/>
      <c r="P21" s="1830">
        <v>2.2999999999999972</v>
      </c>
      <c r="Q21" s="2043"/>
      <c r="R21" s="1830">
        <v>6.5</v>
      </c>
      <c r="S21" s="2043"/>
      <c r="T21" s="1830">
        <v>0.10000000000000853</v>
      </c>
      <c r="U21" s="2043"/>
      <c r="V21" s="1830">
        <v>1.5999999999999943</v>
      </c>
      <c r="W21" s="2043"/>
      <c r="X21" s="1830">
        <f t="shared" ref="X21:X51" si="0">$AD21-$D21-$F21-$H21-$J21-$L21-$N21-$P21-$R21-$T21-$V21</f>
        <v>5.5</v>
      </c>
      <c r="Y21" s="2043"/>
      <c r="Z21" s="1830"/>
      <c r="AA21" s="2044"/>
      <c r="AB21" s="2045"/>
      <c r="AC21" s="2046"/>
      <c r="AD21" s="1830">
        <v>73.5</v>
      </c>
      <c r="AE21" s="2045"/>
      <c r="AF21" s="2047"/>
      <c r="AG21" s="1830">
        <v>70</v>
      </c>
      <c r="AH21" s="1085"/>
      <c r="AI21" s="67"/>
      <c r="AJ21" s="1035">
        <f t="shared" ref="AJ21:AJ51" si="1">ROUND(SUM(+AD21-AG21),1)</f>
        <v>3.5</v>
      </c>
      <c r="AK21" s="1035"/>
      <c r="AL21" s="1765">
        <f>ROUND(IF(AG21=0,0,AJ21/ABS(AG21)),3)</f>
        <v>0.05</v>
      </c>
      <c r="AM21" s="1849"/>
    </row>
    <row r="22" spans="1:39" ht="15" customHeight="1">
      <c r="A22" s="150"/>
      <c r="B22" s="903" t="s">
        <v>1069</v>
      </c>
      <c r="C22" s="31"/>
      <c r="D22" s="693">
        <v>0</v>
      </c>
      <c r="E22" s="825"/>
      <c r="F22" s="693">
        <v>0</v>
      </c>
      <c r="G22" s="825"/>
      <c r="H22" s="693">
        <v>0</v>
      </c>
      <c r="I22" s="825"/>
      <c r="J22" s="693">
        <v>0</v>
      </c>
      <c r="K22" s="1572"/>
      <c r="L22" s="693">
        <v>0</v>
      </c>
      <c r="M22" s="1572"/>
      <c r="N22" s="693">
        <v>0</v>
      </c>
      <c r="O22" s="1572"/>
      <c r="P22" s="1830">
        <v>0</v>
      </c>
      <c r="Q22" s="2043"/>
      <c r="R22" s="1830">
        <v>0</v>
      </c>
      <c r="S22" s="2043"/>
      <c r="T22" s="1830">
        <v>0</v>
      </c>
      <c r="U22" s="2043"/>
      <c r="V22" s="1830">
        <v>0</v>
      </c>
      <c r="W22" s="2043"/>
      <c r="X22" s="1830">
        <f t="shared" si="0"/>
        <v>0</v>
      </c>
      <c r="Y22" s="2043"/>
      <c r="Z22" s="1830"/>
      <c r="AA22" s="2044"/>
      <c r="AB22" s="2045"/>
      <c r="AC22" s="2046"/>
      <c r="AD22" s="1830">
        <v>0</v>
      </c>
      <c r="AE22" s="2045"/>
      <c r="AF22" s="2047"/>
      <c r="AG22" s="1830">
        <v>0</v>
      </c>
      <c r="AH22" s="276"/>
      <c r="AI22" s="56"/>
      <c r="AJ22" s="954">
        <f t="shared" si="1"/>
        <v>0</v>
      </c>
      <c r="AK22" s="954"/>
      <c r="AL22" s="1466">
        <f>ROUND(IF(AG22=0,0,AJ22/ABS(AG22)),3)</f>
        <v>0</v>
      </c>
    </row>
    <row r="23" spans="1:39" ht="15" customHeight="1">
      <c r="A23" s="150"/>
      <c r="B23" s="903" t="s">
        <v>1070</v>
      </c>
      <c r="C23" s="31"/>
      <c r="D23" s="693">
        <v>0</v>
      </c>
      <c r="E23" s="825"/>
      <c r="F23" s="693">
        <v>0</v>
      </c>
      <c r="G23" s="825"/>
      <c r="H23" s="693">
        <v>0</v>
      </c>
      <c r="I23" s="825"/>
      <c r="J23" s="693">
        <v>0</v>
      </c>
      <c r="K23" s="1572"/>
      <c r="L23" s="693">
        <v>0</v>
      </c>
      <c r="M23" s="1572"/>
      <c r="N23" s="693">
        <v>0</v>
      </c>
      <c r="O23" s="1572"/>
      <c r="P23" s="1830">
        <v>0</v>
      </c>
      <c r="Q23" s="2043"/>
      <c r="R23" s="1830">
        <v>0</v>
      </c>
      <c r="S23" s="2043"/>
      <c r="T23" s="1830">
        <v>0</v>
      </c>
      <c r="U23" s="2043"/>
      <c r="V23" s="1830">
        <v>0</v>
      </c>
      <c r="W23" s="2043"/>
      <c r="X23" s="1830">
        <f>$AD23-$D23-$F23-$H23-$J23-$L23-$N23-$P23-$R23-$T23-$V23</f>
        <v>0</v>
      </c>
      <c r="Y23" s="2043"/>
      <c r="Z23" s="1830"/>
      <c r="AA23" s="2044"/>
      <c r="AB23" s="2045"/>
      <c r="AC23" s="2046"/>
      <c r="AD23" s="1830">
        <v>0</v>
      </c>
      <c r="AE23" s="2045"/>
      <c r="AF23" s="2047"/>
      <c r="AG23" s="1830">
        <v>0</v>
      </c>
      <c r="AH23" s="276"/>
      <c r="AI23" s="56"/>
      <c r="AJ23" s="954">
        <f t="shared" si="1"/>
        <v>0</v>
      </c>
      <c r="AK23" s="954"/>
      <c r="AL23" s="1466">
        <f>ROUND(IF(AG23=0,0,AJ23/ABS(AG23)),3)</f>
        <v>0</v>
      </c>
    </row>
    <row r="24" spans="1:39" ht="15" customHeight="1">
      <c r="A24" s="150"/>
      <c r="B24" s="903" t="s">
        <v>1071</v>
      </c>
      <c r="C24" s="31"/>
      <c r="D24" s="693">
        <v>0</v>
      </c>
      <c r="E24" s="825"/>
      <c r="F24" s="693">
        <v>0</v>
      </c>
      <c r="G24" s="825"/>
      <c r="H24" s="693">
        <v>0</v>
      </c>
      <c r="I24" s="825"/>
      <c r="J24" s="693">
        <v>0</v>
      </c>
      <c r="K24" s="1572"/>
      <c r="L24" s="693">
        <v>0</v>
      </c>
      <c r="M24" s="1572"/>
      <c r="N24" s="693">
        <v>0</v>
      </c>
      <c r="O24" s="1572"/>
      <c r="P24" s="1830">
        <v>0</v>
      </c>
      <c r="Q24" s="2043"/>
      <c r="R24" s="1830">
        <v>0</v>
      </c>
      <c r="S24" s="2043"/>
      <c r="T24" s="1830">
        <v>0</v>
      </c>
      <c r="U24" s="2043"/>
      <c r="V24" s="1830">
        <v>0</v>
      </c>
      <c r="W24" s="2043"/>
      <c r="X24" s="1830">
        <f t="shared" si="0"/>
        <v>0</v>
      </c>
      <c r="Y24" s="2043"/>
      <c r="Z24" s="1830"/>
      <c r="AA24" s="2044"/>
      <c r="AB24" s="2045"/>
      <c r="AC24" s="2046"/>
      <c r="AD24" s="1830">
        <v>0</v>
      </c>
      <c r="AE24" s="2045"/>
      <c r="AF24" s="2047"/>
      <c r="AG24" s="1830">
        <v>0</v>
      </c>
      <c r="AH24" s="276"/>
      <c r="AI24" s="56"/>
      <c r="AJ24" s="954">
        <f t="shared" si="1"/>
        <v>0</v>
      </c>
      <c r="AK24" s="954"/>
      <c r="AL24" s="1466">
        <f>ROUND(IF(AG24=0,0,AJ24/ABS(AG24)),3)</f>
        <v>0</v>
      </c>
    </row>
    <row r="25" spans="1:39" ht="15" customHeight="1">
      <c r="A25" s="150"/>
      <c r="B25" s="903" t="s">
        <v>1160</v>
      </c>
      <c r="C25" s="31"/>
      <c r="D25" s="693" t="s">
        <v>15</v>
      </c>
      <c r="E25" s="825"/>
      <c r="F25" s="693"/>
      <c r="G25" s="825"/>
      <c r="H25" s="693"/>
      <c r="I25" s="825"/>
      <c r="J25" s="693"/>
      <c r="K25" s="140"/>
      <c r="L25" s="693"/>
      <c r="M25" s="140"/>
      <c r="N25" s="693"/>
      <c r="O25" s="140"/>
      <c r="P25" s="1830"/>
      <c r="Q25" s="2036"/>
      <c r="R25" s="1830"/>
      <c r="S25" s="2036"/>
      <c r="T25" s="1830"/>
      <c r="U25" s="2036"/>
      <c r="V25" s="1830"/>
      <c r="W25" s="2040"/>
      <c r="X25" s="1830"/>
      <c r="Y25" s="2040"/>
      <c r="Z25" s="1830"/>
      <c r="AA25" s="2039"/>
      <c r="AB25" s="2036"/>
      <c r="AC25" s="2041"/>
      <c r="AD25" s="2040"/>
      <c r="AE25" s="2040"/>
      <c r="AF25" s="2042"/>
      <c r="AG25" s="2040"/>
      <c r="AH25" s="276"/>
      <c r="AI25" s="56"/>
      <c r="AJ25" s="954"/>
      <c r="AK25" s="954"/>
      <c r="AL25" s="1466"/>
    </row>
    <row r="26" spans="1:39" ht="15" customHeight="1">
      <c r="A26" s="150"/>
      <c r="B26" s="903" t="s">
        <v>1072</v>
      </c>
      <c r="C26" s="31"/>
      <c r="D26" s="693">
        <v>0</v>
      </c>
      <c r="E26" s="825"/>
      <c r="F26" s="693">
        <v>0</v>
      </c>
      <c r="G26" s="825"/>
      <c r="H26" s="693">
        <v>0</v>
      </c>
      <c r="I26" s="825"/>
      <c r="J26" s="693">
        <v>0</v>
      </c>
      <c r="K26" s="1572"/>
      <c r="L26" s="693">
        <v>0</v>
      </c>
      <c r="M26" s="1572"/>
      <c r="N26" s="693">
        <v>0</v>
      </c>
      <c r="O26" s="1572"/>
      <c r="P26" s="1830">
        <v>0</v>
      </c>
      <c r="Q26" s="2043"/>
      <c r="R26" s="1830">
        <v>0</v>
      </c>
      <c r="S26" s="2043"/>
      <c r="T26" s="1830">
        <v>0</v>
      </c>
      <c r="U26" s="2043"/>
      <c r="V26" s="1830">
        <v>0</v>
      </c>
      <c r="W26" s="2043"/>
      <c r="X26" s="1830">
        <f t="shared" si="0"/>
        <v>0</v>
      </c>
      <c r="Y26" s="2043"/>
      <c r="Z26" s="1830"/>
      <c r="AA26" s="2044"/>
      <c r="AB26" s="2045"/>
      <c r="AC26" s="2046"/>
      <c r="AD26" s="1830">
        <v>0</v>
      </c>
      <c r="AE26" s="2045"/>
      <c r="AF26" s="2047"/>
      <c r="AG26" s="1830">
        <v>0</v>
      </c>
      <c r="AH26" s="276"/>
      <c r="AI26" s="56"/>
      <c r="AJ26" s="954">
        <f t="shared" si="1"/>
        <v>0</v>
      </c>
      <c r="AK26" s="954"/>
      <c r="AL26" s="1466">
        <f t="shared" ref="AL26:AL31" si="2">ROUND(IF(AG26=0,0,AJ26/ABS(AG26)),3)</f>
        <v>0</v>
      </c>
    </row>
    <row r="27" spans="1:39" ht="15" customHeight="1">
      <c r="A27" s="150"/>
      <c r="B27" s="903" t="s">
        <v>1073</v>
      </c>
      <c r="C27" s="31"/>
      <c r="D27" s="693">
        <v>0</v>
      </c>
      <c r="E27" s="825"/>
      <c r="F27" s="693">
        <v>0</v>
      </c>
      <c r="G27" s="825"/>
      <c r="H27" s="693">
        <v>0</v>
      </c>
      <c r="I27" s="825"/>
      <c r="J27" s="693">
        <v>0</v>
      </c>
      <c r="K27" s="1572"/>
      <c r="L27" s="693">
        <v>0</v>
      </c>
      <c r="M27" s="1572"/>
      <c r="N27" s="693">
        <v>0</v>
      </c>
      <c r="O27" s="1572"/>
      <c r="P27" s="1830">
        <v>0</v>
      </c>
      <c r="Q27" s="2043"/>
      <c r="R27" s="1830">
        <v>0</v>
      </c>
      <c r="S27" s="2043"/>
      <c r="T27" s="1830">
        <v>0</v>
      </c>
      <c r="U27" s="2043"/>
      <c r="V27" s="1830">
        <v>0</v>
      </c>
      <c r="W27" s="2043"/>
      <c r="X27" s="1830">
        <f t="shared" si="0"/>
        <v>0</v>
      </c>
      <c r="Y27" s="2043"/>
      <c r="Z27" s="1830"/>
      <c r="AA27" s="2044"/>
      <c r="AB27" s="2045"/>
      <c r="AC27" s="2046"/>
      <c r="AD27" s="1830">
        <v>0</v>
      </c>
      <c r="AE27" s="2045"/>
      <c r="AF27" s="2047"/>
      <c r="AG27" s="1830">
        <v>0</v>
      </c>
      <c r="AH27" s="276"/>
      <c r="AI27" s="56"/>
      <c r="AJ27" s="954">
        <f t="shared" si="1"/>
        <v>0</v>
      </c>
      <c r="AK27" s="954"/>
      <c r="AL27" s="1466">
        <f t="shared" si="2"/>
        <v>0</v>
      </c>
    </row>
    <row r="28" spans="1:39" ht="15" customHeight="1">
      <c r="A28" s="150"/>
      <c r="B28" s="903" t="s">
        <v>1074</v>
      </c>
      <c r="C28" s="31"/>
      <c r="D28" s="693">
        <v>0</v>
      </c>
      <c r="E28" s="825"/>
      <c r="F28" s="693">
        <v>0</v>
      </c>
      <c r="G28" s="825"/>
      <c r="H28" s="693">
        <v>0</v>
      </c>
      <c r="I28" s="825"/>
      <c r="J28" s="693">
        <v>0</v>
      </c>
      <c r="K28" s="1572"/>
      <c r="L28" s="693">
        <v>0</v>
      </c>
      <c r="M28" s="1572"/>
      <c r="N28" s="693">
        <v>0</v>
      </c>
      <c r="O28" s="1572"/>
      <c r="P28" s="1830">
        <v>0</v>
      </c>
      <c r="Q28" s="2043"/>
      <c r="R28" s="1830">
        <v>0</v>
      </c>
      <c r="S28" s="2043"/>
      <c r="T28" s="1830">
        <v>0</v>
      </c>
      <c r="U28" s="2043"/>
      <c r="V28" s="1830">
        <v>0</v>
      </c>
      <c r="W28" s="2043"/>
      <c r="X28" s="1830">
        <f t="shared" si="0"/>
        <v>0</v>
      </c>
      <c r="Y28" s="2043"/>
      <c r="Z28" s="1830"/>
      <c r="AA28" s="2044"/>
      <c r="AB28" s="2045"/>
      <c r="AC28" s="2046"/>
      <c r="AD28" s="1830">
        <v>0</v>
      </c>
      <c r="AE28" s="2045"/>
      <c r="AF28" s="2047"/>
      <c r="AG28" s="1830">
        <v>0</v>
      </c>
      <c r="AH28" s="276"/>
      <c r="AI28" s="56"/>
      <c r="AJ28" s="954">
        <f t="shared" si="1"/>
        <v>0</v>
      </c>
      <c r="AK28" s="954"/>
      <c r="AL28" s="1466">
        <f t="shared" si="2"/>
        <v>0</v>
      </c>
    </row>
    <row r="29" spans="1:39" ht="15" customHeight="1">
      <c r="A29" s="150"/>
      <c r="B29" s="903" t="s">
        <v>1075</v>
      </c>
      <c r="C29" s="31"/>
      <c r="D29" s="693">
        <v>0</v>
      </c>
      <c r="E29" s="825"/>
      <c r="F29" s="693">
        <v>0</v>
      </c>
      <c r="G29" s="825"/>
      <c r="H29" s="693">
        <v>0</v>
      </c>
      <c r="I29" s="825"/>
      <c r="J29" s="693">
        <v>0</v>
      </c>
      <c r="K29" s="1572"/>
      <c r="L29" s="693">
        <v>0</v>
      </c>
      <c r="M29" s="1572"/>
      <c r="N29" s="693">
        <v>0</v>
      </c>
      <c r="O29" s="1572"/>
      <c r="P29" s="1830">
        <v>0</v>
      </c>
      <c r="Q29" s="2043"/>
      <c r="R29" s="1830">
        <v>0</v>
      </c>
      <c r="S29" s="2043"/>
      <c r="T29" s="1830">
        <v>0</v>
      </c>
      <c r="U29" s="2043"/>
      <c r="V29" s="1830">
        <v>0</v>
      </c>
      <c r="W29" s="2043"/>
      <c r="X29" s="1830">
        <f t="shared" si="0"/>
        <v>0</v>
      </c>
      <c r="Y29" s="2043"/>
      <c r="Z29" s="1830"/>
      <c r="AA29" s="2044"/>
      <c r="AB29" s="2045"/>
      <c r="AC29" s="2046"/>
      <c r="AD29" s="1830">
        <v>0</v>
      </c>
      <c r="AE29" s="2045"/>
      <c r="AF29" s="2047"/>
      <c r="AG29" s="1830">
        <v>0</v>
      </c>
      <c r="AH29" s="276"/>
      <c r="AI29" s="56"/>
      <c r="AJ29" s="954">
        <f t="shared" si="1"/>
        <v>0</v>
      </c>
      <c r="AK29" s="954"/>
      <c r="AL29" s="1466">
        <f t="shared" si="2"/>
        <v>0</v>
      </c>
    </row>
    <row r="30" spans="1:39" ht="15" customHeight="1">
      <c r="A30" s="150"/>
      <c r="B30" s="903" t="s">
        <v>1076</v>
      </c>
      <c r="C30" s="31"/>
      <c r="D30" s="693">
        <v>0</v>
      </c>
      <c r="E30" s="825"/>
      <c r="F30" s="693">
        <v>0</v>
      </c>
      <c r="G30" s="825"/>
      <c r="H30" s="693">
        <v>0</v>
      </c>
      <c r="I30" s="825"/>
      <c r="J30" s="693">
        <v>0</v>
      </c>
      <c r="K30" s="1572"/>
      <c r="L30" s="693">
        <v>0</v>
      </c>
      <c r="M30" s="1572"/>
      <c r="N30" s="693">
        <v>0</v>
      </c>
      <c r="O30" s="1572"/>
      <c r="P30" s="1830">
        <v>0</v>
      </c>
      <c r="Q30" s="2043"/>
      <c r="R30" s="1830">
        <v>0</v>
      </c>
      <c r="S30" s="2043"/>
      <c r="T30" s="1830">
        <v>0</v>
      </c>
      <c r="U30" s="2043"/>
      <c r="V30" s="1830">
        <v>0</v>
      </c>
      <c r="W30" s="2043"/>
      <c r="X30" s="1830">
        <f t="shared" si="0"/>
        <v>0</v>
      </c>
      <c r="Y30" s="2043"/>
      <c r="Z30" s="1830"/>
      <c r="AA30" s="2044"/>
      <c r="AB30" s="2045"/>
      <c r="AC30" s="2046"/>
      <c r="AD30" s="1830">
        <v>0</v>
      </c>
      <c r="AE30" s="2045"/>
      <c r="AF30" s="2047"/>
      <c r="AG30" s="1830">
        <v>0</v>
      </c>
      <c r="AH30" s="276"/>
      <c r="AI30" s="56"/>
      <c r="AJ30" s="954">
        <f t="shared" si="1"/>
        <v>0</v>
      </c>
      <c r="AK30" s="954"/>
      <c r="AL30" s="1466">
        <f t="shared" si="2"/>
        <v>0</v>
      </c>
    </row>
    <row r="31" spans="1:39" ht="15" customHeight="1">
      <c r="A31" s="150"/>
      <c r="B31" s="903" t="s">
        <v>1034</v>
      </c>
      <c r="C31" s="31"/>
      <c r="D31" s="693">
        <v>0.7</v>
      </c>
      <c r="E31" s="825"/>
      <c r="F31" s="693">
        <v>0.8</v>
      </c>
      <c r="G31" s="825"/>
      <c r="H31" s="693">
        <v>0.5</v>
      </c>
      <c r="I31" s="825"/>
      <c r="J31" s="693">
        <v>0.39999999999999991</v>
      </c>
      <c r="K31" s="1572"/>
      <c r="L31" s="693">
        <v>0.7000000000000004</v>
      </c>
      <c r="M31" s="1572"/>
      <c r="N31" s="693">
        <v>0.39999999999999947</v>
      </c>
      <c r="O31" s="1572"/>
      <c r="P31" s="1830">
        <v>0.40000000000000058</v>
      </c>
      <c r="Q31" s="2043"/>
      <c r="R31" s="1830">
        <v>0.39999999999999947</v>
      </c>
      <c r="S31" s="2043"/>
      <c r="T31" s="1830">
        <v>0.40000000000000036</v>
      </c>
      <c r="U31" s="2043"/>
      <c r="V31" s="1830">
        <v>0.39999999999999947</v>
      </c>
      <c r="W31" s="2043"/>
      <c r="X31" s="1830">
        <f t="shared" si="0"/>
        <v>0.40000000000000013</v>
      </c>
      <c r="Y31" s="2043"/>
      <c r="Z31" s="1830"/>
      <c r="AA31" s="2044"/>
      <c r="AB31" s="2045"/>
      <c r="AC31" s="2046"/>
      <c r="AD31" s="1830">
        <v>5.5</v>
      </c>
      <c r="AE31" s="2045"/>
      <c r="AF31" s="2047"/>
      <c r="AG31" s="1830">
        <v>7.1000000000000005</v>
      </c>
      <c r="AH31" s="276"/>
      <c r="AI31" s="56"/>
      <c r="AJ31" s="954">
        <f>ROUND(SUM(+AD31-AG31),1)</f>
        <v>-1.6</v>
      </c>
      <c r="AK31" s="954"/>
      <c r="AL31" s="1466">
        <f t="shared" si="2"/>
        <v>-0.22500000000000001</v>
      </c>
    </row>
    <row r="32" spans="1:39" s="898" customFormat="1" ht="15" customHeight="1">
      <c r="A32" s="1082"/>
      <c r="B32" s="903" t="s">
        <v>1035</v>
      </c>
      <c r="C32" s="107"/>
      <c r="D32" s="693">
        <v>1.5</v>
      </c>
      <c r="E32" s="825"/>
      <c r="F32" s="693">
        <v>2.8</v>
      </c>
      <c r="G32" s="825"/>
      <c r="H32" s="693">
        <v>2.2999999999999998</v>
      </c>
      <c r="I32" s="825"/>
      <c r="J32" s="693">
        <v>2</v>
      </c>
      <c r="K32" s="1572"/>
      <c r="L32" s="693">
        <v>3.0999999999999996</v>
      </c>
      <c r="M32" s="1572"/>
      <c r="N32" s="693">
        <v>2.6000000000000005</v>
      </c>
      <c r="O32" s="1572"/>
      <c r="P32" s="1830">
        <v>2.099999999999997</v>
      </c>
      <c r="Q32" s="2043"/>
      <c r="R32" s="1830">
        <v>2.9000000000000021</v>
      </c>
      <c r="S32" s="2043"/>
      <c r="T32" s="1830">
        <v>2.0999999999999979</v>
      </c>
      <c r="U32" s="2043"/>
      <c r="V32" s="1830">
        <v>2.3000000000000016</v>
      </c>
      <c r="W32" s="2043"/>
      <c r="X32" s="1830">
        <f t="shared" si="0"/>
        <v>3.9000000000000012</v>
      </c>
      <c r="Y32" s="2043"/>
      <c r="Z32" s="1830"/>
      <c r="AA32" s="2044"/>
      <c r="AB32" s="2045"/>
      <c r="AC32" s="2046"/>
      <c r="AD32" s="1830">
        <v>27.6</v>
      </c>
      <c r="AE32" s="2045"/>
      <c r="AF32" s="2047"/>
      <c r="AG32" s="1830">
        <v>16.2</v>
      </c>
      <c r="AH32" s="1085"/>
      <c r="AI32" s="67"/>
      <c r="AJ32" s="1035">
        <f t="shared" si="1"/>
        <v>11.4</v>
      </c>
      <c r="AK32" s="1035"/>
      <c r="AL32" s="1765">
        <f>ROUND(IF(AG32=0,1,AJ32/ABS(AG32)),3)</f>
        <v>0.70399999999999996</v>
      </c>
    </row>
    <row r="33" spans="1:38" s="898" customFormat="1" ht="15" customHeight="1">
      <c r="A33" s="1082"/>
      <c r="B33" s="903" t="s">
        <v>1158</v>
      </c>
      <c r="C33" s="107"/>
      <c r="D33" s="693" t="s">
        <v>15</v>
      </c>
      <c r="E33" s="825"/>
      <c r="F33" s="693"/>
      <c r="G33" s="825"/>
      <c r="H33" s="693"/>
      <c r="I33" s="825"/>
      <c r="J33" s="693"/>
      <c r="K33" s="140"/>
      <c r="L33" s="693"/>
      <c r="M33" s="140"/>
      <c r="N33" s="693"/>
      <c r="O33" s="140"/>
      <c r="P33" s="1830"/>
      <c r="Q33" s="2036"/>
      <c r="R33" s="1830"/>
      <c r="S33" s="2036"/>
      <c r="T33" s="1830"/>
      <c r="U33" s="2036"/>
      <c r="V33" s="1830"/>
      <c r="W33" s="2040"/>
      <c r="X33" s="1830"/>
      <c r="Y33" s="2040"/>
      <c r="Z33" s="1830"/>
      <c r="AA33" s="2039"/>
      <c r="AB33" s="2036"/>
      <c r="AC33" s="2041"/>
      <c r="AD33" s="2040"/>
      <c r="AE33" s="2040"/>
      <c r="AF33" s="2042"/>
      <c r="AG33" s="2040"/>
      <c r="AH33" s="1085"/>
      <c r="AI33" s="67"/>
      <c r="AJ33" s="1035"/>
      <c r="AK33" s="1035"/>
      <c r="AL33" s="1476"/>
    </row>
    <row r="34" spans="1:38" s="898" customFormat="1" ht="15" customHeight="1">
      <c r="A34" s="1082"/>
      <c r="B34" s="903" t="s">
        <v>1080</v>
      </c>
      <c r="C34" s="107"/>
      <c r="D34" s="693">
        <v>0</v>
      </c>
      <c r="E34" s="825"/>
      <c r="F34" s="693">
        <v>0</v>
      </c>
      <c r="G34" s="825"/>
      <c r="H34" s="693">
        <v>0</v>
      </c>
      <c r="I34" s="825"/>
      <c r="J34" s="693">
        <v>0</v>
      </c>
      <c r="K34" s="1572"/>
      <c r="L34" s="693">
        <v>0</v>
      </c>
      <c r="M34" s="1572"/>
      <c r="N34" s="693">
        <v>0</v>
      </c>
      <c r="O34" s="1572"/>
      <c r="P34" s="1830">
        <v>0</v>
      </c>
      <c r="Q34" s="2043"/>
      <c r="R34" s="1830">
        <v>0</v>
      </c>
      <c r="S34" s="2043"/>
      <c r="T34" s="1830">
        <v>0</v>
      </c>
      <c r="U34" s="2043"/>
      <c r="V34" s="1830">
        <v>0</v>
      </c>
      <c r="W34" s="2043"/>
      <c r="X34" s="1830">
        <f t="shared" si="0"/>
        <v>0</v>
      </c>
      <c r="Y34" s="2043"/>
      <c r="Z34" s="1830"/>
      <c r="AA34" s="2044"/>
      <c r="AB34" s="2045"/>
      <c r="AC34" s="2046"/>
      <c r="AD34" s="1830">
        <v>0</v>
      </c>
      <c r="AE34" s="2045"/>
      <c r="AF34" s="2047"/>
      <c r="AG34" s="1830">
        <v>0</v>
      </c>
      <c r="AH34" s="1085"/>
      <c r="AI34" s="67"/>
      <c r="AJ34" s="1035">
        <f t="shared" si="1"/>
        <v>0</v>
      </c>
      <c r="AK34" s="1035"/>
      <c r="AL34" s="1765">
        <f t="shared" ref="AL34:AL39" si="3">ROUND(IF(AG34=0,0,AJ34/ABS(AG34)),3)</f>
        <v>0</v>
      </c>
    </row>
    <row r="35" spans="1:38" s="898" customFormat="1" ht="15" customHeight="1">
      <c r="A35" s="1082"/>
      <c r="B35" s="903" t="s">
        <v>1081</v>
      </c>
      <c r="C35" s="107"/>
      <c r="D35" s="693">
        <v>0</v>
      </c>
      <c r="E35" s="825"/>
      <c r="F35" s="693">
        <v>0</v>
      </c>
      <c r="G35" s="825"/>
      <c r="H35" s="693">
        <v>0</v>
      </c>
      <c r="I35" s="825"/>
      <c r="J35" s="693">
        <v>0</v>
      </c>
      <c r="K35" s="1572"/>
      <c r="L35" s="693">
        <v>0</v>
      </c>
      <c r="M35" s="1572"/>
      <c r="N35" s="693">
        <v>0</v>
      </c>
      <c r="O35" s="1572"/>
      <c r="P35" s="1830">
        <v>0</v>
      </c>
      <c r="Q35" s="2043"/>
      <c r="R35" s="1830">
        <v>0</v>
      </c>
      <c r="S35" s="2043"/>
      <c r="T35" s="1830">
        <v>0</v>
      </c>
      <c r="U35" s="2043"/>
      <c r="V35" s="1830">
        <v>0</v>
      </c>
      <c r="W35" s="2043"/>
      <c r="X35" s="1830">
        <f t="shared" si="0"/>
        <v>0</v>
      </c>
      <c r="Y35" s="2043"/>
      <c r="Z35" s="1830"/>
      <c r="AA35" s="2044"/>
      <c r="AB35" s="2045"/>
      <c r="AC35" s="2046"/>
      <c r="AD35" s="1830">
        <v>0</v>
      </c>
      <c r="AE35" s="2045"/>
      <c r="AF35" s="2047"/>
      <c r="AG35" s="1830">
        <v>0</v>
      </c>
      <c r="AH35" s="1085"/>
      <c r="AI35" s="67"/>
      <c r="AJ35" s="1035">
        <f t="shared" si="1"/>
        <v>0</v>
      </c>
      <c r="AK35" s="1035"/>
      <c r="AL35" s="1765">
        <f t="shared" si="3"/>
        <v>0</v>
      </c>
    </row>
    <row r="36" spans="1:38" s="898" customFormat="1" ht="15" customHeight="1">
      <c r="A36" s="1082"/>
      <c r="B36" s="903" t="s">
        <v>1082</v>
      </c>
      <c r="C36" s="107"/>
      <c r="D36" s="693">
        <v>0</v>
      </c>
      <c r="E36" s="825"/>
      <c r="F36" s="693">
        <v>0</v>
      </c>
      <c r="G36" s="825"/>
      <c r="H36" s="693">
        <v>0</v>
      </c>
      <c r="I36" s="825"/>
      <c r="J36" s="693">
        <v>0</v>
      </c>
      <c r="K36" s="1572"/>
      <c r="L36" s="693">
        <v>0</v>
      </c>
      <c r="M36" s="1572"/>
      <c r="N36" s="693">
        <v>0</v>
      </c>
      <c r="O36" s="1572"/>
      <c r="P36" s="1830">
        <v>0</v>
      </c>
      <c r="Q36" s="2043"/>
      <c r="R36" s="1830">
        <v>0</v>
      </c>
      <c r="S36" s="2043"/>
      <c r="T36" s="1830">
        <v>0</v>
      </c>
      <c r="U36" s="2043"/>
      <c r="V36" s="1830">
        <v>0</v>
      </c>
      <c r="W36" s="2043"/>
      <c r="X36" s="1830">
        <f t="shared" si="0"/>
        <v>0</v>
      </c>
      <c r="Y36" s="2043"/>
      <c r="Z36" s="1830"/>
      <c r="AA36" s="2044"/>
      <c r="AB36" s="2045"/>
      <c r="AC36" s="2046"/>
      <c r="AD36" s="1830">
        <v>0</v>
      </c>
      <c r="AE36" s="2045"/>
      <c r="AF36" s="2047"/>
      <c r="AG36" s="1830">
        <v>0</v>
      </c>
      <c r="AH36" s="1085"/>
      <c r="AI36" s="67"/>
      <c r="AJ36" s="1035">
        <f t="shared" si="1"/>
        <v>0</v>
      </c>
      <c r="AK36" s="1035"/>
      <c r="AL36" s="1765">
        <f t="shared" si="3"/>
        <v>0</v>
      </c>
    </row>
    <row r="37" spans="1:38" s="898" customFormat="1" ht="15" customHeight="1">
      <c r="A37" s="1082"/>
      <c r="B37" s="903" t="s">
        <v>1083</v>
      </c>
      <c r="C37" s="107"/>
      <c r="D37" s="693">
        <v>0</v>
      </c>
      <c r="E37" s="825"/>
      <c r="F37" s="693">
        <v>0</v>
      </c>
      <c r="G37" s="825"/>
      <c r="H37" s="693">
        <v>0</v>
      </c>
      <c r="I37" s="825"/>
      <c r="J37" s="693">
        <v>0</v>
      </c>
      <c r="K37" s="1572"/>
      <c r="L37" s="693">
        <v>0</v>
      </c>
      <c r="M37" s="1572"/>
      <c r="N37" s="693">
        <v>0</v>
      </c>
      <c r="O37" s="1572"/>
      <c r="P37" s="1830">
        <v>0</v>
      </c>
      <c r="Q37" s="2043"/>
      <c r="R37" s="1830">
        <v>0</v>
      </c>
      <c r="S37" s="2043"/>
      <c r="T37" s="1830">
        <v>0</v>
      </c>
      <c r="U37" s="2043"/>
      <c r="V37" s="1830">
        <v>0</v>
      </c>
      <c r="W37" s="2043"/>
      <c r="X37" s="1830">
        <f t="shared" si="0"/>
        <v>0</v>
      </c>
      <c r="Y37" s="2043"/>
      <c r="Z37" s="1830"/>
      <c r="AA37" s="2044"/>
      <c r="AB37" s="2045"/>
      <c r="AC37" s="2046"/>
      <c r="AD37" s="1830">
        <v>0</v>
      </c>
      <c r="AE37" s="2045"/>
      <c r="AF37" s="2047"/>
      <c r="AG37" s="1830">
        <v>0</v>
      </c>
      <c r="AH37" s="1085"/>
      <c r="AI37" s="67"/>
      <c r="AJ37" s="1035">
        <f t="shared" si="1"/>
        <v>0</v>
      </c>
      <c r="AK37" s="1035"/>
      <c r="AL37" s="1765">
        <f t="shared" si="3"/>
        <v>0</v>
      </c>
    </row>
    <row r="38" spans="1:38" s="898" customFormat="1" ht="15" customHeight="1">
      <c r="A38" s="1082"/>
      <c r="B38" s="903" t="s">
        <v>1053</v>
      </c>
      <c r="C38" s="107"/>
      <c r="D38" s="693">
        <v>0</v>
      </c>
      <c r="E38" s="825"/>
      <c r="F38" s="693">
        <v>0</v>
      </c>
      <c r="G38" s="825"/>
      <c r="H38" s="693">
        <v>0</v>
      </c>
      <c r="I38" s="825"/>
      <c r="J38" s="693">
        <v>0</v>
      </c>
      <c r="K38" s="1572"/>
      <c r="L38" s="693">
        <v>0</v>
      </c>
      <c r="M38" s="1572"/>
      <c r="N38" s="693">
        <v>0</v>
      </c>
      <c r="O38" s="1572"/>
      <c r="P38" s="1830">
        <v>0</v>
      </c>
      <c r="Q38" s="2043"/>
      <c r="R38" s="1830">
        <v>0</v>
      </c>
      <c r="S38" s="2043"/>
      <c r="T38" s="1830">
        <v>0</v>
      </c>
      <c r="U38" s="2043"/>
      <c r="V38" s="1830">
        <v>0</v>
      </c>
      <c r="W38" s="2043"/>
      <c r="X38" s="1830">
        <f t="shared" si="0"/>
        <v>0</v>
      </c>
      <c r="Y38" s="2043"/>
      <c r="Z38" s="1830"/>
      <c r="AA38" s="2044"/>
      <c r="AB38" s="2045"/>
      <c r="AC38" s="2046"/>
      <c r="AD38" s="1830">
        <v>0</v>
      </c>
      <c r="AE38" s="2045"/>
      <c r="AF38" s="2047"/>
      <c r="AG38" s="1830">
        <v>0</v>
      </c>
      <c r="AH38" s="1085"/>
      <c r="AI38" s="67"/>
      <c r="AJ38" s="1035">
        <f t="shared" si="1"/>
        <v>0</v>
      </c>
      <c r="AK38" s="1035"/>
      <c r="AL38" s="1765">
        <f t="shared" si="3"/>
        <v>0</v>
      </c>
    </row>
    <row r="39" spans="1:38" s="898" customFormat="1" ht="15" customHeight="1">
      <c r="A39" s="1082"/>
      <c r="B39" s="903" t="s">
        <v>1054</v>
      </c>
      <c r="C39" s="107"/>
      <c r="D39" s="693">
        <v>0</v>
      </c>
      <c r="E39" s="825"/>
      <c r="F39" s="693">
        <v>0</v>
      </c>
      <c r="G39" s="825"/>
      <c r="H39" s="693">
        <v>0</v>
      </c>
      <c r="I39" s="825"/>
      <c r="J39" s="693">
        <v>0</v>
      </c>
      <c r="K39" s="1572"/>
      <c r="L39" s="693">
        <v>0</v>
      </c>
      <c r="M39" s="1572"/>
      <c r="N39" s="693">
        <v>0</v>
      </c>
      <c r="O39" s="1572"/>
      <c r="P39" s="1830">
        <v>0</v>
      </c>
      <c r="Q39" s="2043"/>
      <c r="R39" s="1830">
        <v>0</v>
      </c>
      <c r="S39" s="2043"/>
      <c r="T39" s="1830">
        <v>0</v>
      </c>
      <c r="U39" s="2043"/>
      <c r="V39" s="1830">
        <v>0</v>
      </c>
      <c r="W39" s="2043"/>
      <c r="X39" s="1830">
        <f t="shared" si="0"/>
        <v>0</v>
      </c>
      <c r="Y39" s="2043"/>
      <c r="Z39" s="1830"/>
      <c r="AA39" s="2044"/>
      <c r="AB39" s="2045"/>
      <c r="AC39" s="2046"/>
      <c r="AD39" s="1830">
        <v>0</v>
      </c>
      <c r="AE39" s="2045"/>
      <c r="AF39" s="2047"/>
      <c r="AG39" s="1830">
        <v>0</v>
      </c>
      <c r="AH39" s="1085"/>
      <c r="AI39" s="67"/>
      <c r="AJ39" s="1035">
        <f t="shared" si="1"/>
        <v>0</v>
      </c>
      <c r="AK39" s="1035"/>
      <c r="AL39" s="1765">
        <f t="shared" si="3"/>
        <v>0</v>
      </c>
    </row>
    <row r="40" spans="1:38" s="898" customFormat="1" ht="15" customHeight="1">
      <c r="A40" s="1082"/>
      <c r="B40" s="903" t="s">
        <v>1159</v>
      </c>
      <c r="C40" s="107"/>
      <c r="D40" s="693" t="s">
        <v>15</v>
      </c>
      <c r="E40" s="825"/>
      <c r="F40" s="693"/>
      <c r="G40" s="825"/>
      <c r="H40" s="693"/>
      <c r="I40" s="825"/>
      <c r="J40" s="693"/>
      <c r="K40" s="140"/>
      <c r="L40" s="693"/>
      <c r="M40" s="140"/>
      <c r="N40" s="693"/>
      <c r="O40" s="140"/>
      <c r="P40" s="1830"/>
      <c r="Q40" s="2036"/>
      <c r="R40" s="1830"/>
      <c r="S40" s="2036"/>
      <c r="T40" s="1830"/>
      <c r="U40" s="2036"/>
      <c r="V40" s="1830"/>
      <c r="W40" s="2040"/>
      <c r="X40" s="1830"/>
      <c r="Y40" s="2040"/>
      <c r="Z40" s="1830"/>
      <c r="AA40" s="2039"/>
      <c r="AB40" s="2036"/>
      <c r="AC40" s="2041"/>
      <c r="AD40" s="2040"/>
      <c r="AE40" s="2040"/>
      <c r="AF40" s="2042"/>
      <c r="AG40" s="2040"/>
      <c r="AH40" s="1085"/>
      <c r="AI40" s="67"/>
      <c r="AJ40" s="1035"/>
      <c r="AK40" s="1035"/>
      <c r="AL40" s="1476"/>
    </row>
    <row r="41" spans="1:38" s="898" customFormat="1" ht="15" customHeight="1">
      <c r="A41" s="1082"/>
      <c r="B41" s="903" t="s">
        <v>1084</v>
      </c>
      <c r="C41" s="107"/>
      <c r="D41" s="693">
        <v>0</v>
      </c>
      <c r="E41" s="825"/>
      <c r="F41" s="693">
        <v>0</v>
      </c>
      <c r="G41" s="825"/>
      <c r="H41" s="693">
        <v>0</v>
      </c>
      <c r="I41" s="825"/>
      <c r="J41" s="693">
        <v>0</v>
      </c>
      <c r="K41" s="1572"/>
      <c r="L41" s="693">
        <v>0</v>
      </c>
      <c r="M41" s="1572"/>
      <c r="N41" s="693">
        <v>0</v>
      </c>
      <c r="O41" s="1572"/>
      <c r="P41" s="1830">
        <v>0</v>
      </c>
      <c r="Q41" s="2043"/>
      <c r="R41" s="1830">
        <v>0</v>
      </c>
      <c r="S41" s="2043"/>
      <c r="T41" s="1830">
        <v>0</v>
      </c>
      <c r="U41" s="2043"/>
      <c r="V41" s="1830">
        <v>0</v>
      </c>
      <c r="W41" s="2043"/>
      <c r="X41" s="1830">
        <f t="shared" si="0"/>
        <v>0</v>
      </c>
      <c r="Y41" s="2043"/>
      <c r="Z41" s="1830"/>
      <c r="AA41" s="2044"/>
      <c r="AB41" s="2045"/>
      <c r="AC41" s="2046"/>
      <c r="AD41" s="1830">
        <v>0</v>
      </c>
      <c r="AE41" s="2045"/>
      <c r="AF41" s="2047"/>
      <c r="AG41" s="1830">
        <v>0</v>
      </c>
      <c r="AH41" s="1085"/>
      <c r="AI41" s="67"/>
      <c r="AJ41" s="1035">
        <f t="shared" si="1"/>
        <v>0</v>
      </c>
      <c r="AK41" s="1035"/>
      <c r="AL41" s="1765">
        <f t="shared" ref="AL41:AL48" si="4">ROUND(IF(AG41=0,0,AJ41/ABS(AG41)),3)</f>
        <v>0</v>
      </c>
    </row>
    <row r="42" spans="1:38" s="898" customFormat="1" ht="15" customHeight="1">
      <c r="A42" s="1082"/>
      <c r="B42" s="903" t="s">
        <v>1085</v>
      </c>
      <c r="C42" s="107"/>
      <c r="D42" s="693">
        <v>0</v>
      </c>
      <c r="E42" s="825"/>
      <c r="F42" s="693">
        <v>0</v>
      </c>
      <c r="G42" s="825"/>
      <c r="H42" s="693">
        <v>0</v>
      </c>
      <c r="I42" s="825"/>
      <c r="J42" s="693">
        <v>0</v>
      </c>
      <c r="K42" s="1572"/>
      <c r="L42" s="693">
        <v>0</v>
      </c>
      <c r="M42" s="1572"/>
      <c r="N42" s="693">
        <v>0</v>
      </c>
      <c r="O42" s="1572"/>
      <c r="P42" s="1830">
        <v>0</v>
      </c>
      <c r="Q42" s="2043"/>
      <c r="R42" s="1830">
        <v>0</v>
      </c>
      <c r="S42" s="2043"/>
      <c r="T42" s="1830">
        <v>0</v>
      </c>
      <c r="U42" s="2043"/>
      <c r="V42" s="1830">
        <v>0</v>
      </c>
      <c r="W42" s="2043"/>
      <c r="X42" s="1830">
        <f t="shared" si="0"/>
        <v>0</v>
      </c>
      <c r="Y42" s="2043"/>
      <c r="Z42" s="1830"/>
      <c r="AA42" s="2044"/>
      <c r="AB42" s="2045"/>
      <c r="AC42" s="2046"/>
      <c r="AD42" s="1830">
        <v>0</v>
      </c>
      <c r="AE42" s="2045"/>
      <c r="AF42" s="2047"/>
      <c r="AG42" s="1830">
        <v>0</v>
      </c>
      <c r="AH42" s="1085"/>
      <c r="AI42" s="67"/>
      <c r="AJ42" s="1035">
        <f t="shared" si="1"/>
        <v>0</v>
      </c>
      <c r="AK42" s="1035"/>
      <c r="AL42" s="1765">
        <f t="shared" si="4"/>
        <v>0</v>
      </c>
    </row>
    <row r="43" spans="1:38" s="898" customFormat="1" ht="15" customHeight="1">
      <c r="A43" s="1082"/>
      <c r="B43" s="903" t="s">
        <v>1086</v>
      </c>
      <c r="C43" s="107"/>
      <c r="D43" s="693">
        <v>0</v>
      </c>
      <c r="E43" s="825"/>
      <c r="F43" s="693">
        <v>0</v>
      </c>
      <c r="G43" s="825"/>
      <c r="H43" s="693">
        <v>0</v>
      </c>
      <c r="I43" s="825"/>
      <c r="J43" s="693">
        <v>0</v>
      </c>
      <c r="K43" s="1572"/>
      <c r="L43" s="693">
        <v>0</v>
      </c>
      <c r="M43" s="1572"/>
      <c r="N43" s="693">
        <v>0</v>
      </c>
      <c r="O43" s="1572"/>
      <c r="P43" s="1830">
        <v>0</v>
      </c>
      <c r="Q43" s="2043"/>
      <c r="R43" s="1830">
        <v>0</v>
      </c>
      <c r="S43" s="2043"/>
      <c r="T43" s="1830">
        <v>0</v>
      </c>
      <c r="U43" s="2043"/>
      <c r="V43" s="1830">
        <v>0</v>
      </c>
      <c r="W43" s="2043"/>
      <c r="X43" s="1830">
        <f t="shared" si="0"/>
        <v>0</v>
      </c>
      <c r="Y43" s="2043"/>
      <c r="Z43" s="1830"/>
      <c r="AA43" s="2044"/>
      <c r="AB43" s="2045"/>
      <c r="AC43" s="2046"/>
      <c r="AD43" s="1830">
        <v>0</v>
      </c>
      <c r="AE43" s="2045"/>
      <c r="AF43" s="2047"/>
      <c r="AG43" s="1830">
        <v>0</v>
      </c>
      <c r="AH43" s="1085"/>
      <c r="AI43" s="67"/>
      <c r="AJ43" s="1035">
        <f t="shared" si="1"/>
        <v>0</v>
      </c>
      <c r="AK43" s="1035"/>
      <c r="AL43" s="1765">
        <f t="shared" si="4"/>
        <v>0</v>
      </c>
    </row>
    <row r="44" spans="1:38" s="898" customFormat="1" ht="15" customHeight="1">
      <c r="A44" s="1082"/>
      <c r="B44" s="903" t="s">
        <v>1087</v>
      </c>
      <c r="C44" s="107"/>
      <c r="D44" s="693">
        <v>0</v>
      </c>
      <c r="E44" s="825"/>
      <c r="F44" s="693">
        <v>0</v>
      </c>
      <c r="G44" s="825"/>
      <c r="H44" s="693">
        <v>0</v>
      </c>
      <c r="I44" s="825"/>
      <c r="J44" s="693">
        <v>0</v>
      </c>
      <c r="K44" s="1572"/>
      <c r="L44" s="693">
        <v>0</v>
      </c>
      <c r="M44" s="1572"/>
      <c r="N44" s="693">
        <v>0</v>
      </c>
      <c r="O44" s="1572"/>
      <c r="P44" s="1830">
        <v>0</v>
      </c>
      <c r="Q44" s="2043"/>
      <c r="R44" s="1830">
        <v>0</v>
      </c>
      <c r="S44" s="2043"/>
      <c r="T44" s="1830">
        <v>0</v>
      </c>
      <c r="U44" s="2043"/>
      <c r="V44" s="1830">
        <v>0</v>
      </c>
      <c r="W44" s="2043"/>
      <c r="X44" s="1830">
        <f t="shared" si="0"/>
        <v>0</v>
      </c>
      <c r="Y44" s="2043"/>
      <c r="Z44" s="1830"/>
      <c r="AA44" s="2044"/>
      <c r="AB44" s="2045"/>
      <c r="AC44" s="2046"/>
      <c r="AD44" s="1830">
        <v>0</v>
      </c>
      <c r="AE44" s="2045"/>
      <c r="AF44" s="2047"/>
      <c r="AG44" s="1830">
        <v>0</v>
      </c>
      <c r="AH44" s="1085"/>
      <c r="AI44" s="67"/>
      <c r="AJ44" s="1035">
        <f t="shared" si="1"/>
        <v>0</v>
      </c>
      <c r="AK44" s="1035"/>
      <c r="AL44" s="1765">
        <f t="shared" si="4"/>
        <v>0</v>
      </c>
    </row>
    <row r="45" spans="1:38" s="898" customFormat="1" ht="15" customHeight="1">
      <c r="A45" s="1082"/>
      <c r="B45" s="903" t="s">
        <v>1088</v>
      </c>
      <c r="C45" s="107"/>
      <c r="D45" s="693">
        <v>0</v>
      </c>
      <c r="E45" s="825"/>
      <c r="F45" s="693">
        <v>0</v>
      </c>
      <c r="G45" s="825"/>
      <c r="H45" s="693">
        <v>0</v>
      </c>
      <c r="I45" s="825"/>
      <c r="J45" s="693">
        <v>0</v>
      </c>
      <c r="K45" s="1572"/>
      <c r="L45" s="693">
        <v>0</v>
      </c>
      <c r="M45" s="1572"/>
      <c r="N45" s="693">
        <v>0</v>
      </c>
      <c r="O45" s="1572"/>
      <c r="P45" s="1830">
        <v>0</v>
      </c>
      <c r="Q45" s="2043"/>
      <c r="R45" s="1830">
        <v>0</v>
      </c>
      <c r="S45" s="2043"/>
      <c r="T45" s="1830">
        <v>0</v>
      </c>
      <c r="U45" s="2043"/>
      <c r="V45" s="1830">
        <v>0</v>
      </c>
      <c r="W45" s="2043"/>
      <c r="X45" s="1830">
        <f t="shared" si="0"/>
        <v>0</v>
      </c>
      <c r="Y45" s="2043"/>
      <c r="Z45" s="1830"/>
      <c r="AA45" s="2044"/>
      <c r="AB45" s="2045"/>
      <c r="AC45" s="2046"/>
      <c r="AD45" s="1830">
        <v>0</v>
      </c>
      <c r="AE45" s="2045"/>
      <c r="AF45" s="2047"/>
      <c r="AG45" s="1830">
        <v>0</v>
      </c>
      <c r="AH45" s="1085"/>
      <c r="AI45" s="67"/>
      <c r="AJ45" s="1035">
        <f t="shared" si="1"/>
        <v>0</v>
      </c>
      <c r="AK45" s="1035"/>
      <c r="AL45" s="1765">
        <f t="shared" si="4"/>
        <v>0</v>
      </c>
    </row>
    <row r="46" spans="1:38" s="898" customFormat="1" ht="15" customHeight="1">
      <c r="A46" s="1082"/>
      <c r="B46" s="903" t="s">
        <v>1089</v>
      </c>
      <c r="C46" s="107"/>
      <c r="D46" s="693">
        <v>7.7</v>
      </c>
      <c r="E46" s="825"/>
      <c r="F46" s="693">
        <v>8.6999999999999993</v>
      </c>
      <c r="G46" s="825"/>
      <c r="H46" s="693">
        <v>8.5</v>
      </c>
      <c r="I46" s="825"/>
      <c r="J46" s="693">
        <v>8.7000000000000028</v>
      </c>
      <c r="K46" s="1572"/>
      <c r="L46" s="693">
        <v>8.0999999999999979</v>
      </c>
      <c r="M46" s="1572"/>
      <c r="N46" s="693">
        <v>8.2999999999999936</v>
      </c>
      <c r="O46" s="1572"/>
      <c r="P46" s="1830">
        <v>8.1000000000000085</v>
      </c>
      <c r="Q46" s="2043"/>
      <c r="R46" s="1830">
        <v>8.0999999999999943</v>
      </c>
      <c r="S46" s="2043"/>
      <c r="T46" s="1830">
        <v>8.3000000000000007</v>
      </c>
      <c r="U46" s="2043"/>
      <c r="V46" s="1830">
        <v>7.9999999999999964</v>
      </c>
      <c r="W46" s="2043"/>
      <c r="X46" s="1830">
        <f t="shared" si="0"/>
        <v>8.2000000000000028</v>
      </c>
      <c r="Y46" s="2043"/>
      <c r="Z46" s="1830"/>
      <c r="AA46" s="2044"/>
      <c r="AB46" s="2045"/>
      <c r="AC46" s="2046"/>
      <c r="AD46" s="1830">
        <v>90.7</v>
      </c>
      <c r="AE46" s="2045"/>
      <c r="AF46" s="2047"/>
      <c r="AG46" s="1830">
        <v>94.5</v>
      </c>
      <c r="AH46" s="1085"/>
      <c r="AI46" s="67"/>
      <c r="AJ46" s="1035">
        <f t="shared" si="1"/>
        <v>-3.8</v>
      </c>
      <c r="AK46" s="1035"/>
      <c r="AL46" s="1765">
        <f t="shared" si="4"/>
        <v>-0.04</v>
      </c>
    </row>
    <row r="47" spans="1:38" ht="15" customHeight="1">
      <c r="A47" s="150"/>
      <c r="B47" s="903" t="s">
        <v>1090</v>
      </c>
      <c r="C47" s="31"/>
      <c r="D47" s="693">
        <v>0</v>
      </c>
      <c r="E47" s="825"/>
      <c r="F47" s="693">
        <v>0</v>
      </c>
      <c r="G47" s="825"/>
      <c r="H47" s="693">
        <v>0</v>
      </c>
      <c r="I47" s="825"/>
      <c r="J47" s="693">
        <v>0</v>
      </c>
      <c r="K47" s="1572"/>
      <c r="L47" s="693">
        <v>0</v>
      </c>
      <c r="M47" s="1572"/>
      <c r="N47" s="693">
        <v>0</v>
      </c>
      <c r="O47" s="1572"/>
      <c r="P47" s="1830">
        <v>0</v>
      </c>
      <c r="Q47" s="2043"/>
      <c r="R47" s="1830">
        <v>0</v>
      </c>
      <c r="S47" s="2043"/>
      <c r="T47" s="1830">
        <v>0</v>
      </c>
      <c r="U47" s="2043"/>
      <c r="V47" s="1830">
        <v>0</v>
      </c>
      <c r="W47" s="2043"/>
      <c r="X47" s="1830">
        <f t="shared" si="0"/>
        <v>0</v>
      </c>
      <c r="Y47" s="2043"/>
      <c r="Z47" s="1830"/>
      <c r="AA47" s="2044"/>
      <c r="AB47" s="2045"/>
      <c r="AC47" s="2046"/>
      <c r="AD47" s="1830">
        <v>0</v>
      </c>
      <c r="AE47" s="2045"/>
      <c r="AF47" s="2047"/>
      <c r="AG47" s="1830">
        <v>0</v>
      </c>
      <c r="AH47" s="276"/>
      <c r="AI47" s="56"/>
      <c r="AJ47" s="954">
        <f t="shared" si="1"/>
        <v>0</v>
      </c>
      <c r="AK47" s="954"/>
      <c r="AL47" s="1466">
        <f t="shared" si="4"/>
        <v>0</v>
      </c>
    </row>
    <row r="48" spans="1:38" ht="15" customHeight="1">
      <c r="A48" s="150"/>
      <c r="B48" s="903" t="s">
        <v>1091</v>
      </c>
      <c r="C48" s="31"/>
      <c r="D48" s="693">
        <v>0</v>
      </c>
      <c r="E48" s="825"/>
      <c r="F48" s="693">
        <v>0</v>
      </c>
      <c r="G48" s="825"/>
      <c r="H48" s="693">
        <v>0</v>
      </c>
      <c r="I48" s="825"/>
      <c r="J48" s="693">
        <v>0</v>
      </c>
      <c r="K48" s="1572"/>
      <c r="L48" s="693">
        <v>0</v>
      </c>
      <c r="M48" s="1572"/>
      <c r="N48" s="693">
        <v>0</v>
      </c>
      <c r="O48" s="1572"/>
      <c r="P48" s="1830">
        <v>0</v>
      </c>
      <c r="Q48" s="2043"/>
      <c r="R48" s="1830">
        <v>0</v>
      </c>
      <c r="S48" s="2043"/>
      <c r="T48" s="1830">
        <v>0</v>
      </c>
      <c r="U48" s="2043"/>
      <c r="V48" s="1830">
        <v>0</v>
      </c>
      <c r="W48" s="2043"/>
      <c r="X48" s="1830">
        <f t="shared" si="0"/>
        <v>0</v>
      </c>
      <c r="Y48" s="2043"/>
      <c r="Z48" s="1830"/>
      <c r="AA48" s="2044"/>
      <c r="AB48" s="2045"/>
      <c r="AC48" s="2046"/>
      <c r="AD48" s="1830">
        <v>0</v>
      </c>
      <c r="AE48" s="2045"/>
      <c r="AF48" s="2047"/>
      <c r="AG48" s="1830">
        <v>0</v>
      </c>
      <c r="AH48" s="276"/>
      <c r="AI48" s="56"/>
      <c r="AJ48" s="954">
        <f t="shared" si="1"/>
        <v>0</v>
      </c>
      <c r="AK48" s="954"/>
      <c r="AL48" s="1466">
        <f t="shared" si="4"/>
        <v>0</v>
      </c>
    </row>
    <row r="49" spans="1:38" s="898" customFormat="1" ht="15" customHeight="1">
      <c r="A49" s="1082"/>
      <c r="B49" s="903" t="s">
        <v>1092</v>
      </c>
      <c r="C49" s="107"/>
      <c r="D49" s="693">
        <v>0.30000000000000004</v>
      </c>
      <c r="E49" s="825"/>
      <c r="F49" s="693">
        <v>0</v>
      </c>
      <c r="G49" s="825"/>
      <c r="H49" s="693">
        <v>0.19999999999999996</v>
      </c>
      <c r="I49" s="825"/>
      <c r="J49" s="693">
        <v>0</v>
      </c>
      <c r="K49" s="1572"/>
      <c r="L49" s="693">
        <v>9.9999999999999978E-2</v>
      </c>
      <c r="M49" s="1572"/>
      <c r="N49" s="693">
        <v>0</v>
      </c>
      <c r="O49" s="1572"/>
      <c r="P49" s="1830">
        <v>9.9999999999999978E-2</v>
      </c>
      <c r="Q49" s="2043"/>
      <c r="R49" s="1830">
        <v>1.1999999999999997</v>
      </c>
      <c r="S49" s="2043"/>
      <c r="T49" s="1830">
        <v>2.8000000000000012</v>
      </c>
      <c r="U49" s="2043"/>
      <c r="V49" s="1830">
        <v>0.20000000000000018</v>
      </c>
      <c r="W49" s="2043"/>
      <c r="X49" s="1830">
        <f t="shared" si="0"/>
        <v>0.69999999999999929</v>
      </c>
      <c r="Y49" s="2043"/>
      <c r="Z49" s="1830"/>
      <c r="AA49" s="2044"/>
      <c r="AB49" s="2045"/>
      <c r="AC49" s="2046"/>
      <c r="AD49" s="1830">
        <v>5.6</v>
      </c>
      <c r="AE49" s="2045"/>
      <c r="AF49" s="2047"/>
      <c r="AG49" s="1830">
        <v>3.1999999999999997</v>
      </c>
      <c r="AH49" s="1085"/>
      <c r="AI49" s="67"/>
      <c r="AJ49" s="1035">
        <f t="shared" si="1"/>
        <v>2.4</v>
      </c>
      <c r="AK49" s="1035"/>
      <c r="AL49" s="1765">
        <f>ROUND(IF(AG49=0,1,AJ49/ABS(AG49)),3)</f>
        <v>0.75</v>
      </c>
    </row>
    <row r="50" spans="1:38" s="898" customFormat="1" ht="15" customHeight="1">
      <c r="A50" s="1082"/>
      <c r="B50" s="903" t="s">
        <v>1064</v>
      </c>
      <c r="C50" s="107"/>
      <c r="D50" s="693">
        <v>0</v>
      </c>
      <c r="E50" s="825"/>
      <c r="F50" s="693">
        <v>0</v>
      </c>
      <c r="G50" s="825"/>
      <c r="H50" s="693">
        <v>0</v>
      </c>
      <c r="I50" s="825"/>
      <c r="J50" s="693">
        <v>0</v>
      </c>
      <c r="K50" s="1572"/>
      <c r="L50" s="693">
        <v>0</v>
      </c>
      <c r="M50" s="1572"/>
      <c r="N50" s="693">
        <v>0</v>
      </c>
      <c r="O50" s="1572"/>
      <c r="P50" s="1830">
        <v>0</v>
      </c>
      <c r="Q50" s="2043"/>
      <c r="R50" s="1830">
        <v>0</v>
      </c>
      <c r="S50" s="2043"/>
      <c r="T50" s="1830">
        <v>0</v>
      </c>
      <c r="U50" s="2043"/>
      <c r="V50" s="1830">
        <v>0.1</v>
      </c>
      <c r="W50" s="2043"/>
      <c r="X50" s="1830">
        <f t="shared" si="0"/>
        <v>0</v>
      </c>
      <c r="Y50" s="2043"/>
      <c r="Z50" s="1830"/>
      <c r="AA50" s="2044"/>
      <c r="AB50" s="2045"/>
      <c r="AC50" s="2046"/>
      <c r="AD50" s="1830">
        <v>0.1</v>
      </c>
      <c r="AE50" s="2045"/>
      <c r="AF50" s="2047"/>
      <c r="AG50" s="1830">
        <v>0.1</v>
      </c>
      <c r="AH50" s="1085"/>
      <c r="AI50" s="67"/>
      <c r="AJ50" s="1035">
        <f t="shared" si="1"/>
        <v>0</v>
      </c>
      <c r="AK50" s="1035"/>
      <c r="AL50" s="1765">
        <f>ROUND(IF(AG50=0,0,AJ50/ABS(AG50)),3)</f>
        <v>0</v>
      </c>
    </row>
    <row r="51" spans="1:38" s="898" customFormat="1" ht="15" customHeight="1">
      <c r="A51" s="1082"/>
      <c r="B51" s="903" t="s">
        <v>1065</v>
      </c>
      <c r="C51" s="107"/>
      <c r="D51" s="693">
        <v>0</v>
      </c>
      <c r="E51" s="825"/>
      <c r="F51" s="693">
        <v>0</v>
      </c>
      <c r="G51" s="825"/>
      <c r="H51" s="693">
        <v>0</v>
      </c>
      <c r="I51" s="825"/>
      <c r="J51" s="693">
        <v>0</v>
      </c>
      <c r="K51" s="1572"/>
      <c r="L51" s="693">
        <v>0</v>
      </c>
      <c r="M51" s="1572"/>
      <c r="N51" s="693">
        <v>0</v>
      </c>
      <c r="O51" s="1572"/>
      <c r="P51" s="1830">
        <v>0</v>
      </c>
      <c r="Q51" s="2043"/>
      <c r="R51" s="1830">
        <v>0</v>
      </c>
      <c r="S51" s="2043"/>
      <c r="T51" s="1830">
        <v>0</v>
      </c>
      <c r="U51" s="2043"/>
      <c r="V51" s="1830">
        <v>0</v>
      </c>
      <c r="W51" s="2043"/>
      <c r="X51" s="1830">
        <f t="shared" si="0"/>
        <v>0</v>
      </c>
      <c r="Y51" s="2043"/>
      <c r="Z51" s="1830"/>
      <c r="AA51" s="2044"/>
      <c r="AB51" s="2045"/>
      <c r="AC51" s="2046"/>
      <c r="AD51" s="1830">
        <v>0</v>
      </c>
      <c r="AE51" s="2045"/>
      <c r="AF51" s="2047"/>
      <c r="AG51" s="1830">
        <v>0</v>
      </c>
      <c r="AH51" s="1085"/>
      <c r="AI51" s="67"/>
      <c r="AJ51" s="1035">
        <f t="shared" si="1"/>
        <v>0</v>
      </c>
      <c r="AK51" s="1035"/>
      <c r="AL51" s="1765">
        <f>ROUND(IF(AG51=0,0,AJ51/ABS(AG51)),3)</f>
        <v>0</v>
      </c>
    </row>
    <row r="52" spans="1:38" s="898" customFormat="1" ht="15" customHeight="1">
      <c r="A52" s="1082"/>
      <c r="B52" s="312" t="s">
        <v>1201</v>
      </c>
      <c r="C52" s="107"/>
      <c r="D52" s="1086">
        <f>ROUND(SUM(D19:D51),1)</f>
        <v>14.7</v>
      </c>
      <c r="E52" s="902"/>
      <c r="F52" s="1086">
        <f>ROUND(SUM(F19:F51),1)</f>
        <v>51.4</v>
      </c>
      <c r="G52" s="902"/>
      <c r="H52" s="1086">
        <f>ROUND(SUM(H19:H51),1)</f>
        <v>11.7</v>
      </c>
      <c r="I52" s="902"/>
      <c r="J52" s="1086">
        <f>ROUND(SUM(J19:J51),1)</f>
        <v>13.9</v>
      </c>
      <c r="K52" s="140"/>
      <c r="L52" s="1086">
        <f>ROUND(SUM(L19:L51),1)</f>
        <v>22.7</v>
      </c>
      <c r="M52" s="140"/>
      <c r="N52" s="1086">
        <f>ROUND(SUM(N19:N51),1)</f>
        <v>11.5</v>
      </c>
      <c r="O52" s="140"/>
      <c r="P52" s="2048">
        <f>ROUND(SUM(P19:P51),1)</f>
        <v>13</v>
      </c>
      <c r="Q52" s="2036"/>
      <c r="R52" s="2048">
        <f>ROUND(SUM(R19:R51),1)</f>
        <v>19.100000000000001</v>
      </c>
      <c r="S52" s="2036"/>
      <c r="T52" s="2048">
        <f>ROUND(SUM(T19:T51),1)</f>
        <v>13.7</v>
      </c>
      <c r="U52" s="2036"/>
      <c r="V52" s="2048">
        <f>ROUND(SUM(V19:V51),1)</f>
        <v>12.6</v>
      </c>
      <c r="W52" s="2040"/>
      <c r="X52" s="2048">
        <f>ROUND(SUM(X19:X51),1)</f>
        <v>18.7</v>
      </c>
      <c r="Y52" s="2040"/>
      <c r="Z52" s="2048">
        <f>ROUND(SUM(Z19:Z51),1)</f>
        <v>0</v>
      </c>
      <c r="AA52" s="2049"/>
      <c r="AB52" s="2036"/>
      <c r="AC52" s="2041"/>
      <c r="AD52" s="2048">
        <f>ROUND(SUM(AD19:AD51),1)</f>
        <v>203</v>
      </c>
      <c r="AE52" s="2040"/>
      <c r="AF52" s="2042"/>
      <c r="AG52" s="2048">
        <f>ROUND(SUM(AG19:AG51),1)</f>
        <v>191.1</v>
      </c>
      <c r="AH52" s="1085"/>
      <c r="AI52" s="67"/>
      <c r="AJ52" s="1086">
        <f>ROUND(SUM(AJ19:AJ51),1)</f>
        <v>11.9</v>
      </c>
      <c r="AK52" s="1035"/>
      <c r="AL52" s="1478">
        <f>ROUND(SUM((AD52-AG52)/ABS(AG52)),3)</f>
        <v>6.2E-2</v>
      </c>
    </row>
    <row r="53" spans="1:38" s="898" customFormat="1" ht="15" customHeight="1">
      <c r="A53" s="1082"/>
      <c r="B53" s="903"/>
      <c r="C53" s="107"/>
      <c r="D53" s="693"/>
      <c r="E53" s="902"/>
      <c r="F53" s="1136"/>
      <c r="G53" s="902"/>
      <c r="H53" s="906"/>
      <c r="I53" s="902"/>
      <c r="J53" s="906"/>
      <c r="K53" s="140"/>
      <c r="L53" s="118"/>
      <c r="M53" s="140"/>
      <c r="N53" s="118"/>
      <c r="O53" s="140"/>
      <c r="P53" s="2035"/>
      <c r="Q53" s="2036"/>
      <c r="R53" s="2037"/>
      <c r="S53" s="2036"/>
      <c r="T53" s="2038"/>
      <c r="U53" s="2036"/>
      <c r="V53" s="2039"/>
      <c r="W53" s="2040"/>
      <c r="X53" s="2039"/>
      <c r="Y53" s="2040"/>
      <c r="Z53" s="2039"/>
      <c r="AA53" s="2039"/>
      <c r="AB53" s="2036"/>
      <c r="AC53" s="2041"/>
      <c r="AD53" s="2040"/>
      <c r="AE53" s="2040"/>
      <c r="AF53" s="2042"/>
      <c r="AG53" s="2040"/>
      <c r="AH53" s="1085"/>
      <c r="AI53" s="67"/>
      <c r="AJ53" s="1035"/>
      <c r="AK53" s="1035"/>
      <c r="AL53" s="1476"/>
    </row>
    <row r="54" spans="1:38" ht="15" customHeight="1">
      <c r="A54" s="150"/>
      <c r="B54" s="281" t="s">
        <v>150</v>
      </c>
      <c r="C54" s="31"/>
      <c r="D54" s="693">
        <v>6203.7</v>
      </c>
      <c r="E54" s="825"/>
      <c r="F54" s="693">
        <v>4816.3</v>
      </c>
      <c r="G54" s="825"/>
      <c r="H54" s="693">
        <v>5672.4999999999991</v>
      </c>
      <c r="I54" s="825"/>
      <c r="J54" s="693">
        <v>3118.0000000000009</v>
      </c>
      <c r="K54" s="1572"/>
      <c r="L54" s="693">
        <v>5855.0999999999976</v>
      </c>
      <c r="M54" s="1572"/>
      <c r="N54" s="693">
        <v>5483.9000000000024</v>
      </c>
      <c r="O54" s="1572"/>
      <c r="P54" s="1830">
        <v>5367.9000000000005</v>
      </c>
      <c r="Q54" s="2043"/>
      <c r="R54" s="1830">
        <v>5209.8</v>
      </c>
      <c r="S54" s="2043"/>
      <c r="T54" s="1830">
        <v>6447.1000000000013</v>
      </c>
      <c r="U54" s="2043"/>
      <c r="V54" s="1830">
        <v>5409.699999999998</v>
      </c>
      <c r="W54" s="2043"/>
      <c r="X54" s="1830">
        <f t="shared" ref="X54" si="5">$AD54-$D54-$F54-$H54-$J54-$L54-$N54-$P54-$R54-$T54-$V54</f>
        <v>4982.9000000000005</v>
      </c>
      <c r="Y54" s="2043"/>
      <c r="Z54" s="1830"/>
      <c r="AA54" s="2044"/>
      <c r="AB54" s="2045"/>
      <c r="AC54" s="2046"/>
      <c r="AD54" s="1830">
        <v>58566.9</v>
      </c>
      <c r="AE54" s="2045"/>
      <c r="AF54" s="2047"/>
      <c r="AG54" s="1830">
        <v>54450.1</v>
      </c>
      <c r="AH54" s="276"/>
      <c r="AI54" s="56"/>
      <c r="AJ54" s="954">
        <f>ROUND(SUM(+AD54-AG54),1)</f>
        <v>4116.8</v>
      </c>
      <c r="AK54" s="954"/>
      <c r="AL54" s="1479">
        <f>ROUND(SUM((AD54-AG54)/ABS(AG54)),3)</f>
        <v>7.5999999999999998E-2</v>
      </c>
    </row>
    <row r="55" spans="1:38" ht="15" customHeight="1">
      <c r="A55" s="150"/>
      <c r="B55" s="31"/>
      <c r="C55" s="31"/>
      <c r="D55" s="1883"/>
      <c r="E55" s="825"/>
      <c r="F55" s="1883"/>
      <c r="G55" s="825"/>
      <c r="H55" s="1883"/>
      <c r="I55" s="825"/>
      <c r="J55" s="1883"/>
      <c r="K55" s="165"/>
      <c r="L55" s="168"/>
      <c r="M55" s="165"/>
      <c r="N55" s="168"/>
      <c r="O55" s="165"/>
      <c r="P55" s="1496"/>
      <c r="Q55" s="1491"/>
      <c r="R55" s="1496"/>
      <c r="S55" s="1491"/>
      <c r="T55" s="2050"/>
      <c r="U55" s="1491"/>
      <c r="V55" s="2050"/>
      <c r="W55" s="2051"/>
      <c r="X55" s="2050"/>
      <c r="Y55" s="2051"/>
      <c r="Z55" s="2050"/>
      <c r="AA55" s="2052"/>
      <c r="AB55" s="1491"/>
      <c r="AC55" s="2053"/>
      <c r="AD55" s="2096"/>
      <c r="AE55" s="2021"/>
      <c r="AF55" s="2042"/>
      <c r="AG55" s="2096"/>
      <c r="AH55" s="276"/>
      <c r="AI55" s="56"/>
      <c r="AJ55" s="1436"/>
      <c r="AK55" s="1437"/>
      <c r="AL55" s="1480"/>
    </row>
    <row r="56" spans="1:38" ht="15" customHeight="1">
      <c r="A56" s="150"/>
      <c r="B56" s="29" t="s">
        <v>151</v>
      </c>
      <c r="C56" s="31"/>
      <c r="D56" s="933">
        <f>ROUND(SUM(+D52+D54),2)</f>
        <v>6218.4</v>
      </c>
      <c r="E56" s="207"/>
      <c r="F56" s="933">
        <f>ROUND(SUM(+F52+F54),2)</f>
        <v>4867.7</v>
      </c>
      <c r="G56" s="207"/>
      <c r="H56" s="933">
        <f>ROUND(SUM(+H52+H54),2)</f>
        <v>5684.2</v>
      </c>
      <c r="I56" s="207"/>
      <c r="J56" s="933">
        <f>ROUND(SUM(+J52+J54),2)</f>
        <v>3131.9</v>
      </c>
      <c r="K56" s="207"/>
      <c r="L56" s="933">
        <f>ROUND(SUM(+L52+L54),2)</f>
        <v>5877.8</v>
      </c>
      <c r="M56" s="207"/>
      <c r="N56" s="933">
        <f>ROUND(SUM(+N52+N54),2)</f>
        <v>5495.4</v>
      </c>
      <c r="O56" s="207"/>
      <c r="P56" s="1489">
        <f>ROUND(SUM(+P52+P54),2)</f>
        <v>5380.9</v>
      </c>
      <c r="Q56" s="2055"/>
      <c r="R56" s="1489">
        <f>ROUND(SUM(+R52+R54),2)</f>
        <v>5228.8999999999996</v>
      </c>
      <c r="S56" s="2055"/>
      <c r="T56" s="1489">
        <f>ROUND(SUM(+T52+T54),2)</f>
        <v>6460.8</v>
      </c>
      <c r="U56" s="2055"/>
      <c r="V56" s="1489">
        <f>ROUND(SUM(+V52+V54),2)</f>
        <v>5422.3</v>
      </c>
      <c r="W56" s="1489"/>
      <c r="X56" s="1489">
        <f>ROUND(SUM(+X52+X54),2)</f>
        <v>5001.6000000000004</v>
      </c>
      <c r="Y56" s="1489"/>
      <c r="Z56" s="1489">
        <f>ROUND(SUM(+Z52+Z54),2)</f>
        <v>0</v>
      </c>
      <c r="AA56" s="1489"/>
      <c r="AB56" s="2055"/>
      <c r="AC56" s="2056"/>
      <c r="AD56" s="2095">
        <f>ROUND(SUM(+AD52+AD54),1)</f>
        <v>58769.9</v>
      </c>
      <c r="AE56" s="1490"/>
      <c r="AF56" s="3278"/>
      <c r="AG56" s="2095">
        <f>ROUND(SUM(+AG52+AG54),1)</f>
        <v>54641.2</v>
      </c>
      <c r="AH56" s="283"/>
      <c r="AI56" s="76"/>
      <c r="AJ56" s="839">
        <f>ROUND(SUM(+AJ52+AJ54),1)</f>
        <v>4128.7</v>
      </c>
      <c r="AK56" s="285"/>
      <c r="AL56" s="1481">
        <f>ROUND(SUM((AD56-AG56)/ABS(AG56)),3)</f>
        <v>7.5999999999999998E-2</v>
      </c>
    </row>
    <row r="57" spans="1:38" ht="15" customHeight="1">
      <c r="A57" s="150"/>
      <c r="B57" s="31"/>
      <c r="C57" s="31"/>
      <c r="D57" s="1883"/>
      <c r="E57" s="825"/>
      <c r="F57" s="697"/>
      <c r="G57" s="825"/>
      <c r="H57" s="697"/>
      <c r="I57" s="825"/>
      <c r="J57" s="697"/>
      <c r="K57" s="165"/>
      <c r="L57" s="88"/>
      <c r="M57" s="165"/>
      <c r="N57" s="88"/>
      <c r="O57" s="165"/>
      <c r="P57" s="2050"/>
      <c r="Q57" s="1491"/>
      <c r="R57" s="2050"/>
      <c r="S57" s="1491"/>
      <c r="T57" s="2050"/>
      <c r="U57" s="1491"/>
      <c r="V57" s="2096"/>
      <c r="W57" s="2040"/>
      <c r="X57" s="2096"/>
      <c r="Y57" s="2040"/>
      <c r="Z57" s="2096"/>
      <c r="AA57" s="2021"/>
      <c r="AB57" s="2036"/>
      <c r="AC57" s="2041"/>
      <c r="AD57" s="2220"/>
      <c r="AE57" s="2063"/>
      <c r="AF57" s="3304"/>
      <c r="AG57" s="2220"/>
      <c r="AH57" s="1850"/>
      <c r="AI57" s="1103"/>
      <c r="AJ57" s="1851"/>
      <c r="AK57" s="1851"/>
      <c r="AL57" s="1852"/>
    </row>
    <row r="58" spans="1:38" ht="15" customHeight="1">
      <c r="A58" s="150"/>
      <c r="B58" s="173" t="s">
        <v>23</v>
      </c>
      <c r="C58" s="31"/>
      <c r="D58" s="825"/>
      <c r="E58" s="825"/>
      <c r="F58" s="1566"/>
      <c r="G58" s="825"/>
      <c r="H58" s="1566"/>
      <c r="I58" s="825"/>
      <c r="J58" s="1566"/>
      <c r="K58" s="165"/>
      <c r="L58" s="66"/>
      <c r="M58" s="165"/>
      <c r="N58" s="66"/>
      <c r="O58" s="165"/>
      <c r="P58" s="2051"/>
      <c r="Q58" s="1491"/>
      <c r="R58" s="2051"/>
      <c r="S58" s="1491"/>
      <c r="T58" s="2051"/>
      <c r="U58" s="1491"/>
      <c r="V58" s="2040"/>
      <c r="W58" s="2040"/>
      <c r="X58" s="2040"/>
      <c r="Y58" s="2040"/>
      <c r="Z58" s="2040"/>
      <c r="AA58" s="2040"/>
      <c r="AB58" s="2036"/>
      <c r="AC58" s="2041"/>
      <c r="AD58" s="2036"/>
      <c r="AE58" s="2063"/>
      <c r="AF58" s="3304"/>
      <c r="AG58" s="2036"/>
      <c r="AH58" s="1850"/>
      <c r="AI58" s="1103"/>
      <c r="AJ58" s="1851"/>
      <c r="AK58" s="1851"/>
      <c r="AL58" s="1852"/>
    </row>
    <row r="59" spans="1:38" ht="15" customHeight="1">
      <c r="A59" s="150"/>
      <c r="B59" s="699" t="s">
        <v>152</v>
      </c>
      <c r="C59" s="31"/>
      <c r="D59" s="690"/>
      <c r="E59" s="825"/>
      <c r="F59" s="690"/>
      <c r="G59" s="825"/>
      <c r="H59" s="693"/>
      <c r="I59" s="825"/>
      <c r="J59" s="693"/>
      <c r="K59" s="165"/>
      <c r="L59" s="119"/>
      <c r="M59" s="165"/>
      <c r="N59" s="119"/>
      <c r="O59" s="165"/>
      <c r="P59" s="2059"/>
      <c r="Q59" s="1491"/>
      <c r="R59" s="2060"/>
      <c r="S59" s="1491"/>
      <c r="T59" s="2060"/>
      <c r="U59" s="1491"/>
      <c r="V59" s="2040"/>
      <c r="W59" s="2040"/>
      <c r="X59" s="2040"/>
      <c r="Y59" s="2040"/>
      <c r="Z59" s="2040"/>
      <c r="AA59" s="2040"/>
      <c r="AB59" s="2036"/>
      <c r="AC59" s="2041"/>
      <c r="AD59" s="2036"/>
      <c r="AE59" s="2063"/>
      <c r="AF59" s="3304"/>
      <c r="AG59" s="2036"/>
      <c r="AH59" s="1850"/>
      <c r="AI59" s="1103"/>
      <c r="AJ59" s="1838"/>
      <c r="AK59" s="1851"/>
      <c r="AL59" s="1856"/>
    </row>
    <row r="60" spans="1:38" s="898" customFormat="1" ht="15" customHeight="1">
      <c r="A60" s="1082"/>
      <c r="B60" s="1854" t="s">
        <v>25</v>
      </c>
      <c r="C60" s="107"/>
      <c r="D60" s="693">
        <v>337.5</v>
      </c>
      <c r="E60" s="825"/>
      <c r="F60" s="693">
        <v>590.6</v>
      </c>
      <c r="G60" s="825"/>
      <c r="H60" s="693">
        <v>262.10000000000002</v>
      </c>
      <c r="I60" s="825"/>
      <c r="J60" s="693">
        <v>287.89999999999986</v>
      </c>
      <c r="K60" s="1572"/>
      <c r="L60" s="693">
        <v>232.30000000000018</v>
      </c>
      <c r="M60" s="1572"/>
      <c r="N60" s="693">
        <v>187.39999999999986</v>
      </c>
      <c r="O60" s="1572"/>
      <c r="P60" s="1830">
        <v>206.70000000000016</v>
      </c>
      <c r="Q60" s="2043"/>
      <c r="R60" s="1830">
        <v>229.19999999999993</v>
      </c>
      <c r="S60" s="2043"/>
      <c r="T60" s="1830">
        <v>326</v>
      </c>
      <c r="U60" s="2043"/>
      <c r="V60" s="1830">
        <v>300.10000000000036</v>
      </c>
      <c r="W60" s="2043"/>
      <c r="X60" s="1830">
        <f t="shared" ref="X60:X69" si="6">$AD60-$D60-$F60-$H60-$J60-$L60-$N60-$P60-$R60-$T60-$V60</f>
        <v>257.6999999999997</v>
      </c>
      <c r="Y60" s="2043"/>
      <c r="Z60" s="1830"/>
      <c r="AA60" s="2044"/>
      <c r="AB60" s="2045"/>
      <c r="AC60" s="2046"/>
      <c r="AD60" s="1830">
        <v>3217.5</v>
      </c>
      <c r="AE60" s="2045"/>
      <c r="AF60" s="2047"/>
      <c r="AG60" s="1830">
        <v>3368.2999999999997</v>
      </c>
      <c r="AH60" s="1085"/>
      <c r="AI60" s="67"/>
      <c r="AJ60" s="906">
        <f>ROUND(SUM(+AD60-AG60),1)</f>
        <v>-150.80000000000001</v>
      </c>
      <c r="AK60" s="906"/>
      <c r="AL60" s="1765">
        <f>ROUND(IF(AG60=0,0,AJ60/ABS(AG60)),3)</f>
        <v>-4.4999999999999998E-2</v>
      </c>
    </row>
    <row r="61" spans="1:38" ht="15" customHeight="1">
      <c r="A61" s="150"/>
      <c r="B61" s="179" t="s">
        <v>26</v>
      </c>
      <c r="C61" s="31"/>
      <c r="D61" s="693">
        <v>0.1</v>
      </c>
      <c r="E61" s="825"/>
      <c r="F61" s="693">
        <v>0.1</v>
      </c>
      <c r="G61" s="825"/>
      <c r="H61" s="693">
        <v>0</v>
      </c>
      <c r="I61" s="825"/>
      <c r="J61" s="693">
        <v>0</v>
      </c>
      <c r="K61" s="1572"/>
      <c r="L61" s="693">
        <v>9.9999999999999978E-2</v>
      </c>
      <c r="M61" s="1572"/>
      <c r="N61" s="693">
        <v>0.30000000000000004</v>
      </c>
      <c r="O61" s="1572"/>
      <c r="P61" s="1830">
        <v>9.9999999999999978E-2</v>
      </c>
      <c r="Q61" s="2043"/>
      <c r="R61" s="1830">
        <v>0</v>
      </c>
      <c r="S61" s="2043"/>
      <c r="T61" s="1830">
        <v>0.20000000000000007</v>
      </c>
      <c r="U61" s="2043"/>
      <c r="V61" s="1830">
        <v>0</v>
      </c>
      <c r="W61" s="2043"/>
      <c r="X61" s="1830">
        <f t="shared" si="6"/>
        <v>0.19999999999999984</v>
      </c>
      <c r="Y61" s="2043"/>
      <c r="Z61" s="1830"/>
      <c r="AA61" s="2044"/>
      <c r="AB61" s="2045"/>
      <c r="AC61" s="2046"/>
      <c r="AD61" s="1830">
        <v>1.0999999999999999</v>
      </c>
      <c r="AE61" s="2045"/>
      <c r="AF61" s="2047"/>
      <c r="AG61" s="1830">
        <v>2.2999999999999998</v>
      </c>
      <c r="AH61" s="1085"/>
      <c r="AI61" s="67"/>
      <c r="AJ61" s="906">
        <f>ROUND(SUM(+AD61-AG61),1)</f>
        <v>-1.2</v>
      </c>
      <c r="AK61" s="906"/>
      <c r="AL61" s="1870">
        <f>ROUND(IF(AG61=0,1,AJ61/ABS(AG61)),3)</f>
        <v>-0.52200000000000002</v>
      </c>
    </row>
    <row r="62" spans="1:38" s="898" customFormat="1" ht="15" customHeight="1">
      <c r="A62" s="1082"/>
      <c r="B62" s="1854" t="s">
        <v>27</v>
      </c>
      <c r="C62" s="107"/>
      <c r="D62" s="693">
        <v>2</v>
      </c>
      <c r="E62" s="825"/>
      <c r="F62" s="693">
        <v>3.5</v>
      </c>
      <c r="G62" s="825"/>
      <c r="H62" s="693">
        <v>8.6999999999999993</v>
      </c>
      <c r="I62" s="825"/>
      <c r="J62" s="693">
        <v>1.2000000000000011</v>
      </c>
      <c r="K62" s="1572"/>
      <c r="L62" s="693">
        <v>11.700000000000001</v>
      </c>
      <c r="M62" s="1572"/>
      <c r="N62" s="693">
        <v>2.0999999999999979</v>
      </c>
      <c r="O62" s="1572"/>
      <c r="P62" s="1830">
        <v>2.1000000000000014</v>
      </c>
      <c r="Q62" s="2043"/>
      <c r="R62" s="1830">
        <v>2.4000000000000039</v>
      </c>
      <c r="S62" s="2043"/>
      <c r="T62" s="1830">
        <v>11.799999999999995</v>
      </c>
      <c r="U62" s="2043"/>
      <c r="V62" s="1830">
        <v>1.7999999999999901</v>
      </c>
      <c r="W62" s="2043"/>
      <c r="X62" s="1830">
        <f t="shared" si="6"/>
        <v>2.1000000000000085</v>
      </c>
      <c r="Y62" s="2043"/>
      <c r="Z62" s="1830"/>
      <c r="AA62" s="2044"/>
      <c r="AB62" s="2045"/>
      <c r="AC62" s="2046"/>
      <c r="AD62" s="1830">
        <v>49.4</v>
      </c>
      <c r="AE62" s="2045"/>
      <c r="AF62" s="2047"/>
      <c r="AG62" s="1830">
        <v>59.8</v>
      </c>
      <c r="AH62" s="1085"/>
      <c r="AI62" s="67"/>
      <c r="AJ62" s="906">
        <f>ROUND(SUM(+AD62-AG62),1)</f>
        <v>-10.4</v>
      </c>
      <c r="AK62" s="906"/>
      <c r="AL62" s="1765">
        <f>ROUND(IF(AG62=0,0,AJ62/ABS(AG62)),3)</f>
        <v>-0.17399999999999999</v>
      </c>
    </row>
    <row r="63" spans="1:38" s="898" customFormat="1" ht="15" customHeight="1">
      <c r="A63" s="1082"/>
      <c r="B63" s="1854" t="s">
        <v>28</v>
      </c>
      <c r="C63" s="107"/>
      <c r="D63" s="693" t="s">
        <v>15</v>
      </c>
      <c r="E63" s="825"/>
      <c r="F63" s="693"/>
      <c r="G63" s="825"/>
      <c r="H63" s="693"/>
      <c r="I63" s="825"/>
      <c r="J63" s="693"/>
      <c r="K63" s="1572"/>
      <c r="L63" s="693"/>
      <c r="M63" s="1572"/>
      <c r="N63" s="693"/>
      <c r="O63" s="1572"/>
      <c r="P63" s="1830"/>
      <c r="Q63" s="2043"/>
      <c r="R63" s="1830"/>
      <c r="S63" s="2043"/>
      <c r="T63" s="1830"/>
      <c r="U63" s="2043"/>
      <c r="V63" s="1830"/>
      <c r="W63" s="2043"/>
      <c r="X63" s="1830"/>
      <c r="Y63" s="2043"/>
      <c r="Z63" s="1830"/>
      <c r="AA63" s="2044"/>
      <c r="AB63" s="2045"/>
      <c r="AC63" s="2046"/>
      <c r="AD63" s="1830"/>
      <c r="AE63" s="2045"/>
      <c r="AF63" s="2047"/>
      <c r="AG63" s="1830"/>
      <c r="AH63" s="1085"/>
      <c r="AI63" s="67"/>
      <c r="AJ63" s="693"/>
      <c r="AK63" s="1838"/>
      <c r="AL63" s="1856"/>
    </row>
    <row r="64" spans="1:38" s="898" customFormat="1" ht="15" customHeight="1">
      <c r="A64" s="1082"/>
      <c r="B64" s="1855" t="s">
        <v>29</v>
      </c>
      <c r="C64" s="107"/>
      <c r="D64" s="693">
        <v>3116.5</v>
      </c>
      <c r="E64" s="825"/>
      <c r="F64" s="693">
        <v>3681.2</v>
      </c>
      <c r="G64" s="825"/>
      <c r="H64" s="693">
        <v>3098.7</v>
      </c>
      <c r="I64" s="825"/>
      <c r="J64" s="693">
        <v>3002.7000000000007</v>
      </c>
      <c r="K64" s="1572"/>
      <c r="L64" s="693">
        <v>3746.9999999999973</v>
      </c>
      <c r="M64" s="1572"/>
      <c r="N64" s="693">
        <v>3144.7</v>
      </c>
      <c r="O64" s="1572"/>
      <c r="P64" s="1830">
        <v>3559.6000000000022</v>
      </c>
      <c r="Q64" s="2043"/>
      <c r="R64" s="1830">
        <v>3605.5999999999995</v>
      </c>
      <c r="S64" s="2043"/>
      <c r="T64" s="1830">
        <v>3261.9000000000005</v>
      </c>
      <c r="U64" s="2043"/>
      <c r="V64" s="1830">
        <v>3907.6999999999971</v>
      </c>
      <c r="W64" s="2043"/>
      <c r="X64" s="1830">
        <f t="shared" si="6"/>
        <v>3431.2000000000053</v>
      </c>
      <c r="Y64" s="2043"/>
      <c r="Z64" s="1830"/>
      <c r="AA64" s="2044"/>
      <c r="AB64" s="2045"/>
      <c r="AC64" s="2046"/>
      <c r="AD64" s="1830">
        <v>37556.800000000003</v>
      </c>
      <c r="AE64" s="2045"/>
      <c r="AF64" s="2047"/>
      <c r="AG64" s="1830">
        <v>36130.800000000003</v>
      </c>
      <c r="AH64" s="1085"/>
      <c r="AI64" s="67"/>
      <c r="AJ64" s="906">
        <f t="shared" ref="AJ64:AJ69" si="7">ROUND(SUM(+AD64-AG64),1)</f>
        <v>1426</v>
      </c>
      <c r="AK64" s="906"/>
      <c r="AL64" s="1765">
        <f t="shared" ref="AL64:AL69" si="8">ROUND(IF(AG64=0,0,AJ64/ABS(AG64)),3)</f>
        <v>3.9E-2</v>
      </c>
    </row>
    <row r="65" spans="1:38" s="898" customFormat="1" ht="15" customHeight="1">
      <c r="A65" s="1082"/>
      <c r="B65" s="1854" t="s">
        <v>30</v>
      </c>
      <c r="C65" s="107"/>
      <c r="D65" s="693">
        <v>483.3</v>
      </c>
      <c r="E65" s="825"/>
      <c r="F65" s="693">
        <v>487.8</v>
      </c>
      <c r="G65" s="825"/>
      <c r="H65" s="693">
        <v>700.80000000000018</v>
      </c>
      <c r="I65" s="825"/>
      <c r="J65" s="693">
        <v>465.09999999999991</v>
      </c>
      <c r="K65" s="1572"/>
      <c r="L65" s="693">
        <v>487.79999999999995</v>
      </c>
      <c r="M65" s="1572"/>
      <c r="N65" s="693">
        <v>666.7999999999995</v>
      </c>
      <c r="O65" s="1572"/>
      <c r="P65" s="1830">
        <v>453.30000000000018</v>
      </c>
      <c r="Q65" s="2043"/>
      <c r="R65" s="1830">
        <v>413.79999999999973</v>
      </c>
      <c r="S65" s="2043"/>
      <c r="T65" s="1830">
        <v>621.50000000000023</v>
      </c>
      <c r="U65" s="2043"/>
      <c r="V65" s="1830">
        <v>513.60000000000036</v>
      </c>
      <c r="W65" s="2043"/>
      <c r="X65" s="1830">
        <f t="shared" si="6"/>
        <v>505.00000000000023</v>
      </c>
      <c r="Y65" s="2043"/>
      <c r="Z65" s="1830"/>
      <c r="AA65" s="2044"/>
      <c r="AB65" s="2045"/>
      <c r="AC65" s="2046"/>
      <c r="AD65" s="1830">
        <v>5798.8</v>
      </c>
      <c r="AE65" s="2045"/>
      <c r="AF65" s="2047"/>
      <c r="AG65" s="1830">
        <v>5998.6</v>
      </c>
      <c r="AH65" s="1085"/>
      <c r="AI65" s="67"/>
      <c r="AJ65" s="906">
        <f t="shared" si="7"/>
        <v>-199.8</v>
      </c>
      <c r="AK65" s="906"/>
      <c r="AL65" s="1765">
        <f t="shared" si="8"/>
        <v>-3.3000000000000002E-2</v>
      </c>
    </row>
    <row r="66" spans="1:38" s="898" customFormat="1" ht="15" customHeight="1">
      <c r="A66" s="1082"/>
      <c r="B66" s="1854" t="s">
        <v>31</v>
      </c>
      <c r="C66" s="107"/>
      <c r="D66" s="693">
        <v>116.2</v>
      </c>
      <c r="E66" s="825"/>
      <c r="F66" s="693">
        <v>150.5</v>
      </c>
      <c r="G66" s="825"/>
      <c r="H66" s="693">
        <v>42.699999999999989</v>
      </c>
      <c r="I66" s="825"/>
      <c r="J66" s="693">
        <v>59.800000000000011</v>
      </c>
      <c r="K66" s="1572"/>
      <c r="L66" s="693">
        <v>66.300000000000011</v>
      </c>
      <c r="M66" s="1572"/>
      <c r="N66" s="693">
        <v>49.899999999999977</v>
      </c>
      <c r="O66" s="1572"/>
      <c r="P66" s="1830">
        <v>139.70000000000005</v>
      </c>
      <c r="Q66" s="2043"/>
      <c r="R66" s="1830">
        <v>179.89999999999992</v>
      </c>
      <c r="S66" s="2043"/>
      <c r="T66" s="1830">
        <v>97.100000000000136</v>
      </c>
      <c r="U66" s="2043"/>
      <c r="V66" s="1830">
        <v>214.3</v>
      </c>
      <c r="W66" s="2043"/>
      <c r="X66" s="1830">
        <f t="shared" si="6"/>
        <v>134.09999999999991</v>
      </c>
      <c r="Y66" s="2043"/>
      <c r="Z66" s="1830"/>
      <c r="AA66" s="2044"/>
      <c r="AB66" s="2045"/>
      <c r="AC66" s="2046"/>
      <c r="AD66" s="1830">
        <v>1250.5</v>
      </c>
      <c r="AE66" s="2045"/>
      <c r="AF66" s="2047"/>
      <c r="AG66" s="1830">
        <v>1103.2</v>
      </c>
      <c r="AH66" s="1085"/>
      <c r="AI66" s="67"/>
      <c r="AJ66" s="906">
        <f t="shared" si="7"/>
        <v>147.30000000000001</v>
      </c>
      <c r="AK66" s="906"/>
      <c r="AL66" s="1765">
        <f t="shared" si="8"/>
        <v>0.13400000000000001</v>
      </c>
    </row>
    <row r="67" spans="1:38" s="898" customFormat="1" ht="15" customHeight="1">
      <c r="A67" s="1082"/>
      <c r="B67" s="1854" t="s">
        <v>32</v>
      </c>
      <c r="C67" s="107"/>
      <c r="D67" s="693">
        <v>151.4</v>
      </c>
      <c r="E67" s="825"/>
      <c r="F67" s="693">
        <v>119.20000000000002</v>
      </c>
      <c r="G67" s="825"/>
      <c r="H67" s="693">
        <v>270.69999999999993</v>
      </c>
      <c r="I67" s="825"/>
      <c r="J67" s="693">
        <v>317.90000000000009</v>
      </c>
      <c r="K67" s="1572"/>
      <c r="L67" s="693">
        <v>184.29999999999995</v>
      </c>
      <c r="M67" s="1572"/>
      <c r="N67" s="693">
        <v>493.69999999999993</v>
      </c>
      <c r="O67" s="1572"/>
      <c r="P67" s="1830">
        <v>1063</v>
      </c>
      <c r="Q67" s="2043"/>
      <c r="R67" s="1830">
        <v>513.60000000000036</v>
      </c>
      <c r="S67" s="2043"/>
      <c r="T67" s="1830">
        <v>114.69999999999982</v>
      </c>
      <c r="U67" s="2043"/>
      <c r="V67" s="1830">
        <v>402.80000000000018</v>
      </c>
      <c r="W67" s="2043"/>
      <c r="X67" s="1830">
        <f>$AD67-$D67-$F67-$H67-$J67-$L67-$N67-$P67-$R67-$T67-$V67</f>
        <v>275</v>
      </c>
      <c r="Y67" s="2043"/>
      <c r="Z67" s="1830"/>
      <c r="AA67" s="2044"/>
      <c r="AB67" s="2045"/>
      <c r="AC67" s="2046"/>
      <c r="AD67" s="1830">
        <v>3906.3</v>
      </c>
      <c r="AE67" s="2045"/>
      <c r="AF67" s="2047"/>
      <c r="AG67" s="1830">
        <v>4203</v>
      </c>
      <c r="AH67" s="1085"/>
      <c r="AI67" s="67"/>
      <c r="AJ67" s="906">
        <f t="shared" si="7"/>
        <v>-296.7</v>
      </c>
      <c r="AK67" s="906"/>
      <c r="AL67" s="1765">
        <f t="shared" si="8"/>
        <v>-7.0999999999999994E-2</v>
      </c>
    </row>
    <row r="68" spans="1:38" s="898" customFormat="1" ht="15" customHeight="1">
      <c r="A68" s="1082"/>
      <c r="B68" s="1854" t="s">
        <v>33</v>
      </c>
      <c r="C68" s="107"/>
      <c r="D68" s="693">
        <v>0.3</v>
      </c>
      <c r="E68" s="825"/>
      <c r="F68" s="693">
        <v>1.2</v>
      </c>
      <c r="G68" s="825"/>
      <c r="H68" s="693">
        <v>0.19999999999999996</v>
      </c>
      <c r="I68" s="825"/>
      <c r="J68" s="693">
        <v>0.80000000000000027</v>
      </c>
      <c r="K68" s="1572"/>
      <c r="L68" s="693">
        <v>2.2999999999999994</v>
      </c>
      <c r="M68" s="1572"/>
      <c r="N68" s="693">
        <v>0.79999999999999982</v>
      </c>
      <c r="O68" s="1572"/>
      <c r="P68" s="1830">
        <v>0.40000000000000036</v>
      </c>
      <c r="Q68" s="2043"/>
      <c r="R68" s="1830">
        <v>1.9000000000000008</v>
      </c>
      <c r="S68" s="2043"/>
      <c r="T68" s="1830">
        <v>0</v>
      </c>
      <c r="U68" s="2043"/>
      <c r="V68" s="1830">
        <v>-9.9999999999999645E-2</v>
      </c>
      <c r="W68" s="2043"/>
      <c r="X68" s="1830">
        <f>$AD68-$D68-$F68-$H68-$J68-$L68-$N68-$P68-$R68-$T68-$V68</f>
        <v>0.19999999999999929</v>
      </c>
      <c r="Y68" s="2043"/>
      <c r="Z68" s="1830"/>
      <c r="AA68" s="2044"/>
      <c r="AB68" s="2045"/>
      <c r="AC68" s="2046"/>
      <c r="AD68" s="1831">
        <v>8</v>
      </c>
      <c r="AE68" s="2045"/>
      <c r="AF68" s="2047"/>
      <c r="AG68" s="1830">
        <v>7.9</v>
      </c>
      <c r="AH68" s="1085"/>
      <c r="AI68" s="67"/>
      <c r="AJ68" s="906">
        <f t="shared" si="7"/>
        <v>0.1</v>
      </c>
      <c r="AK68" s="906"/>
      <c r="AL68" s="1765">
        <f>ROUND(IF(AG68=0,1,AJ68/ABS(AG68)),3)</f>
        <v>1.2999999999999999E-2</v>
      </c>
    </row>
    <row r="69" spans="1:38" s="898" customFormat="1" ht="15" customHeight="1">
      <c r="A69" s="1082"/>
      <c r="B69" s="1854" t="s">
        <v>34</v>
      </c>
      <c r="C69" s="107"/>
      <c r="D69" s="693">
        <v>4</v>
      </c>
      <c r="E69" s="825"/>
      <c r="F69" s="693">
        <v>5.8000000000000007</v>
      </c>
      <c r="G69" s="825"/>
      <c r="H69" s="693">
        <v>4.3999999999999986</v>
      </c>
      <c r="I69" s="825"/>
      <c r="J69" s="693">
        <v>4</v>
      </c>
      <c r="K69" s="1572"/>
      <c r="L69" s="693">
        <v>4.5</v>
      </c>
      <c r="M69" s="1572"/>
      <c r="N69" s="693">
        <v>3.3000000000000007</v>
      </c>
      <c r="O69" s="1572"/>
      <c r="P69" s="1830">
        <v>4.1999999999999993</v>
      </c>
      <c r="Q69" s="2043"/>
      <c r="R69" s="1830">
        <v>4.6999999999999993</v>
      </c>
      <c r="S69" s="2043"/>
      <c r="T69" s="1830">
        <v>6.5</v>
      </c>
      <c r="U69" s="2043"/>
      <c r="V69" s="1830">
        <v>8.4000000000000021</v>
      </c>
      <c r="W69" s="2043"/>
      <c r="X69" s="1830">
        <f t="shared" si="6"/>
        <v>6.2999999999999972</v>
      </c>
      <c r="Y69" s="2043"/>
      <c r="Z69" s="1830"/>
      <c r="AA69" s="2044"/>
      <c r="AB69" s="2045"/>
      <c r="AC69" s="2046"/>
      <c r="AD69" s="1830">
        <v>56.1</v>
      </c>
      <c r="AE69" s="2045"/>
      <c r="AF69" s="2047"/>
      <c r="AG69" s="1830">
        <v>50.3</v>
      </c>
      <c r="AH69" s="1085"/>
      <c r="AI69" s="67"/>
      <c r="AJ69" s="906">
        <f t="shared" si="7"/>
        <v>5.8</v>
      </c>
      <c r="AK69" s="1035"/>
      <c r="AL69" s="1853">
        <f t="shared" si="8"/>
        <v>0.115</v>
      </c>
    </row>
    <row r="70" spans="1:38" ht="15" customHeight="1">
      <c r="A70" s="150"/>
      <c r="B70" s="29" t="s">
        <v>1204</v>
      </c>
      <c r="C70" s="31"/>
      <c r="D70" s="296">
        <f>ROUND(SUM(D60:D69),2)</f>
        <v>4211.3</v>
      </c>
      <c r="E70" s="207"/>
      <c r="F70" s="296">
        <f>ROUND(SUM(F60:F69),2)</f>
        <v>5039.8999999999996</v>
      </c>
      <c r="G70" s="166"/>
      <c r="H70" s="296">
        <f>ROUND(SUM(H60:H69),2)</f>
        <v>4388.3</v>
      </c>
      <c r="I70" s="207"/>
      <c r="J70" s="296">
        <f>ROUND(SUM(J60:J69),2)</f>
        <v>4139.3999999999996</v>
      </c>
      <c r="K70" s="207"/>
      <c r="L70" s="296">
        <f>ROUND(SUM(L60:L69),2)</f>
        <v>4736.3</v>
      </c>
      <c r="M70" s="207"/>
      <c r="N70" s="296">
        <f>ROUND(SUM(N60:N69),2)</f>
        <v>4549</v>
      </c>
      <c r="O70" s="207"/>
      <c r="P70" s="2061">
        <f>ROUND(SUM(P60:P69),2)</f>
        <v>5429.1</v>
      </c>
      <c r="Q70" s="2055"/>
      <c r="R70" s="2061">
        <f>ROUND(SUM(R60:R69),2)</f>
        <v>4951.1000000000004</v>
      </c>
      <c r="S70" s="2055"/>
      <c r="T70" s="2061">
        <f>ROUND(SUM(T60:T69),2)</f>
        <v>4439.7</v>
      </c>
      <c r="U70" s="2055"/>
      <c r="V70" s="2221">
        <f>ROUND(SUM(V60:V69),2)</f>
        <v>5348.6</v>
      </c>
      <c r="W70" s="2095"/>
      <c r="X70" s="2221">
        <f>ROUND(SUM(X60:X69),2)</f>
        <v>4611.8</v>
      </c>
      <c r="Y70" s="2095"/>
      <c r="Z70" s="2221">
        <f>ROUND(SUM(Z60:Z69),2)</f>
        <v>0</v>
      </c>
      <c r="AA70" s="1490"/>
      <c r="AB70" s="2222"/>
      <c r="AC70" s="2223"/>
      <c r="AD70" s="2062">
        <f>ROUND(SUM(AD60:AD69),1)</f>
        <v>51844.5</v>
      </c>
      <c r="AE70" s="1490"/>
      <c r="AF70" s="3278"/>
      <c r="AG70" s="2062">
        <f>ROUND(SUM(AG60:AG69),1)</f>
        <v>50924.2</v>
      </c>
      <c r="AH70" s="1858"/>
      <c r="AI70" s="115"/>
      <c r="AJ70" s="111">
        <f>ROUND(SUM(AD70-AG70),1)</f>
        <v>920.3</v>
      </c>
      <c r="AK70" s="2224"/>
      <c r="AL70" s="2225">
        <f>ROUND(SUM((AD70-AG70)/ABS(AG70)),3)</f>
        <v>1.7999999999999999E-2</v>
      </c>
    </row>
    <row r="71" spans="1:38" s="898" customFormat="1" ht="15" customHeight="1">
      <c r="A71" s="1082"/>
      <c r="B71" s="107" t="s">
        <v>153</v>
      </c>
      <c r="C71" s="107"/>
      <c r="D71" s="825"/>
      <c r="E71" s="825"/>
      <c r="F71" s="1566"/>
      <c r="G71" s="825"/>
      <c r="H71" s="1566"/>
      <c r="I71" s="825"/>
      <c r="J71" s="1566"/>
      <c r="K71" s="140"/>
      <c r="L71" s="118"/>
      <c r="M71" s="140"/>
      <c r="N71" s="118"/>
      <c r="O71" s="140"/>
      <c r="P71" s="2040"/>
      <c r="Q71" s="2036"/>
      <c r="R71" s="2040"/>
      <c r="S71" s="2036"/>
      <c r="T71" s="2040"/>
      <c r="U71" s="2036"/>
      <c r="V71" s="2040"/>
      <c r="W71" s="2040"/>
      <c r="X71" s="2040"/>
      <c r="Y71" s="2040"/>
      <c r="Z71" s="2040"/>
      <c r="AA71" s="2040"/>
      <c r="AB71" s="2036"/>
      <c r="AC71" s="2041"/>
      <c r="AD71" s="2036"/>
      <c r="AE71" s="2063"/>
      <c r="AF71" s="3304"/>
      <c r="AG71" s="2036"/>
      <c r="AH71" s="1850"/>
      <c r="AI71" s="1103"/>
      <c r="AJ71" s="1851"/>
      <c r="AK71" s="1851"/>
      <c r="AL71" s="1852"/>
    </row>
    <row r="72" spans="1:38" s="898" customFormat="1" ht="15" customHeight="1">
      <c r="A72" s="1082"/>
      <c r="B72" s="107" t="s">
        <v>154</v>
      </c>
      <c r="C72" s="107"/>
      <c r="D72" s="693">
        <v>49.3</v>
      </c>
      <c r="E72" s="825"/>
      <c r="F72" s="693">
        <v>65.8</v>
      </c>
      <c r="G72" s="825"/>
      <c r="H72" s="693">
        <v>55.099999999999994</v>
      </c>
      <c r="I72" s="825"/>
      <c r="J72" s="693">
        <v>44.3</v>
      </c>
      <c r="K72" s="1572"/>
      <c r="L72" s="693">
        <v>47.700000000000031</v>
      </c>
      <c r="M72" s="1572"/>
      <c r="N72" s="693">
        <v>50.899999999999977</v>
      </c>
      <c r="O72" s="1572"/>
      <c r="P72" s="1830">
        <v>75.799999999999969</v>
      </c>
      <c r="Q72" s="2043"/>
      <c r="R72" s="1830">
        <v>46.699999999999974</v>
      </c>
      <c r="S72" s="2043"/>
      <c r="T72" s="1830">
        <v>52.899999999999977</v>
      </c>
      <c r="U72" s="2043"/>
      <c r="V72" s="1830">
        <v>48.600000000000037</v>
      </c>
      <c r="W72" s="2043"/>
      <c r="X72" s="1830">
        <f t="shared" ref="X72:X75" si="9">$AD72-$D72-$F72-$H72-$J72-$L72-$N72-$P72-$R72-$T72-$V72</f>
        <v>50.800000000000054</v>
      </c>
      <c r="Y72" s="2043"/>
      <c r="Z72" s="1830"/>
      <c r="AA72" s="2044"/>
      <c r="AB72" s="2045"/>
      <c r="AC72" s="2046"/>
      <c r="AD72" s="1830">
        <v>587.9</v>
      </c>
      <c r="AE72" s="2045"/>
      <c r="AF72" s="2047"/>
      <c r="AG72" s="1830">
        <v>587</v>
      </c>
      <c r="AH72" s="1085"/>
      <c r="AI72" s="67"/>
      <c r="AJ72" s="906">
        <f>ROUND(SUM(+AD72-AG72),1)</f>
        <v>0.9</v>
      </c>
      <c r="AK72" s="906"/>
      <c r="AL72" s="1765">
        <f>ROUND(IF(AG72=0,0,AJ72/ABS(AG72)),3)</f>
        <v>2E-3</v>
      </c>
    </row>
    <row r="73" spans="1:38" s="898" customFormat="1" ht="15" customHeight="1">
      <c r="A73" s="1082"/>
      <c r="B73" s="107" t="s">
        <v>180</v>
      </c>
      <c r="C73" s="107"/>
      <c r="D73" s="693">
        <v>70.099999999999994</v>
      </c>
      <c r="E73" s="825"/>
      <c r="F73" s="693">
        <v>76.300000000000011</v>
      </c>
      <c r="G73" s="825"/>
      <c r="H73" s="693">
        <v>96.4</v>
      </c>
      <c r="I73" s="825"/>
      <c r="J73" s="693">
        <v>81.599999999999966</v>
      </c>
      <c r="K73" s="1572"/>
      <c r="L73" s="693">
        <v>105.49999999999997</v>
      </c>
      <c r="M73" s="1572"/>
      <c r="N73" s="693">
        <v>186.40000000000006</v>
      </c>
      <c r="O73" s="1572"/>
      <c r="P73" s="1830">
        <v>133.10000000000005</v>
      </c>
      <c r="Q73" s="2043"/>
      <c r="R73" s="1830">
        <v>82.799999999999955</v>
      </c>
      <c r="S73" s="2043"/>
      <c r="T73" s="1830">
        <v>125.49999999999986</v>
      </c>
      <c r="U73" s="2043"/>
      <c r="V73" s="1830">
        <v>142.90000000000012</v>
      </c>
      <c r="W73" s="2043"/>
      <c r="X73" s="1830">
        <f t="shared" si="9"/>
        <v>150.99999999999997</v>
      </c>
      <c r="Y73" s="2043"/>
      <c r="Z73" s="1830"/>
      <c r="AA73" s="2044"/>
      <c r="AB73" s="2045"/>
      <c r="AC73" s="2046"/>
      <c r="AD73" s="1830">
        <v>1251.5999999999999</v>
      </c>
      <c r="AE73" s="2045"/>
      <c r="AF73" s="2047"/>
      <c r="AG73" s="1830">
        <v>1221.5</v>
      </c>
      <c r="AH73" s="1085"/>
      <c r="AI73" s="67"/>
      <c r="AJ73" s="906">
        <f>ROUND(SUM(+AD73-AG73),1)</f>
        <v>30.1</v>
      </c>
      <c r="AK73" s="906"/>
      <c r="AL73" s="1765">
        <f>ROUND(IF(AG73=0,0,AJ73/ABS(AG73)),3)</f>
        <v>2.5000000000000001E-2</v>
      </c>
    </row>
    <row r="74" spans="1:38" s="898" customFormat="1" ht="15" customHeight="1">
      <c r="A74" s="1082"/>
      <c r="B74" s="107" t="s">
        <v>156</v>
      </c>
      <c r="C74" s="107"/>
      <c r="D74" s="693">
        <v>21.4</v>
      </c>
      <c r="E74" s="825"/>
      <c r="F74" s="693">
        <v>24.1</v>
      </c>
      <c r="G74" s="825"/>
      <c r="H74" s="693">
        <v>34</v>
      </c>
      <c r="I74" s="825"/>
      <c r="J74" s="693">
        <v>35.599999999999994</v>
      </c>
      <c r="K74" s="1572"/>
      <c r="L74" s="693">
        <v>24.5</v>
      </c>
      <c r="M74" s="1572"/>
      <c r="N74" s="693">
        <v>24.5</v>
      </c>
      <c r="O74" s="1572"/>
      <c r="P74" s="1830">
        <v>26</v>
      </c>
      <c r="Q74" s="2043"/>
      <c r="R74" s="1830">
        <v>26.200000000000017</v>
      </c>
      <c r="S74" s="2043"/>
      <c r="T74" s="1830">
        <v>25.5</v>
      </c>
      <c r="U74" s="2043"/>
      <c r="V74" s="1830">
        <v>36.700000000000017</v>
      </c>
      <c r="W74" s="2043"/>
      <c r="X74" s="1830">
        <f>$AD74-$D74-$F74-$H74-$J74-$L74-$N74-$P74-$R74-$T74-$V74</f>
        <v>28.999999999999972</v>
      </c>
      <c r="Y74" s="2043"/>
      <c r="Z74" s="1830"/>
      <c r="AA74" s="2044"/>
      <c r="AB74" s="2045"/>
      <c r="AC74" s="2046"/>
      <c r="AD74" s="1830">
        <v>307.5</v>
      </c>
      <c r="AE74" s="2045"/>
      <c r="AF74" s="2047"/>
      <c r="AG74" s="1830">
        <v>393.4</v>
      </c>
      <c r="AH74" s="1085"/>
      <c r="AI74" s="67"/>
      <c r="AJ74" s="906">
        <f>ROUND(SUM(+AD74-AG74),1)</f>
        <v>-85.9</v>
      </c>
      <c r="AK74" s="906"/>
      <c r="AL74" s="1765">
        <f>ROUND(IF(AG74=0,0,AJ74/ABS(AG74)),3)</f>
        <v>-0.218</v>
      </c>
    </row>
    <row r="75" spans="1:38" s="898" customFormat="1" ht="15" customHeight="1">
      <c r="A75" s="1082"/>
      <c r="B75" s="107" t="s">
        <v>181</v>
      </c>
      <c r="C75" s="107"/>
      <c r="D75" s="693">
        <v>0</v>
      </c>
      <c r="E75" s="825"/>
      <c r="F75" s="693">
        <v>0</v>
      </c>
      <c r="G75" s="825"/>
      <c r="H75" s="693">
        <v>0</v>
      </c>
      <c r="I75" s="825"/>
      <c r="J75" s="693">
        <v>0</v>
      </c>
      <c r="K75" s="1572"/>
      <c r="L75" s="693">
        <v>0</v>
      </c>
      <c r="M75" s="1572"/>
      <c r="N75" s="693">
        <v>0</v>
      </c>
      <c r="O75" s="1572"/>
      <c r="P75" s="1830">
        <v>0</v>
      </c>
      <c r="Q75" s="2043"/>
      <c r="R75" s="1830">
        <v>0</v>
      </c>
      <c r="S75" s="2043"/>
      <c r="T75" s="1830">
        <v>0</v>
      </c>
      <c r="U75" s="2043"/>
      <c r="V75" s="1830">
        <v>0</v>
      </c>
      <c r="W75" s="2043"/>
      <c r="X75" s="1830">
        <f t="shared" si="9"/>
        <v>0</v>
      </c>
      <c r="Y75" s="2043"/>
      <c r="Z75" s="1830"/>
      <c r="AA75" s="2044"/>
      <c r="AB75" s="2045"/>
      <c r="AC75" s="2046"/>
      <c r="AD75" s="1830">
        <v>0</v>
      </c>
      <c r="AE75" s="2045"/>
      <c r="AF75" s="2047"/>
      <c r="AG75" s="1830">
        <v>0</v>
      </c>
      <c r="AH75" s="1085"/>
      <c r="AI75" s="67"/>
      <c r="AJ75" s="906">
        <f>ROUND(SUM(+AD75-AG75),1)</f>
        <v>0</v>
      </c>
      <c r="AK75" s="1035"/>
      <c r="AL75" s="1853">
        <f>ROUND(IF(AG75=0,0,AJ75/ABS(AG75)),3)</f>
        <v>0</v>
      </c>
    </row>
    <row r="76" spans="1:38" ht="15" customHeight="1">
      <c r="A76" s="150"/>
      <c r="B76" s="31"/>
      <c r="C76" s="31"/>
      <c r="D76" s="1883"/>
      <c r="E76" s="825"/>
      <c r="F76" s="697"/>
      <c r="G76" s="825"/>
      <c r="H76" s="697"/>
      <c r="I76" s="825"/>
      <c r="J76" s="697"/>
      <c r="K76" s="165"/>
      <c r="L76" s="88"/>
      <c r="M76" s="165"/>
      <c r="N76" s="88"/>
      <c r="O76" s="165"/>
      <c r="P76" s="2050"/>
      <c r="Q76" s="1491"/>
      <c r="R76" s="2050"/>
      <c r="S76" s="1491"/>
      <c r="T76" s="2050"/>
      <c r="U76" s="1491"/>
      <c r="V76" s="2096"/>
      <c r="W76" s="2040"/>
      <c r="X76" s="2096"/>
      <c r="Y76" s="2040"/>
      <c r="Z76" s="2096"/>
      <c r="AA76" s="2021"/>
      <c r="AB76" s="2036"/>
      <c r="AC76" s="2041"/>
      <c r="AD76" s="2096"/>
      <c r="AE76" s="2021"/>
      <c r="AF76" s="2042"/>
      <c r="AG76" s="2096"/>
      <c r="AH76" s="1085"/>
      <c r="AI76" s="67"/>
      <c r="AJ76" s="1053"/>
      <c r="AK76" s="1851"/>
      <c r="AL76" s="1476"/>
    </row>
    <row r="77" spans="1:38" ht="15" customHeight="1">
      <c r="A77" s="150"/>
      <c r="B77" s="29" t="s">
        <v>157</v>
      </c>
      <c r="C77" s="31"/>
      <c r="D77" s="933">
        <f>ROUND(SUM(D70:D75),1)</f>
        <v>4352.1000000000004</v>
      </c>
      <c r="E77" s="207"/>
      <c r="F77" s="933">
        <f>ROUND(SUM(F70:F75),1)</f>
        <v>5206.1000000000004</v>
      </c>
      <c r="G77" s="207"/>
      <c r="H77" s="933">
        <f>ROUND(SUM(H70:H75),1)</f>
        <v>4573.8</v>
      </c>
      <c r="I77" s="207"/>
      <c r="J77" s="933">
        <f>ROUND(SUM(J70:J75),1)</f>
        <v>4300.8999999999996</v>
      </c>
      <c r="K77" s="207"/>
      <c r="L77" s="933">
        <f>ROUND(SUM(L70:L75),1)</f>
        <v>4914</v>
      </c>
      <c r="M77" s="207"/>
      <c r="N77" s="933">
        <f>ROUND(SUM(N70:N75),1)</f>
        <v>4810.8</v>
      </c>
      <c r="O77" s="207"/>
      <c r="P77" s="1489">
        <f>ROUND(SUM(P70:P75),1)</f>
        <v>5664</v>
      </c>
      <c r="Q77" s="2055"/>
      <c r="R77" s="1489">
        <f>ROUND(SUM(R70:R75),1)</f>
        <v>5106.8</v>
      </c>
      <c r="S77" s="2055"/>
      <c r="T77" s="1489">
        <f>ROUND(SUM(T70:T75),1)</f>
        <v>4643.6000000000004</v>
      </c>
      <c r="U77" s="2055"/>
      <c r="V77" s="2095">
        <f>ROUND(SUM(V70:V75),1)</f>
        <v>5576.8</v>
      </c>
      <c r="W77" s="2095"/>
      <c r="X77" s="2095">
        <f>ROUND(SUM(X70:X75),1)</f>
        <v>4842.6000000000004</v>
      </c>
      <c r="Y77" s="2095"/>
      <c r="Z77" s="2095">
        <f>ROUND(SUM(Z70:Z75),1)</f>
        <v>0</v>
      </c>
      <c r="AA77" s="2095"/>
      <c r="AB77" s="2222"/>
      <c r="AC77" s="2223"/>
      <c r="AD77" s="2095">
        <f>ROUND(SUM(AD70:AD75),1)</f>
        <v>53991.5</v>
      </c>
      <c r="AE77" s="1490"/>
      <c r="AF77" s="3278"/>
      <c r="AG77" s="2095">
        <f>ROUND(SUM(AG70:AG75),1)</f>
        <v>53126.1</v>
      </c>
      <c r="AH77" s="1858"/>
      <c r="AI77" s="115"/>
      <c r="AJ77" s="120">
        <f>ROUND(SUM(AD77-AG77),1)</f>
        <v>865.4</v>
      </c>
      <c r="AK77" s="2226"/>
      <c r="AL77" s="2227">
        <f>ROUND(SUM((AD77-AG77)/ABS(AG77)),3)</f>
        <v>1.6E-2</v>
      </c>
    </row>
    <row r="78" spans="1:38" ht="15" customHeight="1">
      <c r="A78" s="150"/>
      <c r="B78" s="31"/>
      <c r="C78" s="31"/>
      <c r="D78" s="1883"/>
      <c r="E78" s="825"/>
      <c r="F78" s="697"/>
      <c r="G78" s="825"/>
      <c r="H78" s="697"/>
      <c r="I78" s="825"/>
      <c r="J78" s="697"/>
      <c r="K78" s="165"/>
      <c r="L78" s="88"/>
      <c r="M78" s="165"/>
      <c r="N78" s="88"/>
      <c r="O78" s="165"/>
      <c r="P78" s="2050"/>
      <c r="Q78" s="1491"/>
      <c r="R78" s="2050"/>
      <c r="S78" s="1491"/>
      <c r="T78" s="2050"/>
      <c r="U78" s="1491"/>
      <c r="V78" s="2096"/>
      <c r="W78" s="2040"/>
      <c r="X78" s="2096"/>
      <c r="Y78" s="2040"/>
      <c r="Z78" s="2096"/>
      <c r="AA78" s="2021"/>
      <c r="AB78" s="2036"/>
      <c r="AC78" s="2041"/>
      <c r="AD78" s="2096"/>
      <c r="AE78" s="2021"/>
      <c r="AF78" s="2042"/>
      <c r="AG78" s="2096"/>
      <c r="AH78" s="1085"/>
      <c r="AI78" s="1101"/>
      <c r="AJ78" s="693"/>
      <c r="AK78" s="1851"/>
      <c r="AL78" s="1852"/>
    </row>
    <row r="79" spans="1:38" ht="15" customHeight="1">
      <c r="A79" s="150"/>
      <c r="B79" s="29" t="s">
        <v>158</v>
      </c>
      <c r="C79" s="31"/>
      <c r="D79" s="825"/>
      <c r="E79" s="825"/>
      <c r="F79" s="1566"/>
      <c r="G79" s="825"/>
      <c r="H79" s="1566"/>
      <c r="I79" s="825"/>
      <c r="J79" s="1566"/>
      <c r="K79" s="165"/>
      <c r="L79" s="66"/>
      <c r="M79" s="165"/>
      <c r="N79" s="66"/>
      <c r="O79" s="165"/>
      <c r="P79" s="2051"/>
      <c r="Q79" s="1491"/>
      <c r="R79" s="2051"/>
      <c r="S79" s="1491"/>
      <c r="T79" s="2051"/>
      <c r="U79" s="1491"/>
      <c r="V79" s="2040"/>
      <c r="W79" s="2040"/>
      <c r="X79" s="2040"/>
      <c r="Y79" s="2040"/>
      <c r="Z79" s="2040"/>
      <c r="AA79" s="2040"/>
      <c r="AB79" s="2036"/>
      <c r="AC79" s="2041"/>
      <c r="AD79" s="2021"/>
      <c r="AE79" s="3301"/>
      <c r="AF79" s="3305"/>
      <c r="AG79" s="2021"/>
      <c r="AH79" s="1085"/>
      <c r="AI79" s="2228"/>
      <c r="AJ79" s="693"/>
      <c r="AK79" s="1851"/>
      <c r="AL79" s="1852"/>
    </row>
    <row r="80" spans="1:38" ht="15" customHeight="1">
      <c r="A80" s="150"/>
      <c r="B80" s="29" t="s">
        <v>45</v>
      </c>
      <c r="C80" s="31"/>
      <c r="D80" s="933">
        <f>ROUND(SUM(D56-D77),1)</f>
        <v>1866.3</v>
      </c>
      <c r="E80" s="207"/>
      <c r="F80" s="933">
        <f>ROUND(SUM(F56-F77),1)</f>
        <v>-338.4</v>
      </c>
      <c r="G80" s="207"/>
      <c r="H80" s="933">
        <f>ROUND(SUM(H56-H77),1)</f>
        <v>1110.4000000000001</v>
      </c>
      <c r="I80" s="207"/>
      <c r="J80" s="933">
        <f>ROUND(SUM(J56-J77),1)</f>
        <v>-1169</v>
      </c>
      <c r="K80" s="207"/>
      <c r="L80" s="933">
        <f>ROUND(SUM(L56-L77),1)</f>
        <v>963.8</v>
      </c>
      <c r="M80" s="207"/>
      <c r="N80" s="933">
        <f>ROUND(SUM(N56-N77),1)</f>
        <v>684.6</v>
      </c>
      <c r="O80" s="207"/>
      <c r="P80" s="1489">
        <f>ROUND(SUM(P56-P77),1)</f>
        <v>-283.10000000000002</v>
      </c>
      <c r="Q80" s="2055"/>
      <c r="R80" s="1489">
        <f>ROUND(SUM(R56-R77),1)</f>
        <v>122.1</v>
      </c>
      <c r="S80" s="2055"/>
      <c r="T80" s="1489">
        <f>ROUND(SUM(T56-T77),1)</f>
        <v>1817.2</v>
      </c>
      <c r="U80" s="2055"/>
      <c r="V80" s="2095">
        <f>ROUND(SUM(V56-V77),1)</f>
        <v>-154.5</v>
      </c>
      <c r="W80" s="2095"/>
      <c r="X80" s="2095">
        <f>ROUND(SUM(X56-X77),1)</f>
        <v>159</v>
      </c>
      <c r="Y80" s="2095"/>
      <c r="Z80" s="2095">
        <f>ROUND(SUM(Z56-Z77),1)</f>
        <v>0</v>
      </c>
      <c r="AA80" s="2095"/>
      <c r="AB80" s="2222"/>
      <c r="AC80" s="2223"/>
      <c r="AD80" s="2095">
        <f>ROUND(SUM(AD56-AD77),1)</f>
        <v>4778.3999999999996</v>
      </c>
      <c r="AE80" s="1490"/>
      <c r="AF80" s="3278"/>
      <c r="AG80" s="2095">
        <f>ROUND(SUM(AG56-AG77),1)</f>
        <v>1515.1</v>
      </c>
      <c r="AH80" s="1858"/>
      <c r="AI80" s="115"/>
      <c r="AJ80" s="120">
        <f>ROUND(SUM(AD80-AG80),1)</f>
        <v>3263.3</v>
      </c>
      <c r="AK80" s="2229"/>
      <c r="AL80" s="3727">
        <f>ROUND(SUM((AD80-AG80)/ABS(AG80)),3)</f>
        <v>2.1539999999999999</v>
      </c>
    </row>
    <row r="81" spans="1:51" ht="15" customHeight="1">
      <c r="A81" s="150"/>
      <c r="B81" s="31"/>
      <c r="C81" s="31"/>
      <c r="D81" s="1883"/>
      <c r="E81" s="825"/>
      <c r="F81" s="697"/>
      <c r="G81" s="825"/>
      <c r="H81" s="697"/>
      <c r="I81" s="825"/>
      <c r="J81" s="697"/>
      <c r="K81" s="165"/>
      <c r="L81" s="88"/>
      <c r="M81" s="165"/>
      <c r="N81" s="88"/>
      <c r="O81" s="165"/>
      <c r="P81" s="2050"/>
      <c r="Q81" s="1491"/>
      <c r="R81" s="2050"/>
      <c r="S81" s="1491"/>
      <c r="T81" s="2050"/>
      <c r="U81" s="1491"/>
      <c r="V81" s="2096"/>
      <c r="W81" s="2040"/>
      <c r="X81" s="2096"/>
      <c r="Y81" s="2040"/>
      <c r="Z81" s="2096"/>
      <c r="AA81" s="2021"/>
      <c r="AB81" s="2036"/>
      <c r="AC81" s="2041"/>
      <c r="AD81" s="2096"/>
      <c r="AE81" s="2021"/>
      <c r="AF81" s="2042"/>
      <c r="AG81" s="2096"/>
      <c r="AH81" s="1085"/>
      <c r="AI81" s="67"/>
      <c r="AJ81" s="693"/>
      <c r="AK81" s="1851"/>
      <c r="AL81" s="1852"/>
    </row>
    <row r="82" spans="1:51" ht="15" customHeight="1">
      <c r="A82" s="150"/>
      <c r="B82" s="29" t="s">
        <v>46</v>
      </c>
      <c r="C82" s="31"/>
      <c r="D82" s="825"/>
      <c r="E82" s="825"/>
      <c r="F82" s="1566"/>
      <c r="G82" s="825"/>
      <c r="H82" s="1566"/>
      <c r="I82" s="825"/>
      <c r="J82" s="1566"/>
      <c r="K82" s="165"/>
      <c r="L82" s="66"/>
      <c r="M82" s="165"/>
      <c r="N82" s="66"/>
      <c r="O82" s="165"/>
      <c r="P82" s="2051"/>
      <c r="Q82" s="1491"/>
      <c r="R82" s="2051"/>
      <c r="S82" s="1491"/>
      <c r="T82" s="2051"/>
      <c r="U82" s="1491"/>
      <c r="V82" s="2040"/>
      <c r="W82" s="2040"/>
      <c r="X82" s="2040"/>
      <c r="Y82" s="2040"/>
      <c r="Z82" s="2040"/>
      <c r="AA82" s="2040"/>
      <c r="AB82" s="2036"/>
      <c r="AC82" s="2041"/>
      <c r="AD82" s="2040"/>
      <c r="AE82" s="2021"/>
      <c r="AF82" s="2042"/>
      <c r="AG82" s="2040"/>
      <c r="AH82" s="1085"/>
      <c r="AI82" s="67"/>
      <c r="AJ82" s="693"/>
      <c r="AK82" s="1851"/>
      <c r="AL82" s="1852"/>
    </row>
    <row r="83" spans="1:51" s="898" customFormat="1" ht="15" customHeight="1">
      <c r="A83" s="1082"/>
      <c r="B83" s="107" t="s">
        <v>182</v>
      </c>
      <c r="C83" s="107"/>
      <c r="D83" s="693">
        <v>0</v>
      </c>
      <c r="E83" s="825"/>
      <c r="F83" s="693">
        <v>0</v>
      </c>
      <c r="G83" s="825"/>
      <c r="H83" s="693">
        <v>0</v>
      </c>
      <c r="I83" s="825"/>
      <c r="J83" s="693">
        <v>0</v>
      </c>
      <c r="K83" s="1572"/>
      <c r="L83" s="693">
        <v>0</v>
      </c>
      <c r="M83" s="1572"/>
      <c r="N83" s="693">
        <v>0</v>
      </c>
      <c r="O83" s="1572"/>
      <c r="P83" s="1830">
        <v>0</v>
      </c>
      <c r="Q83" s="2043"/>
      <c r="R83" s="1830">
        <v>0</v>
      </c>
      <c r="S83" s="2043"/>
      <c r="T83" s="1830">
        <v>0</v>
      </c>
      <c r="U83" s="2043"/>
      <c r="V83" s="1830">
        <v>0</v>
      </c>
      <c r="W83" s="2043"/>
      <c r="X83" s="1830">
        <f>$AD83-$D83-$F83-$H83-$J83-$L83-$N83-$P83-$R83-$T83-$V83</f>
        <v>0</v>
      </c>
      <c r="Y83" s="2043"/>
      <c r="Z83" s="1830"/>
      <c r="AA83" s="2044"/>
      <c r="AB83" s="2045"/>
      <c r="AC83" s="2046"/>
      <c r="AD83" s="1830">
        <v>0</v>
      </c>
      <c r="AE83" s="2045"/>
      <c r="AF83" s="2047"/>
      <c r="AG83" s="1830">
        <v>0</v>
      </c>
      <c r="AH83" s="1085"/>
      <c r="AI83" s="67"/>
      <c r="AJ83" s="1575">
        <f>ROUND(SUM(+AD83-AG83),1)</f>
        <v>0</v>
      </c>
      <c r="AK83" s="1035"/>
      <c r="AL83" s="1765">
        <f>-ROUND(IF(AG83=0,0,AJ83/ABS(AG83)),3)</f>
        <v>0</v>
      </c>
    </row>
    <row r="84" spans="1:51" s="898" customFormat="1" ht="15" customHeight="1">
      <c r="A84" s="1082"/>
      <c r="B84" s="107" t="s">
        <v>183</v>
      </c>
      <c r="C84" s="107"/>
      <c r="D84" s="693">
        <v>-50.2</v>
      </c>
      <c r="E84" s="825"/>
      <c r="F84" s="693">
        <v>-298.5</v>
      </c>
      <c r="G84" s="825"/>
      <c r="H84" s="693">
        <v>-149.80000000000001</v>
      </c>
      <c r="I84" s="825"/>
      <c r="J84" s="693">
        <v>-118.89999999999992</v>
      </c>
      <c r="K84" s="1572"/>
      <c r="L84" s="693">
        <v>-210.70000000000005</v>
      </c>
      <c r="M84" s="1572"/>
      <c r="N84" s="693">
        <v>-76.5</v>
      </c>
      <c r="O84" s="1572"/>
      <c r="P84" s="1830">
        <v>-165.50000000000017</v>
      </c>
      <c r="Q84" s="2043"/>
      <c r="R84" s="1830">
        <v>-99.999999999999829</v>
      </c>
      <c r="S84" s="2043"/>
      <c r="T84" s="1830">
        <v>-351</v>
      </c>
      <c r="U84" s="2043"/>
      <c r="V84" s="1830">
        <v>-284.10000000000014</v>
      </c>
      <c r="W84" s="2043"/>
      <c r="X84" s="1830">
        <f>$AD84-$D84-$F84-$H84-$J84-$L84-$N84-$P84-$R84-$T84-$V84</f>
        <v>-176</v>
      </c>
      <c r="Y84" s="2043"/>
      <c r="Z84" s="1830"/>
      <c r="AA84" s="2044"/>
      <c r="AB84" s="2045"/>
      <c r="AC84" s="2046"/>
      <c r="AD84" s="1830">
        <v>-1981.2</v>
      </c>
      <c r="AE84" s="2045"/>
      <c r="AF84" s="2047"/>
      <c r="AG84" s="3573">
        <v>-1826.5</v>
      </c>
      <c r="AH84" s="1085"/>
      <c r="AI84" s="67"/>
      <c r="AJ84" s="1035">
        <f>ROUND(SUM(+AD84-AG84)*-1,1)</f>
        <v>154.69999999999999</v>
      </c>
      <c r="AK84" s="1035"/>
      <c r="AL84" s="1765">
        <f>ROUND(IF(AG84=0,0,AJ84/ABS(AG84)),3)</f>
        <v>8.5000000000000006E-2</v>
      </c>
    </row>
    <row r="85" spans="1:51" ht="15" customHeight="1">
      <c r="A85" s="150"/>
      <c r="B85" s="31"/>
      <c r="C85" s="31"/>
      <c r="D85" s="168"/>
      <c r="E85" s="165"/>
      <c r="F85" s="88"/>
      <c r="G85" s="165"/>
      <c r="H85" s="88"/>
      <c r="I85" s="165"/>
      <c r="J85" s="88"/>
      <c r="K85" s="165"/>
      <c r="L85" s="3159"/>
      <c r="M85" s="165"/>
      <c r="N85" s="88"/>
      <c r="O85" s="165"/>
      <c r="P85" s="2050"/>
      <c r="Q85" s="1491"/>
      <c r="R85" s="2050"/>
      <c r="S85" s="1491"/>
      <c r="T85" s="2050"/>
      <c r="U85" s="1491"/>
      <c r="V85" s="2096"/>
      <c r="W85" s="2040"/>
      <c r="X85" s="2096"/>
      <c r="Y85" s="2040"/>
      <c r="Z85" s="2096"/>
      <c r="AA85" s="2021"/>
      <c r="AB85" s="2036"/>
      <c r="AC85" s="2041"/>
      <c r="AD85" s="2096"/>
      <c r="AE85" s="2021"/>
      <c r="AF85" s="2042"/>
      <c r="AG85" s="2021"/>
      <c r="AH85" s="1085"/>
      <c r="AI85" s="67"/>
      <c r="AJ85" s="2230"/>
      <c r="AK85" s="1851"/>
      <c r="AL85" s="2231"/>
    </row>
    <row r="86" spans="1:51" ht="15" customHeight="1">
      <c r="A86" s="150"/>
      <c r="B86" s="29" t="s">
        <v>1198</v>
      </c>
      <c r="C86" s="31"/>
      <c r="D86" s="62">
        <f>ROUND(SUM(D83:D85),1)</f>
        <v>-50.2</v>
      </c>
      <c r="E86" s="207"/>
      <c r="F86" s="62">
        <f>ROUND(SUM(F83:F85),1)</f>
        <v>-298.5</v>
      </c>
      <c r="G86" s="207"/>
      <c r="H86" s="62">
        <f>ROUND(SUM(H83:H85),1)</f>
        <v>-149.80000000000001</v>
      </c>
      <c r="I86" s="207"/>
      <c r="J86" s="62">
        <f>ROUND(SUM(J83:J85),1)</f>
        <v>-118.9</v>
      </c>
      <c r="K86" s="207"/>
      <c r="L86" s="933">
        <f>ROUND(SUM(L83:L85),1)</f>
        <v>-210.7</v>
      </c>
      <c r="M86" s="207"/>
      <c r="N86" s="62">
        <f>ROUND(SUM(N83:N85),1)</f>
        <v>-76.5</v>
      </c>
      <c r="O86" s="207"/>
      <c r="P86" s="1489">
        <f>ROUND(SUM(P83:P85),1)</f>
        <v>-165.5</v>
      </c>
      <c r="Q86" s="2055"/>
      <c r="R86" s="1489">
        <f>ROUND(SUM(R83:R85),1)</f>
        <v>-100</v>
      </c>
      <c r="S86" s="2055"/>
      <c r="T86" s="1489">
        <f>ROUND(SUM(T83:T85),1)</f>
        <v>-351</v>
      </c>
      <c r="U86" s="2055"/>
      <c r="V86" s="2095">
        <f>ROUND(SUM(V83:V85),1)</f>
        <v>-284.10000000000002</v>
      </c>
      <c r="W86" s="2095"/>
      <c r="X86" s="2095">
        <f>ROUND(SUM(X83:X85),1)</f>
        <v>-176</v>
      </c>
      <c r="Y86" s="2095"/>
      <c r="Z86" s="2095">
        <f>ROUND(SUM(Z83:Z85),1)</f>
        <v>0</v>
      </c>
      <c r="AA86" s="2095"/>
      <c r="AB86" s="2222"/>
      <c r="AC86" s="2223"/>
      <c r="AD86" s="2095">
        <f>ROUND(SUM(AD83:AD85),1)</f>
        <v>-1981.2</v>
      </c>
      <c r="AE86" s="1490"/>
      <c r="AF86" s="3278"/>
      <c r="AG86" s="2095">
        <f>ROUND(SUM(AG83:AG84),1)</f>
        <v>-1826.5</v>
      </c>
      <c r="AH86" s="1858"/>
      <c r="AI86" s="115"/>
      <c r="AJ86" s="120">
        <f>-ROUND(SUM(AD86-AG86),1)</f>
        <v>154.69999999999999</v>
      </c>
      <c r="AK86" s="2224"/>
      <c r="AL86" s="2227">
        <f>ROUND(SUM((AD86-AG86)/(AG86)),3)</f>
        <v>8.5000000000000006E-2</v>
      </c>
    </row>
    <row r="87" spans="1:51" ht="15" customHeight="1">
      <c r="A87" s="150"/>
      <c r="B87" s="31"/>
      <c r="C87" s="31"/>
      <c r="D87" s="168"/>
      <c r="E87" s="165"/>
      <c r="F87" s="168"/>
      <c r="G87" s="165"/>
      <c r="H87" s="168"/>
      <c r="I87" s="165"/>
      <c r="J87" s="168"/>
      <c r="K87" s="165"/>
      <c r="L87" s="168"/>
      <c r="M87" s="165"/>
      <c r="N87" s="168"/>
      <c r="O87" s="165"/>
      <c r="P87" s="1496"/>
      <c r="Q87" s="1491"/>
      <c r="R87" s="1496"/>
      <c r="S87" s="1491"/>
      <c r="T87" s="1496"/>
      <c r="U87" s="1491"/>
      <c r="V87" s="2096"/>
      <c r="W87" s="2040"/>
      <c r="X87" s="2096"/>
      <c r="Y87" s="2040"/>
      <c r="Z87" s="2096"/>
      <c r="AA87" s="2021"/>
      <c r="AB87" s="2036"/>
      <c r="AC87" s="2041"/>
      <c r="AD87" s="2096"/>
      <c r="AE87" s="2021"/>
      <c r="AF87" s="2042"/>
      <c r="AG87" s="2096"/>
      <c r="AH87" s="1085"/>
      <c r="AI87" s="67"/>
      <c r="AJ87" s="693"/>
      <c r="AK87" s="1851"/>
      <c r="AL87" s="1852"/>
    </row>
    <row r="88" spans="1:51" ht="15" customHeight="1">
      <c r="A88" s="150"/>
      <c r="B88" s="29" t="s">
        <v>166</v>
      </c>
      <c r="C88" s="31"/>
      <c r="D88" s="165"/>
      <c r="E88" s="165"/>
      <c r="F88" s="165"/>
      <c r="G88" s="165"/>
      <c r="H88" s="165"/>
      <c r="I88" s="165"/>
      <c r="J88" s="165"/>
      <c r="K88" s="165"/>
      <c r="L88" s="165"/>
      <c r="M88" s="165"/>
      <c r="N88" s="165"/>
      <c r="O88" s="165"/>
      <c r="P88" s="1491"/>
      <c r="Q88" s="1491"/>
      <c r="R88" s="1491"/>
      <c r="S88" s="1491"/>
      <c r="T88" s="1491"/>
      <c r="U88" s="1491"/>
      <c r="V88" s="2036"/>
      <c r="W88" s="2036"/>
      <c r="X88" s="2036"/>
      <c r="Y88" s="2036"/>
      <c r="Z88" s="2036"/>
      <c r="AA88" s="2036"/>
      <c r="AB88" s="2036"/>
      <c r="AC88" s="2041"/>
      <c r="AD88" s="2036"/>
      <c r="AE88" s="2063"/>
      <c r="AF88" s="3304"/>
      <c r="AG88" s="2036"/>
      <c r="AH88" s="1850"/>
      <c r="AI88" s="1103"/>
      <c r="AJ88" s="1851"/>
      <c r="AK88" s="1851"/>
      <c r="AL88" s="1852"/>
    </row>
    <row r="89" spans="1:51" ht="15" customHeight="1">
      <c r="A89" s="150"/>
      <c r="B89" s="29" t="s">
        <v>167</v>
      </c>
      <c r="C89" s="31"/>
      <c r="D89" s="165"/>
      <c r="E89" s="165"/>
      <c r="F89" s="165"/>
      <c r="G89" s="165"/>
      <c r="H89" s="165"/>
      <c r="I89" s="165"/>
      <c r="J89" s="165"/>
      <c r="K89" s="165"/>
      <c r="L89" s="165"/>
      <c r="M89" s="165"/>
      <c r="N89" s="165"/>
      <c r="O89" s="165"/>
      <c r="P89" s="1491"/>
      <c r="Q89" s="1491"/>
      <c r="R89" s="1491"/>
      <c r="S89" s="1491"/>
      <c r="T89" s="1491"/>
      <c r="U89" s="1491"/>
      <c r="V89" s="2036"/>
      <c r="W89" s="2036"/>
      <c r="X89" s="2036"/>
      <c r="Y89" s="2036"/>
      <c r="Z89" s="2036"/>
      <c r="AA89" s="2036"/>
      <c r="AB89" s="2036"/>
      <c r="AC89" s="2041"/>
      <c r="AD89" s="2036"/>
      <c r="AE89" s="2063"/>
      <c r="AF89" s="3304"/>
      <c r="AG89" s="3628"/>
      <c r="AH89" s="1850"/>
      <c r="AI89" s="1103"/>
      <c r="AJ89" s="1851"/>
      <c r="AK89" s="1851"/>
      <c r="AL89" s="1852"/>
    </row>
    <row r="90" spans="1:51" ht="15" customHeight="1">
      <c r="A90" s="150"/>
      <c r="B90" s="29" t="s">
        <v>1199</v>
      </c>
      <c r="C90" s="31"/>
      <c r="D90" s="839">
        <f>ROUND(SUM(D80+D86),1)</f>
        <v>1816.1</v>
      </c>
      <c r="E90" s="165"/>
      <c r="F90" s="2105">
        <f>ROUND(SUM(F80+F86),1)</f>
        <v>-636.9</v>
      </c>
      <c r="G90" s="165"/>
      <c r="H90" s="839">
        <f>ROUND(SUM(H80+H86),1)</f>
        <v>960.6</v>
      </c>
      <c r="I90" s="56"/>
      <c r="J90" s="839">
        <f>ROUND(SUM(J80+J86),1)</f>
        <v>-1287.9000000000001</v>
      </c>
      <c r="K90" s="56"/>
      <c r="L90" s="839">
        <f>ROUND(SUM(L80+L86),1)</f>
        <v>753.1</v>
      </c>
      <c r="M90" s="56"/>
      <c r="N90" s="839">
        <f>ROUND(SUM(N80+N86),1)</f>
        <v>608.1</v>
      </c>
      <c r="O90" s="56"/>
      <c r="P90" s="2065">
        <f>ROUND(SUM(P80+P86),1)</f>
        <v>-448.6</v>
      </c>
      <c r="Q90" s="2052"/>
      <c r="R90" s="2065">
        <f>ROUND(SUM(R80+R86),1)</f>
        <v>22.1</v>
      </c>
      <c r="S90" s="2052"/>
      <c r="T90" s="2065">
        <f>ROUND(SUM(T80+T86),1)</f>
        <v>1466.2</v>
      </c>
      <c r="U90" s="2052"/>
      <c r="V90" s="1597">
        <f>ROUND(SUM(V80+V86),1)</f>
        <v>-438.6</v>
      </c>
      <c r="W90" s="2021"/>
      <c r="X90" s="1597">
        <f>ROUND(SUM(X80+X86),1)</f>
        <v>-17</v>
      </c>
      <c r="Y90" s="2021"/>
      <c r="Z90" s="1597">
        <f>ROUND(SUM(Z80+Z86),1)</f>
        <v>0</v>
      </c>
      <c r="AA90" s="2021"/>
      <c r="AB90" s="2232"/>
      <c r="AC90" s="2021"/>
      <c r="AD90" s="1597">
        <f>ROUND(SUM(AD80+AD86),1)</f>
        <v>2797.2</v>
      </c>
      <c r="AE90" s="3302"/>
      <c r="AF90" s="2021"/>
      <c r="AG90" s="1597">
        <f>ROUND(SUM(AG80+AG86),1)</f>
        <v>-311.39999999999998</v>
      </c>
      <c r="AH90" s="1850"/>
      <c r="AI90" s="67"/>
      <c r="AJ90" s="1121">
        <f>ROUND(SUM(AJ80-AJ86),1)</f>
        <v>3108.6</v>
      </c>
      <c r="AK90" s="1042"/>
      <c r="AL90" s="2233">
        <f>ROUND(SUM((AD90-AG90)/ABS(AG90)),3)</f>
        <v>9.9830000000000005</v>
      </c>
    </row>
    <row r="91" spans="1:51" ht="15" customHeight="1">
      <c r="A91" s="150"/>
      <c r="B91" s="31"/>
      <c r="C91" s="31"/>
      <c r="D91" s="37"/>
      <c r="E91" s="30"/>
      <c r="F91" s="37"/>
      <c r="G91" s="30"/>
      <c r="H91" s="37"/>
      <c r="I91" s="30"/>
      <c r="J91" s="37"/>
      <c r="K91" s="30"/>
      <c r="L91" s="37"/>
      <c r="M91" s="30"/>
      <c r="N91" s="37"/>
      <c r="O91" s="30"/>
      <c r="P91" s="2066"/>
      <c r="Q91" s="2067"/>
      <c r="R91" s="2066"/>
      <c r="S91" s="2067"/>
      <c r="T91" s="2064"/>
      <c r="U91" s="2067"/>
      <c r="V91" s="2234"/>
      <c r="W91" s="2235"/>
      <c r="X91" s="2234"/>
      <c r="Y91" s="2235"/>
      <c r="Z91" s="2234"/>
      <c r="AA91" s="2234"/>
      <c r="AB91" s="2235"/>
      <c r="AC91" s="2236"/>
      <c r="AD91" s="2234"/>
      <c r="AE91" s="2234"/>
      <c r="AF91" s="2236"/>
      <c r="AG91" s="2234"/>
      <c r="AH91" s="1103"/>
      <c r="AI91" s="2237"/>
      <c r="AJ91" s="2238"/>
      <c r="AK91" s="1851"/>
      <c r="AL91" s="1852" t="s">
        <v>15</v>
      </c>
    </row>
    <row r="92" spans="1:51" ht="20.25" customHeight="1" thickBot="1">
      <c r="A92" s="150"/>
      <c r="B92" s="29" t="s">
        <v>1209</v>
      </c>
      <c r="C92" s="31"/>
      <c r="D92" s="1903">
        <f>ROUND(SUM(+D13+D90),1)</f>
        <v>567.70000000000005</v>
      </c>
      <c r="E92" s="30"/>
      <c r="F92" s="1903">
        <f>ROUND(SUM(+F13+F90),1)</f>
        <v>-69.2</v>
      </c>
      <c r="G92" s="30"/>
      <c r="H92" s="1903">
        <f>ROUND(SUM(+H13+H90),1)</f>
        <v>891.4</v>
      </c>
      <c r="I92" s="30"/>
      <c r="J92" s="1903">
        <f>ROUND(SUM(+J13+J90),1)</f>
        <v>-396.5</v>
      </c>
      <c r="K92" s="30"/>
      <c r="L92" s="1903">
        <f>ROUND(SUM(+L13+L90),1)</f>
        <v>356.6</v>
      </c>
      <c r="M92" s="30"/>
      <c r="N92" s="1903">
        <f>ROUND(SUM(+N13+N90),1)</f>
        <v>964.7</v>
      </c>
      <c r="O92" s="30"/>
      <c r="P92" s="2068">
        <f>ROUND(SUM(+P13+P90),1)</f>
        <v>516.1</v>
      </c>
      <c r="Q92" s="2067"/>
      <c r="R92" s="2068">
        <f>ROUND(SUM(+R13+R90),1)</f>
        <v>538.20000000000005</v>
      </c>
      <c r="S92" s="2067"/>
      <c r="T92" s="2068">
        <f>ROUND(SUM(+T13+T90),1)</f>
        <v>2004.4</v>
      </c>
      <c r="U92" s="2067"/>
      <c r="V92" s="2239">
        <f>ROUND(SUM(+V13+V90),1)</f>
        <v>1565.8</v>
      </c>
      <c r="W92" s="2235"/>
      <c r="X92" s="2239">
        <f>ROUND(SUM(+X13+X90),1)</f>
        <v>1548.8</v>
      </c>
      <c r="Y92" s="2235"/>
      <c r="Z92" s="2239">
        <f>ROUND(SUM(+Z13+Z90),1)</f>
        <v>0</v>
      </c>
      <c r="AA92" s="2234"/>
      <c r="AB92" s="2235"/>
      <c r="AC92" s="2236"/>
      <c r="AD92" s="2239">
        <f>ROUND(SUM(+AD13+AD90),1)</f>
        <v>1548.8</v>
      </c>
      <c r="AE92" s="2234"/>
      <c r="AF92" s="2236"/>
      <c r="AG92" s="2239">
        <f>ROUND(SUM(+AG13+AG90),1)</f>
        <v>-17.8</v>
      </c>
      <c r="AH92" s="1103"/>
      <c r="AI92" s="2237"/>
      <c r="AJ92" s="1893">
        <f>ROUND(SUM(+AJ13+AJ90),1)</f>
        <v>1566.6</v>
      </c>
      <c r="AK92" s="1851"/>
      <c r="AL92" s="2240">
        <f>ROUND(+AJ92/ABS(AG92),3)</f>
        <v>88.010999999999996</v>
      </c>
    </row>
    <row r="93" spans="1:51" ht="15" customHeight="1" thickTop="1">
      <c r="B93" s="30"/>
      <c r="C93" s="30"/>
      <c r="D93" s="269"/>
      <c r="E93" s="269"/>
      <c r="F93" s="269"/>
      <c r="G93" s="269"/>
      <c r="H93" s="269"/>
      <c r="I93" s="269"/>
      <c r="J93" s="269"/>
      <c r="K93" s="269"/>
      <c r="L93" s="269"/>
      <c r="M93" s="269"/>
      <c r="N93" s="269"/>
      <c r="O93" s="269"/>
      <c r="P93" s="2069"/>
      <c r="Q93" s="2069"/>
      <c r="R93" s="2069"/>
      <c r="S93" s="2069"/>
      <c r="T93" s="2069"/>
      <c r="U93" s="2069"/>
      <c r="V93" s="2241"/>
      <c r="W93" s="2241"/>
      <c r="X93" s="2241"/>
      <c r="Y93" s="2241"/>
      <c r="Z93" s="2241"/>
      <c r="AA93" s="2241"/>
      <c r="AB93" s="2241"/>
      <c r="AC93" s="2241"/>
      <c r="AD93" s="2241"/>
      <c r="AE93" s="2241"/>
      <c r="AF93" s="2241"/>
      <c r="AG93" s="2241"/>
      <c r="AH93" s="2169"/>
      <c r="AI93" s="2169"/>
      <c r="AJ93" s="1032"/>
      <c r="AK93" s="1032"/>
      <c r="AL93" s="1859"/>
      <c r="AM93" s="297"/>
      <c r="AN93" s="297"/>
      <c r="AO93" s="297"/>
      <c r="AP93" s="297"/>
      <c r="AQ93" s="297"/>
      <c r="AR93" s="297"/>
      <c r="AS93" s="297"/>
      <c r="AT93" s="297"/>
      <c r="AU93" s="297"/>
      <c r="AV93" s="297"/>
      <c r="AW93" s="297"/>
      <c r="AX93" s="297"/>
      <c r="AY93" s="297"/>
    </row>
    <row r="94" spans="1:51" ht="15" customHeight="1">
      <c r="B94" s="931"/>
      <c r="C94" s="30"/>
      <c r="D94" s="30"/>
      <c r="E94" s="30"/>
      <c r="F94" s="30"/>
      <c r="G94" s="30"/>
      <c r="H94" s="30"/>
      <c r="I94" s="30"/>
      <c r="J94" s="30"/>
      <c r="K94" s="30"/>
      <c r="L94" s="30"/>
      <c r="M94" s="30"/>
      <c r="N94" s="30"/>
      <c r="O94" s="30"/>
      <c r="P94" s="2067"/>
      <c r="Q94" s="2067"/>
      <c r="R94" s="2067"/>
      <c r="S94" s="2067"/>
      <c r="T94" s="2067"/>
      <c r="U94" s="2067"/>
      <c r="V94" s="2235"/>
      <c r="W94" s="2235"/>
      <c r="X94" s="2235"/>
      <c r="Y94" s="2235"/>
      <c r="Z94" s="2235"/>
      <c r="AA94" s="2235"/>
      <c r="AB94" s="2235"/>
      <c r="AC94" s="2235"/>
      <c r="AD94" s="2235"/>
      <c r="AE94" s="2235"/>
      <c r="AF94" s="2235"/>
      <c r="AG94" s="2235"/>
      <c r="AH94" s="106"/>
      <c r="AI94" s="106"/>
      <c r="AJ94" s="899"/>
      <c r="AK94" s="899"/>
      <c r="AL94" s="1859"/>
    </row>
    <row r="95" spans="1:51" ht="15" customHeight="1">
      <c r="B95" s="30"/>
      <c r="P95" s="2070"/>
      <c r="Q95" s="2070"/>
      <c r="R95" s="2070"/>
      <c r="S95" s="2070"/>
      <c r="T95" s="2070"/>
      <c r="U95" s="2070"/>
      <c r="V95" s="2242"/>
      <c r="W95" s="2242"/>
      <c r="X95" s="2242"/>
      <c r="Y95" s="2242"/>
      <c r="Z95" s="2242"/>
      <c r="AA95" s="2242"/>
      <c r="AB95" s="2242"/>
      <c r="AC95" s="2242"/>
      <c r="AD95" s="2242"/>
      <c r="AE95" s="2242"/>
      <c r="AF95" s="2242"/>
      <c r="AG95" s="2242"/>
      <c r="AH95" s="898"/>
      <c r="AI95" s="898"/>
      <c r="AJ95" s="898"/>
      <c r="AK95" s="898"/>
      <c r="AL95" s="2243"/>
    </row>
    <row r="96" spans="1:51" ht="15" customHeight="1">
      <c r="B96" s="30"/>
      <c r="P96" s="2070"/>
      <c r="Q96" s="2070"/>
      <c r="R96" s="2070"/>
      <c r="S96" s="2070"/>
      <c r="T96" s="2070"/>
      <c r="U96" s="2070"/>
      <c r="V96" s="2242"/>
      <c r="W96" s="2242"/>
      <c r="X96" s="2242"/>
      <c r="Y96" s="2242"/>
      <c r="Z96" s="2242"/>
      <c r="AA96" s="2242"/>
      <c r="AB96" s="2242"/>
      <c r="AC96" s="2242"/>
      <c r="AD96" s="2242"/>
      <c r="AE96" s="2242"/>
      <c r="AF96" s="2242"/>
      <c r="AG96" s="2242"/>
      <c r="AH96" s="898"/>
      <c r="AI96" s="898"/>
      <c r="AJ96" s="898"/>
      <c r="AK96" s="898"/>
      <c r="AL96" s="2243"/>
    </row>
    <row r="97" spans="16:38" ht="15" customHeight="1">
      <c r="P97" s="2070"/>
      <c r="Q97" s="2070"/>
      <c r="R97" s="2070"/>
      <c r="S97" s="2070"/>
      <c r="T97" s="2070"/>
      <c r="U97" s="2070"/>
      <c r="V97" s="2242"/>
      <c r="W97" s="2242"/>
      <c r="X97" s="2242"/>
      <c r="Y97" s="2242"/>
      <c r="Z97" s="2242"/>
      <c r="AA97" s="2242"/>
      <c r="AB97" s="2242"/>
      <c r="AC97" s="2242"/>
      <c r="AD97" s="2242"/>
      <c r="AE97" s="2242"/>
      <c r="AF97" s="2242"/>
      <c r="AG97" s="2242"/>
      <c r="AH97" s="898"/>
      <c r="AI97" s="898"/>
      <c r="AJ97" s="898"/>
      <c r="AK97" s="898"/>
      <c r="AL97" s="2243"/>
    </row>
    <row r="98" spans="16:38" ht="15" customHeight="1">
      <c r="P98" s="2070"/>
      <c r="Q98" s="2070"/>
      <c r="R98" s="2070"/>
      <c r="S98" s="2070"/>
      <c r="T98" s="2070"/>
      <c r="U98" s="2070"/>
      <c r="V98" s="2242"/>
      <c r="W98" s="2242"/>
      <c r="X98" s="2242"/>
      <c r="Y98" s="2242"/>
      <c r="Z98" s="2242"/>
      <c r="AA98" s="2242"/>
      <c r="AB98" s="2242"/>
      <c r="AC98" s="2242"/>
      <c r="AD98" s="2242"/>
      <c r="AE98" s="2242"/>
      <c r="AF98" s="2242"/>
      <c r="AG98" s="2242"/>
      <c r="AH98" s="898"/>
      <c r="AI98" s="898"/>
      <c r="AJ98" s="898"/>
      <c r="AK98" s="898"/>
      <c r="AL98" s="2243"/>
    </row>
    <row r="99" spans="16:38" ht="15" customHeight="1">
      <c r="P99" s="2070"/>
      <c r="Q99" s="2070"/>
      <c r="R99" s="2070"/>
      <c r="S99" s="2070"/>
      <c r="T99" s="2070"/>
      <c r="U99" s="2070"/>
      <c r="V99" s="2242"/>
      <c r="W99" s="2242"/>
      <c r="X99" s="2242"/>
      <c r="Y99" s="2242"/>
      <c r="Z99" s="2242"/>
      <c r="AA99" s="2242"/>
      <c r="AB99" s="2242"/>
      <c r="AC99" s="2242"/>
      <c r="AD99" s="2242"/>
      <c r="AE99" s="2242"/>
      <c r="AF99" s="2242"/>
      <c r="AG99" s="2242"/>
      <c r="AH99" s="898"/>
      <c r="AI99" s="898"/>
      <c r="AJ99" s="898"/>
      <c r="AK99" s="898"/>
      <c r="AL99" s="2243"/>
    </row>
    <row r="100" spans="16:38" ht="15" customHeight="1">
      <c r="V100" s="898"/>
      <c r="W100" s="898"/>
      <c r="X100" s="898"/>
      <c r="Y100" s="898"/>
      <c r="Z100" s="898"/>
      <c r="AA100" s="898"/>
      <c r="AB100" s="898"/>
      <c r="AC100" s="898"/>
      <c r="AH100" s="898"/>
      <c r="AI100" s="898"/>
      <c r="AJ100" s="898"/>
      <c r="AK100" s="898"/>
      <c r="AL100" s="2243"/>
    </row>
    <row r="101" spans="16:38" ht="15" customHeight="1">
      <c r="V101" s="898"/>
      <c r="W101" s="898"/>
      <c r="X101" s="898"/>
      <c r="Y101" s="898"/>
      <c r="Z101" s="898"/>
      <c r="AA101" s="898"/>
      <c r="AB101" s="898"/>
      <c r="AC101" s="898"/>
      <c r="AH101" s="898"/>
      <c r="AI101" s="898"/>
      <c r="AJ101" s="898"/>
      <c r="AK101" s="898"/>
      <c r="AL101" s="2243"/>
    </row>
    <row r="102" spans="16:38" ht="15" customHeight="1">
      <c r="V102" s="898"/>
      <c r="W102" s="898"/>
      <c r="X102" s="898"/>
      <c r="Y102" s="898"/>
      <c r="Z102" s="898"/>
      <c r="AA102" s="898"/>
      <c r="AB102" s="898"/>
      <c r="AC102" s="898"/>
      <c r="AH102" s="898"/>
      <c r="AI102" s="898"/>
      <c r="AJ102" s="898"/>
      <c r="AK102" s="898"/>
      <c r="AL102" s="2243"/>
    </row>
    <row r="103" spans="16:38" ht="15" customHeight="1">
      <c r="V103" s="898"/>
      <c r="W103" s="898"/>
      <c r="X103" s="898"/>
      <c r="Y103" s="898"/>
      <c r="Z103" s="898"/>
      <c r="AA103" s="898"/>
      <c r="AB103" s="898"/>
      <c r="AC103" s="898"/>
      <c r="AH103" s="898"/>
      <c r="AI103" s="898"/>
      <c r="AJ103" s="898"/>
      <c r="AK103" s="898"/>
      <c r="AL103" s="2243"/>
    </row>
    <row r="104" spans="16:38" ht="15" customHeight="1">
      <c r="V104" s="898"/>
      <c r="W104" s="898"/>
      <c r="X104" s="898"/>
      <c r="Y104" s="898"/>
      <c r="Z104" s="898"/>
      <c r="AA104" s="898"/>
      <c r="AB104" s="898"/>
      <c r="AC104" s="898"/>
      <c r="AH104" s="898"/>
      <c r="AI104" s="898"/>
      <c r="AJ104" s="898"/>
      <c r="AK104" s="898"/>
      <c r="AL104" s="2243"/>
    </row>
    <row r="105" spans="16:38" ht="15" customHeight="1">
      <c r="AL105" s="1477"/>
    </row>
    <row r="106" spans="16:38" ht="15" customHeight="1">
      <c r="AL106" s="1477"/>
    </row>
    <row r="107" spans="16:38" ht="15" customHeight="1">
      <c r="AL107" s="1477"/>
    </row>
    <row r="108" spans="16:38" ht="15" customHeight="1">
      <c r="AL108" s="1477"/>
    </row>
    <row r="109" spans="16:38" ht="15" customHeight="1">
      <c r="AL109" s="1477"/>
    </row>
    <row r="110" spans="16:38" ht="15" customHeight="1">
      <c r="AL110" s="1477"/>
    </row>
    <row r="111" spans="16:38" ht="15" customHeight="1">
      <c r="AL111" s="1477"/>
    </row>
    <row r="112" spans="16:38" ht="15" customHeight="1">
      <c r="AL112" s="1477"/>
    </row>
    <row r="113" spans="38:38" ht="15" customHeight="1">
      <c r="AL113" s="1477"/>
    </row>
    <row r="114" spans="38:38" ht="15" customHeight="1">
      <c r="AL114" s="1477"/>
    </row>
    <row r="115" spans="38:38" ht="15" customHeight="1">
      <c r="AL115" s="1477"/>
    </row>
    <row r="116" spans="38:38" ht="15" customHeight="1">
      <c r="AL116" s="1477"/>
    </row>
    <row r="117" spans="38:38" ht="15" customHeight="1">
      <c r="AL117" s="1477"/>
    </row>
    <row r="118" spans="38:38" ht="15" customHeight="1">
      <c r="AL118" s="1477"/>
    </row>
    <row r="119" spans="38:38" ht="15" customHeight="1">
      <c r="AL119" s="1477"/>
    </row>
    <row r="120" spans="38:38" ht="15" customHeight="1">
      <c r="AL120" s="1477"/>
    </row>
    <row r="121" spans="38:38" ht="15" customHeight="1">
      <c r="AL121" s="1477"/>
    </row>
    <row r="122" spans="38:38" ht="15" customHeight="1">
      <c r="AL122" s="1477"/>
    </row>
    <row r="123" spans="38:38" ht="15" customHeight="1">
      <c r="AL123" s="1477"/>
    </row>
    <row r="124" spans="38:38" ht="15" customHeight="1">
      <c r="AL124" s="1477"/>
    </row>
    <row r="125" spans="38:38" ht="15" customHeight="1">
      <c r="AL125" s="1477"/>
    </row>
    <row r="126" spans="38:38" ht="15" customHeight="1">
      <c r="AL126" s="1477"/>
    </row>
    <row r="127" spans="38:38" ht="15" customHeight="1">
      <c r="AL127" s="1477"/>
    </row>
    <row r="128" spans="38:38" ht="15" customHeight="1">
      <c r="AL128" s="1477"/>
    </row>
    <row r="129" spans="38:38" ht="15" customHeight="1">
      <c r="AL129" s="1477"/>
    </row>
    <row r="130" spans="38:38" ht="15" customHeight="1">
      <c r="AL130" s="1477"/>
    </row>
    <row r="131" spans="38:38" ht="15" customHeight="1">
      <c r="AL131" s="1477"/>
    </row>
    <row r="132" spans="38:38" ht="15" customHeight="1">
      <c r="AL132" s="1477"/>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workbookViewId="0"/>
  </sheetViews>
  <sheetFormatPr defaultRowHeight="12.75"/>
  <cols>
    <col min="1" max="1" width="40.44140625" style="2743" customWidth="1"/>
    <col min="2" max="2" width="10.44140625" style="2743" customWidth="1"/>
    <col min="3" max="3" width="1.109375" style="2743" customWidth="1"/>
    <col min="4" max="4" width="10" style="2743" customWidth="1"/>
    <col min="5" max="5" width="1.109375" style="2743" customWidth="1"/>
    <col min="6" max="6" width="9.109375" style="2744" customWidth="1"/>
    <col min="7" max="7" width="1.109375" style="2743" customWidth="1"/>
    <col min="8" max="8" width="10" style="2743" customWidth="1"/>
    <col min="9" max="9" width="1.109375" style="2743" customWidth="1"/>
    <col min="10" max="10" width="9.44140625" style="2743" customWidth="1"/>
    <col min="11" max="11" width="1.109375" style="2743" customWidth="1"/>
    <col min="12" max="12" width="11.109375" style="2743" customWidth="1"/>
    <col min="13" max="13" width="1.109375" style="2743" customWidth="1"/>
    <col min="14" max="14" width="10.88671875" style="2743" customWidth="1"/>
    <col min="15" max="15" width="1.88671875" style="2743" customWidth="1"/>
    <col min="16" max="16" width="11" style="2743" customWidth="1"/>
    <col min="17" max="17" width="1.109375" style="2743" customWidth="1"/>
    <col min="18" max="18" width="10.88671875" style="2743" customWidth="1"/>
    <col min="19" max="19" width="1.109375" style="2743" customWidth="1"/>
    <col min="20" max="20" width="10" style="2743" customWidth="1"/>
    <col min="21" max="21" width="1.109375" style="2743" customWidth="1"/>
    <col min="22" max="22" width="12.88671875" style="2743" customWidth="1"/>
    <col min="23" max="23" width="1.109375" style="2743" customWidth="1"/>
    <col min="24" max="24" width="11.109375" style="2743" bestFit="1" customWidth="1"/>
    <col min="25" max="25" width="1.109375" style="2743" customWidth="1"/>
    <col min="26" max="26" width="0.88671875" style="2743" customWidth="1"/>
    <col min="27" max="27" width="10.5546875" style="2743" customWidth="1"/>
    <col min="28" max="28" width="2.109375" style="2743" customWidth="1"/>
    <col min="29" max="29" width="0.88671875" style="2743" customWidth="1"/>
    <col min="30" max="30" width="11" style="2743" bestFit="1" customWidth="1"/>
    <col min="31" max="32" width="0.88671875" style="2743" customWidth="1"/>
    <col min="33" max="33" width="9.88671875" style="2743" customWidth="1"/>
    <col min="34" max="34" width="1.109375" style="2743" customWidth="1"/>
    <col min="35" max="35" width="11" style="2743" customWidth="1"/>
    <col min="36" max="36" width="14.5546875" style="2745" customWidth="1"/>
    <col min="37" max="252" width="8.88671875" style="2743"/>
    <col min="253" max="253" width="38.44140625" style="2743" customWidth="1"/>
    <col min="254" max="254" width="8.5546875" style="2743" customWidth="1"/>
    <col min="255" max="255" width="1.109375" style="2743" customWidth="1"/>
    <col min="256" max="256" width="8.88671875" style="2743" customWidth="1"/>
    <col min="257" max="257" width="1.109375" style="2743" customWidth="1"/>
    <col min="258" max="258" width="9.109375" style="2743" customWidth="1"/>
    <col min="259" max="259" width="1.109375" style="2743" customWidth="1"/>
    <col min="260" max="260" width="10" style="2743" customWidth="1"/>
    <col min="261" max="261" width="1.109375" style="2743" customWidth="1"/>
    <col min="262" max="262" width="9.109375" style="2743" customWidth="1"/>
    <col min="263" max="263" width="1.109375" style="2743" customWidth="1"/>
    <col min="264" max="264" width="11.109375" style="2743" customWidth="1"/>
    <col min="265" max="265" width="1.109375" style="2743" customWidth="1"/>
    <col min="266" max="266" width="9.109375" style="2743" customWidth="1"/>
    <col min="267" max="267" width="1.88671875" style="2743" customWidth="1"/>
    <col min="268" max="268" width="11" style="2743" customWidth="1"/>
    <col min="269" max="269" width="1.109375" style="2743" customWidth="1"/>
    <col min="270" max="270" width="10.88671875" style="2743" customWidth="1"/>
    <col min="271" max="271" width="1.109375" style="2743" customWidth="1"/>
    <col min="272" max="272" width="10" style="2743" customWidth="1"/>
    <col min="273" max="273" width="1.109375" style="2743" customWidth="1"/>
    <col min="274" max="274" width="9.109375" style="2743" customWidth="1"/>
    <col min="275" max="275" width="1.109375" style="2743" customWidth="1"/>
    <col min="276" max="276" width="7.88671875" style="2743" customWidth="1"/>
    <col min="277" max="277" width="1.109375" style="2743" customWidth="1"/>
    <col min="278" max="278" width="0.88671875" style="2743" customWidth="1"/>
    <col min="279" max="279" width="9.109375" style="2743" customWidth="1"/>
    <col min="280" max="280" width="1.109375" style="2743" customWidth="1"/>
    <col min="281" max="281" width="0.88671875" style="2743" customWidth="1"/>
    <col min="282" max="282" width="9.5546875" style="2743" bestFit="1" customWidth="1"/>
    <col min="283" max="284" width="0.88671875" style="2743" customWidth="1"/>
    <col min="285" max="285" width="9.88671875" style="2743" customWidth="1"/>
    <col min="286" max="286" width="1.109375" style="2743" customWidth="1"/>
    <col min="287" max="287" width="8.5546875" style="2743" customWidth="1"/>
    <col min="288" max="288" width="14.5546875" style="2743" customWidth="1"/>
    <col min="289" max="289" width="10" style="2743" customWidth="1"/>
    <col min="290" max="290" width="7.88671875" style="2743" bestFit="1" customWidth="1"/>
    <col min="291" max="291" width="9.88671875" style="2743" customWidth="1"/>
    <col min="292" max="508" width="8.88671875" style="2743"/>
    <col min="509" max="509" width="38.44140625" style="2743" customWidth="1"/>
    <col min="510" max="510" width="8.5546875" style="2743" customWidth="1"/>
    <col min="511" max="511" width="1.109375" style="2743" customWidth="1"/>
    <col min="512" max="512" width="8.88671875" style="2743" customWidth="1"/>
    <col min="513" max="513" width="1.109375" style="2743" customWidth="1"/>
    <col min="514" max="514" width="9.109375" style="2743" customWidth="1"/>
    <col min="515" max="515" width="1.109375" style="2743" customWidth="1"/>
    <col min="516" max="516" width="10" style="2743" customWidth="1"/>
    <col min="517" max="517" width="1.109375" style="2743" customWidth="1"/>
    <col min="518" max="518" width="9.109375" style="2743" customWidth="1"/>
    <col min="519" max="519" width="1.109375" style="2743" customWidth="1"/>
    <col min="520" max="520" width="11.109375" style="2743" customWidth="1"/>
    <col min="521" max="521" width="1.109375" style="2743" customWidth="1"/>
    <col min="522" max="522" width="9.109375" style="2743" customWidth="1"/>
    <col min="523" max="523" width="1.88671875" style="2743" customWidth="1"/>
    <col min="524" max="524" width="11" style="2743" customWidth="1"/>
    <col min="525" max="525" width="1.109375" style="2743" customWidth="1"/>
    <col min="526" max="526" width="10.88671875" style="2743" customWidth="1"/>
    <col min="527" max="527" width="1.109375" style="2743" customWidth="1"/>
    <col min="528" max="528" width="10" style="2743" customWidth="1"/>
    <col min="529" max="529" width="1.109375" style="2743" customWidth="1"/>
    <col min="530" max="530" width="9.109375" style="2743" customWidth="1"/>
    <col min="531" max="531" width="1.109375" style="2743" customWidth="1"/>
    <col min="532" max="532" width="7.88671875" style="2743" customWidth="1"/>
    <col min="533" max="533" width="1.109375" style="2743" customWidth="1"/>
    <col min="534" max="534" width="0.88671875" style="2743" customWidth="1"/>
    <col min="535" max="535" width="9.109375" style="2743" customWidth="1"/>
    <col min="536" max="536" width="1.109375" style="2743" customWidth="1"/>
    <col min="537" max="537" width="0.88671875" style="2743" customWidth="1"/>
    <col min="538" max="538" width="9.5546875" style="2743" bestFit="1" customWidth="1"/>
    <col min="539" max="540" width="0.88671875" style="2743" customWidth="1"/>
    <col min="541" max="541" width="9.88671875" style="2743" customWidth="1"/>
    <col min="542" max="542" width="1.109375" style="2743" customWidth="1"/>
    <col min="543" max="543" width="8.5546875" style="2743" customWidth="1"/>
    <col min="544" max="544" width="14.5546875" style="2743" customWidth="1"/>
    <col min="545" max="545" width="10" style="2743" customWidth="1"/>
    <col min="546" max="546" width="7.88671875" style="2743" bestFit="1" customWidth="1"/>
    <col min="547" max="547" width="9.88671875" style="2743" customWidth="1"/>
    <col min="548" max="764" width="8.88671875" style="2743"/>
    <col min="765" max="765" width="38.44140625" style="2743" customWidth="1"/>
    <col min="766" max="766" width="8.5546875" style="2743" customWidth="1"/>
    <col min="767" max="767" width="1.109375" style="2743" customWidth="1"/>
    <col min="768" max="768" width="8.88671875" style="2743" customWidth="1"/>
    <col min="769" max="769" width="1.109375" style="2743" customWidth="1"/>
    <col min="770" max="770" width="9.109375" style="2743" customWidth="1"/>
    <col min="771" max="771" width="1.109375" style="2743" customWidth="1"/>
    <col min="772" max="772" width="10" style="2743" customWidth="1"/>
    <col min="773" max="773" width="1.109375" style="2743" customWidth="1"/>
    <col min="774" max="774" width="9.109375" style="2743" customWidth="1"/>
    <col min="775" max="775" width="1.109375" style="2743" customWidth="1"/>
    <col min="776" max="776" width="11.109375" style="2743" customWidth="1"/>
    <col min="777" max="777" width="1.109375" style="2743" customWidth="1"/>
    <col min="778" max="778" width="9.109375" style="2743" customWidth="1"/>
    <col min="779" max="779" width="1.88671875" style="2743" customWidth="1"/>
    <col min="780" max="780" width="11" style="2743" customWidth="1"/>
    <col min="781" max="781" width="1.109375" style="2743" customWidth="1"/>
    <col min="782" max="782" width="10.88671875" style="2743" customWidth="1"/>
    <col min="783" max="783" width="1.109375" style="2743" customWidth="1"/>
    <col min="784" max="784" width="10" style="2743" customWidth="1"/>
    <col min="785" max="785" width="1.109375" style="2743" customWidth="1"/>
    <col min="786" max="786" width="9.109375" style="2743" customWidth="1"/>
    <col min="787" max="787" width="1.109375" style="2743" customWidth="1"/>
    <col min="788" max="788" width="7.88671875" style="2743" customWidth="1"/>
    <col min="789" max="789" width="1.109375" style="2743" customWidth="1"/>
    <col min="790" max="790" width="0.88671875" style="2743" customWidth="1"/>
    <col min="791" max="791" width="9.109375" style="2743" customWidth="1"/>
    <col min="792" max="792" width="1.109375" style="2743" customWidth="1"/>
    <col min="793" max="793" width="0.88671875" style="2743" customWidth="1"/>
    <col min="794" max="794" width="9.5546875" style="2743" bestFit="1" customWidth="1"/>
    <col min="795" max="796" width="0.88671875" style="2743" customWidth="1"/>
    <col min="797" max="797" width="9.88671875" style="2743" customWidth="1"/>
    <col min="798" max="798" width="1.109375" style="2743" customWidth="1"/>
    <col min="799" max="799" width="8.5546875" style="2743" customWidth="1"/>
    <col min="800" max="800" width="14.5546875" style="2743" customWidth="1"/>
    <col min="801" max="801" width="10" style="2743" customWidth="1"/>
    <col min="802" max="802" width="7.88671875" style="2743" bestFit="1" customWidth="1"/>
    <col min="803" max="803" width="9.88671875" style="2743" customWidth="1"/>
    <col min="804" max="1020" width="8.88671875" style="2743"/>
    <col min="1021" max="1021" width="38.44140625" style="2743" customWidth="1"/>
    <col min="1022" max="1022" width="8.5546875" style="2743" customWidth="1"/>
    <col min="1023" max="1023" width="1.109375" style="2743" customWidth="1"/>
    <col min="1024" max="1024" width="8.88671875" style="2743" customWidth="1"/>
    <col min="1025" max="1025" width="1.109375" style="2743" customWidth="1"/>
    <col min="1026" max="1026" width="9.109375" style="2743" customWidth="1"/>
    <col min="1027" max="1027" width="1.109375" style="2743" customWidth="1"/>
    <col min="1028" max="1028" width="10" style="2743" customWidth="1"/>
    <col min="1029" max="1029" width="1.109375" style="2743" customWidth="1"/>
    <col min="1030" max="1030" width="9.109375" style="2743" customWidth="1"/>
    <col min="1031" max="1031" width="1.109375" style="2743" customWidth="1"/>
    <col min="1032" max="1032" width="11.109375" style="2743" customWidth="1"/>
    <col min="1033" max="1033" width="1.109375" style="2743" customWidth="1"/>
    <col min="1034" max="1034" width="9.109375" style="2743" customWidth="1"/>
    <col min="1035" max="1035" width="1.88671875" style="2743" customWidth="1"/>
    <col min="1036" max="1036" width="11" style="2743" customWidth="1"/>
    <col min="1037" max="1037" width="1.109375" style="2743" customWidth="1"/>
    <col min="1038" max="1038" width="10.88671875" style="2743" customWidth="1"/>
    <col min="1039" max="1039" width="1.109375" style="2743" customWidth="1"/>
    <col min="1040" max="1040" width="10" style="2743" customWidth="1"/>
    <col min="1041" max="1041" width="1.109375" style="2743" customWidth="1"/>
    <col min="1042" max="1042" width="9.109375" style="2743" customWidth="1"/>
    <col min="1043" max="1043" width="1.109375" style="2743" customWidth="1"/>
    <col min="1044" max="1044" width="7.88671875" style="2743" customWidth="1"/>
    <col min="1045" max="1045" width="1.109375" style="2743" customWidth="1"/>
    <col min="1046" max="1046" width="0.88671875" style="2743" customWidth="1"/>
    <col min="1047" max="1047" width="9.109375" style="2743" customWidth="1"/>
    <col min="1048" max="1048" width="1.109375" style="2743" customWidth="1"/>
    <col min="1049" max="1049" width="0.88671875" style="2743" customWidth="1"/>
    <col min="1050" max="1050" width="9.5546875" style="2743" bestFit="1" customWidth="1"/>
    <col min="1051" max="1052" width="0.88671875" style="2743" customWidth="1"/>
    <col min="1053" max="1053" width="9.88671875" style="2743" customWidth="1"/>
    <col min="1054" max="1054" width="1.109375" style="2743" customWidth="1"/>
    <col min="1055" max="1055" width="8.5546875" style="2743" customWidth="1"/>
    <col min="1056" max="1056" width="14.5546875" style="2743" customWidth="1"/>
    <col min="1057" max="1057" width="10" style="2743" customWidth="1"/>
    <col min="1058" max="1058" width="7.88671875" style="2743" bestFit="1" customWidth="1"/>
    <col min="1059" max="1059" width="9.88671875" style="2743" customWidth="1"/>
    <col min="1060" max="1276" width="8.88671875" style="2743"/>
    <col min="1277" max="1277" width="38.44140625" style="2743" customWidth="1"/>
    <col min="1278" max="1278" width="8.5546875" style="2743" customWidth="1"/>
    <col min="1279" max="1279" width="1.109375" style="2743" customWidth="1"/>
    <col min="1280" max="1280" width="8.88671875" style="2743" customWidth="1"/>
    <col min="1281" max="1281" width="1.109375" style="2743" customWidth="1"/>
    <col min="1282" max="1282" width="9.109375" style="2743" customWidth="1"/>
    <col min="1283" max="1283" width="1.109375" style="2743" customWidth="1"/>
    <col min="1284" max="1284" width="10" style="2743" customWidth="1"/>
    <col min="1285" max="1285" width="1.109375" style="2743" customWidth="1"/>
    <col min="1286" max="1286" width="9.109375" style="2743" customWidth="1"/>
    <col min="1287" max="1287" width="1.109375" style="2743" customWidth="1"/>
    <col min="1288" max="1288" width="11.109375" style="2743" customWidth="1"/>
    <col min="1289" max="1289" width="1.109375" style="2743" customWidth="1"/>
    <col min="1290" max="1290" width="9.109375" style="2743" customWidth="1"/>
    <col min="1291" max="1291" width="1.88671875" style="2743" customWidth="1"/>
    <col min="1292" max="1292" width="11" style="2743" customWidth="1"/>
    <col min="1293" max="1293" width="1.109375" style="2743" customWidth="1"/>
    <col min="1294" max="1294" width="10.88671875" style="2743" customWidth="1"/>
    <col min="1295" max="1295" width="1.109375" style="2743" customWidth="1"/>
    <col min="1296" max="1296" width="10" style="2743" customWidth="1"/>
    <col min="1297" max="1297" width="1.109375" style="2743" customWidth="1"/>
    <col min="1298" max="1298" width="9.109375" style="2743" customWidth="1"/>
    <col min="1299" max="1299" width="1.109375" style="2743" customWidth="1"/>
    <col min="1300" max="1300" width="7.88671875" style="2743" customWidth="1"/>
    <col min="1301" max="1301" width="1.109375" style="2743" customWidth="1"/>
    <col min="1302" max="1302" width="0.88671875" style="2743" customWidth="1"/>
    <col min="1303" max="1303" width="9.109375" style="2743" customWidth="1"/>
    <col min="1304" max="1304" width="1.109375" style="2743" customWidth="1"/>
    <col min="1305" max="1305" width="0.88671875" style="2743" customWidth="1"/>
    <col min="1306" max="1306" width="9.5546875" style="2743" bestFit="1" customWidth="1"/>
    <col min="1307" max="1308" width="0.88671875" style="2743" customWidth="1"/>
    <col min="1309" max="1309" width="9.88671875" style="2743" customWidth="1"/>
    <col min="1310" max="1310" width="1.109375" style="2743" customWidth="1"/>
    <col min="1311" max="1311" width="8.5546875" style="2743" customWidth="1"/>
    <col min="1312" max="1312" width="14.5546875" style="2743" customWidth="1"/>
    <col min="1313" max="1313" width="10" style="2743" customWidth="1"/>
    <col min="1314" max="1314" width="7.88671875" style="2743" bestFit="1" customWidth="1"/>
    <col min="1315" max="1315" width="9.88671875" style="2743" customWidth="1"/>
    <col min="1316" max="1532" width="8.88671875" style="2743"/>
    <col min="1533" max="1533" width="38.44140625" style="2743" customWidth="1"/>
    <col min="1534" max="1534" width="8.5546875" style="2743" customWidth="1"/>
    <col min="1535" max="1535" width="1.109375" style="2743" customWidth="1"/>
    <col min="1536" max="1536" width="8.88671875" style="2743" customWidth="1"/>
    <col min="1537" max="1537" width="1.109375" style="2743" customWidth="1"/>
    <col min="1538" max="1538" width="9.109375" style="2743" customWidth="1"/>
    <col min="1539" max="1539" width="1.109375" style="2743" customWidth="1"/>
    <col min="1540" max="1540" width="10" style="2743" customWidth="1"/>
    <col min="1541" max="1541" width="1.109375" style="2743" customWidth="1"/>
    <col min="1542" max="1542" width="9.109375" style="2743" customWidth="1"/>
    <col min="1543" max="1543" width="1.109375" style="2743" customWidth="1"/>
    <col min="1544" max="1544" width="11.109375" style="2743" customWidth="1"/>
    <col min="1545" max="1545" width="1.109375" style="2743" customWidth="1"/>
    <col min="1546" max="1546" width="9.109375" style="2743" customWidth="1"/>
    <col min="1547" max="1547" width="1.88671875" style="2743" customWidth="1"/>
    <col min="1548" max="1548" width="11" style="2743" customWidth="1"/>
    <col min="1549" max="1549" width="1.109375" style="2743" customWidth="1"/>
    <col min="1550" max="1550" width="10.88671875" style="2743" customWidth="1"/>
    <col min="1551" max="1551" width="1.109375" style="2743" customWidth="1"/>
    <col min="1552" max="1552" width="10" style="2743" customWidth="1"/>
    <col min="1553" max="1553" width="1.109375" style="2743" customWidth="1"/>
    <col min="1554" max="1554" width="9.109375" style="2743" customWidth="1"/>
    <col min="1555" max="1555" width="1.109375" style="2743" customWidth="1"/>
    <col min="1556" max="1556" width="7.88671875" style="2743" customWidth="1"/>
    <col min="1557" max="1557" width="1.109375" style="2743" customWidth="1"/>
    <col min="1558" max="1558" width="0.88671875" style="2743" customWidth="1"/>
    <col min="1559" max="1559" width="9.109375" style="2743" customWidth="1"/>
    <col min="1560" max="1560" width="1.109375" style="2743" customWidth="1"/>
    <col min="1561" max="1561" width="0.88671875" style="2743" customWidth="1"/>
    <col min="1562" max="1562" width="9.5546875" style="2743" bestFit="1" customWidth="1"/>
    <col min="1563" max="1564" width="0.88671875" style="2743" customWidth="1"/>
    <col min="1565" max="1565" width="9.88671875" style="2743" customWidth="1"/>
    <col min="1566" max="1566" width="1.109375" style="2743" customWidth="1"/>
    <col min="1567" max="1567" width="8.5546875" style="2743" customWidth="1"/>
    <col min="1568" max="1568" width="14.5546875" style="2743" customWidth="1"/>
    <col min="1569" max="1569" width="10" style="2743" customWidth="1"/>
    <col min="1570" max="1570" width="7.88671875" style="2743" bestFit="1" customWidth="1"/>
    <col min="1571" max="1571" width="9.88671875" style="2743" customWidth="1"/>
    <col min="1572" max="1788" width="8.88671875" style="2743"/>
    <col min="1789" max="1789" width="38.44140625" style="2743" customWidth="1"/>
    <col min="1790" max="1790" width="8.5546875" style="2743" customWidth="1"/>
    <col min="1791" max="1791" width="1.109375" style="2743" customWidth="1"/>
    <col min="1792" max="1792" width="8.88671875" style="2743" customWidth="1"/>
    <col min="1793" max="1793" width="1.109375" style="2743" customWidth="1"/>
    <col min="1794" max="1794" width="9.109375" style="2743" customWidth="1"/>
    <col min="1795" max="1795" width="1.109375" style="2743" customWidth="1"/>
    <col min="1796" max="1796" width="10" style="2743" customWidth="1"/>
    <col min="1797" max="1797" width="1.109375" style="2743" customWidth="1"/>
    <col min="1798" max="1798" width="9.109375" style="2743" customWidth="1"/>
    <col min="1799" max="1799" width="1.109375" style="2743" customWidth="1"/>
    <col min="1800" max="1800" width="11.109375" style="2743" customWidth="1"/>
    <col min="1801" max="1801" width="1.109375" style="2743" customWidth="1"/>
    <col min="1802" max="1802" width="9.109375" style="2743" customWidth="1"/>
    <col min="1803" max="1803" width="1.88671875" style="2743" customWidth="1"/>
    <col min="1804" max="1804" width="11" style="2743" customWidth="1"/>
    <col min="1805" max="1805" width="1.109375" style="2743" customWidth="1"/>
    <col min="1806" max="1806" width="10.88671875" style="2743" customWidth="1"/>
    <col min="1807" max="1807" width="1.109375" style="2743" customWidth="1"/>
    <col min="1808" max="1808" width="10" style="2743" customWidth="1"/>
    <col min="1809" max="1809" width="1.109375" style="2743" customWidth="1"/>
    <col min="1810" max="1810" width="9.109375" style="2743" customWidth="1"/>
    <col min="1811" max="1811" width="1.109375" style="2743" customWidth="1"/>
    <col min="1812" max="1812" width="7.88671875" style="2743" customWidth="1"/>
    <col min="1813" max="1813" width="1.109375" style="2743" customWidth="1"/>
    <col min="1814" max="1814" width="0.88671875" style="2743" customWidth="1"/>
    <col min="1815" max="1815" width="9.109375" style="2743" customWidth="1"/>
    <col min="1816" max="1816" width="1.109375" style="2743" customWidth="1"/>
    <col min="1817" max="1817" width="0.88671875" style="2743" customWidth="1"/>
    <col min="1818" max="1818" width="9.5546875" style="2743" bestFit="1" customWidth="1"/>
    <col min="1819" max="1820" width="0.88671875" style="2743" customWidth="1"/>
    <col min="1821" max="1821" width="9.88671875" style="2743" customWidth="1"/>
    <col min="1822" max="1822" width="1.109375" style="2743" customWidth="1"/>
    <col min="1823" max="1823" width="8.5546875" style="2743" customWidth="1"/>
    <col min="1824" max="1824" width="14.5546875" style="2743" customWidth="1"/>
    <col min="1825" max="1825" width="10" style="2743" customWidth="1"/>
    <col min="1826" max="1826" width="7.88671875" style="2743" bestFit="1" customWidth="1"/>
    <col min="1827" max="1827" width="9.88671875" style="2743" customWidth="1"/>
    <col min="1828" max="2044" width="8.88671875" style="2743"/>
    <col min="2045" max="2045" width="38.44140625" style="2743" customWidth="1"/>
    <col min="2046" max="2046" width="8.5546875" style="2743" customWidth="1"/>
    <col min="2047" max="2047" width="1.109375" style="2743" customWidth="1"/>
    <col min="2048" max="2048" width="8.88671875" style="2743" customWidth="1"/>
    <col min="2049" max="2049" width="1.109375" style="2743" customWidth="1"/>
    <col min="2050" max="2050" width="9.109375" style="2743" customWidth="1"/>
    <col min="2051" max="2051" width="1.109375" style="2743" customWidth="1"/>
    <col min="2052" max="2052" width="10" style="2743" customWidth="1"/>
    <col min="2053" max="2053" width="1.109375" style="2743" customWidth="1"/>
    <col min="2054" max="2054" width="9.109375" style="2743" customWidth="1"/>
    <col min="2055" max="2055" width="1.109375" style="2743" customWidth="1"/>
    <col min="2056" max="2056" width="11.109375" style="2743" customWidth="1"/>
    <col min="2057" max="2057" width="1.109375" style="2743" customWidth="1"/>
    <col min="2058" max="2058" width="9.109375" style="2743" customWidth="1"/>
    <col min="2059" max="2059" width="1.88671875" style="2743" customWidth="1"/>
    <col min="2060" max="2060" width="11" style="2743" customWidth="1"/>
    <col min="2061" max="2061" width="1.109375" style="2743" customWidth="1"/>
    <col min="2062" max="2062" width="10.88671875" style="2743" customWidth="1"/>
    <col min="2063" max="2063" width="1.109375" style="2743" customWidth="1"/>
    <col min="2064" max="2064" width="10" style="2743" customWidth="1"/>
    <col min="2065" max="2065" width="1.109375" style="2743" customWidth="1"/>
    <col min="2066" max="2066" width="9.109375" style="2743" customWidth="1"/>
    <col min="2067" max="2067" width="1.109375" style="2743" customWidth="1"/>
    <col min="2068" max="2068" width="7.88671875" style="2743" customWidth="1"/>
    <col min="2069" max="2069" width="1.109375" style="2743" customWidth="1"/>
    <col min="2070" max="2070" width="0.88671875" style="2743" customWidth="1"/>
    <col min="2071" max="2071" width="9.109375" style="2743" customWidth="1"/>
    <col min="2072" max="2072" width="1.109375" style="2743" customWidth="1"/>
    <col min="2073" max="2073" width="0.88671875" style="2743" customWidth="1"/>
    <col min="2074" max="2074" width="9.5546875" style="2743" bestFit="1" customWidth="1"/>
    <col min="2075" max="2076" width="0.88671875" style="2743" customWidth="1"/>
    <col min="2077" max="2077" width="9.88671875" style="2743" customWidth="1"/>
    <col min="2078" max="2078" width="1.109375" style="2743" customWidth="1"/>
    <col min="2079" max="2079" width="8.5546875" style="2743" customWidth="1"/>
    <col min="2080" max="2080" width="14.5546875" style="2743" customWidth="1"/>
    <col min="2081" max="2081" width="10" style="2743" customWidth="1"/>
    <col min="2082" max="2082" width="7.88671875" style="2743" bestFit="1" customWidth="1"/>
    <col min="2083" max="2083" width="9.88671875" style="2743" customWidth="1"/>
    <col min="2084" max="2300" width="8.88671875" style="2743"/>
    <col min="2301" max="2301" width="38.44140625" style="2743" customWidth="1"/>
    <col min="2302" max="2302" width="8.5546875" style="2743" customWidth="1"/>
    <col min="2303" max="2303" width="1.109375" style="2743" customWidth="1"/>
    <col min="2304" max="2304" width="8.88671875" style="2743" customWidth="1"/>
    <col min="2305" max="2305" width="1.109375" style="2743" customWidth="1"/>
    <col min="2306" max="2306" width="9.109375" style="2743" customWidth="1"/>
    <col min="2307" max="2307" width="1.109375" style="2743" customWidth="1"/>
    <col min="2308" max="2308" width="10" style="2743" customWidth="1"/>
    <col min="2309" max="2309" width="1.109375" style="2743" customWidth="1"/>
    <col min="2310" max="2310" width="9.109375" style="2743" customWidth="1"/>
    <col min="2311" max="2311" width="1.109375" style="2743" customWidth="1"/>
    <col min="2312" max="2312" width="11.109375" style="2743" customWidth="1"/>
    <col min="2313" max="2313" width="1.109375" style="2743" customWidth="1"/>
    <col min="2314" max="2314" width="9.109375" style="2743" customWidth="1"/>
    <col min="2315" max="2315" width="1.88671875" style="2743" customWidth="1"/>
    <col min="2316" max="2316" width="11" style="2743" customWidth="1"/>
    <col min="2317" max="2317" width="1.109375" style="2743" customWidth="1"/>
    <col min="2318" max="2318" width="10.88671875" style="2743" customWidth="1"/>
    <col min="2319" max="2319" width="1.109375" style="2743" customWidth="1"/>
    <col min="2320" max="2320" width="10" style="2743" customWidth="1"/>
    <col min="2321" max="2321" width="1.109375" style="2743" customWidth="1"/>
    <col min="2322" max="2322" width="9.109375" style="2743" customWidth="1"/>
    <col min="2323" max="2323" width="1.109375" style="2743" customWidth="1"/>
    <col min="2324" max="2324" width="7.88671875" style="2743" customWidth="1"/>
    <col min="2325" max="2325" width="1.109375" style="2743" customWidth="1"/>
    <col min="2326" max="2326" width="0.88671875" style="2743" customWidth="1"/>
    <col min="2327" max="2327" width="9.109375" style="2743" customWidth="1"/>
    <col min="2328" max="2328" width="1.109375" style="2743" customWidth="1"/>
    <col min="2329" max="2329" width="0.88671875" style="2743" customWidth="1"/>
    <col min="2330" max="2330" width="9.5546875" style="2743" bestFit="1" customWidth="1"/>
    <col min="2331" max="2332" width="0.88671875" style="2743" customWidth="1"/>
    <col min="2333" max="2333" width="9.88671875" style="2743" customWidth="1"/>
    <col min="2334" max="2334" width="1.109375" style="2743" customWidth="1"/>
    <col min="2335" max="2335" width="8.5546875" style="2743" customWidth="1"/>
    <col min="2336" max="2336" width="14.5546875" style="2743" customWidth="1"/>
    <col min="2337" max="2337" width="10" style="2743" customWidth="1"/>
    <col min="2338" max="2338" width="7.88671875" style="2743" bestFit="1" customWidth="1"/>
    <col min="2339" max="2339" width="9.88671875" style="2743" customWidth="1"/>
    <col min="2340" max="2556" width="8.88671875" style="2743"/>
    <col min="2557" max="2557" width="38.44140625" style="2743" customWidth="1"/>
    <col min="2558" max="2558" width="8.5546875" style="2743" customWidth="1"/>
    <col min="2559" max="2559" width="1.109375" style="2743" customWidth="1"/>
    <col min="2560" max="2560" width="8.88671875" style="2743" customWidth="1"/>
    <col min="2561" max="2561" width="1.109375" style="2743" customWidth="1"/>
    <col min="2562" max="2562" width="9.109375" style="2743" customWidth="1"/>
    <col min="2563" max="2563" width="1.109375" style="2743" customWidth="1"/>
    <col min="2564" max="2564" width="10" style="2743" customWidth="1"/>
    <col min="2565" max="2565" width="1.109375" style="2743" customWidth="1"/>
    <col min="2566" max="2566" width="9.109375" style="2743" customWidth="1"/>
    <col min="2567" max="2567" width="1.109375" style="2743" customWidth="1"/>
    <col min="2568" max="2568" width="11.109375" style="2743" customWidth="1"/>
    <col min="2569" max="2569" width="1.109375" style="2743" customWidth="1"/>
    <col min="2570" max="2570" width="9.109375" style="2743" customWidth="1"/>
    <col min="2571" max="2571" width="1.88671875" style="2743" customWidth="1"/>
    <col min="2572" max="2572" width="11" style="2743" customWidth="1"/>
    <col min="2573" max="2573" width="1.109375" style="2743" customWidth="1"/>
    <col min="2574" max="2574" width="10.88671875" style="2743" customWidth="1"/>
    <col min="2575" max="2575" width="1.109375" style="2743" customWidth="1"/>
    <col min="2576" max="2576" width="10" style="2743" customWidth="1"/>
    <col min="2577" max="2577" width="1.109375" style="2743" customWidth="1"/>
    <col min="2578" max="2578" width="9.109375" style="2743" customWidth="1"/>
    <col min="2579" max="2579" width="1.109375" style="2743" customWidth="1"/>
    <col min="2580" max="2580" width="7.88671875" style="2743" customWidth="1"/>
    <col min="2581" max="2581" width="1.109375" style="2743" customWidth="1"/>
    <col min="2582" max="2582" width="0.88671875" style="2743" customWidth="1"/>
    <col min="2583" max="2583" width="9.109375" style="2743" customWidth="1"/>
    <col min="2584" max="2584" width="1.109375" style="2743" customWidth="1"/>
    <col min="2585" max="2585" width="0.88671875" style="2743" customWidth="1"/>
    <col min="2586" max="2586" width="9.5546875" style="2743" bestFit="1" customWidth="1"/>
    <col min="2587" max="2588" width="0.88671875" style="2743" customWidth="1"/>
    <col min="2589" max="2589" width="9.88671875" style="2743" customWidth="1"/>
    <col min="2590" max="2590" width="1.109375" style="2743" customWidth="1"/>
    <col min="2591" max="2591" width="8.5546875" style="2743" customWidth="1"/>
    <col min="2592" max="2592" width="14.5546875" style="2743" customWidth="1"/>
    <col min="2593" max="2593" width="10" style="2743" customWidth="1"/>
    <col min="2594" max="2594" width="7.88671875" style="2743" bestFit="1" customWidth="1"/>
    <col min="2595" max="2595" width="9.88671875" style="2743" customWidth="1"/>
    <col min="2596" max="2812" width="8.88671875" style="2743"/>
    <col min="2813" max="2813" width="38.44140625" style="2743" customWidth="1"/>
    <col min="2814" max="2814" width="8.5546875" style="2743" customWidth="1"/>
    <col min="2815" max="2815" width="1.109375" style="2743" customWidth="1"/>
    <col min="2816" max="2816" width="8.88671875" style="2743" customWidth="1"/>
    <col min="2817" max="2817" width="1.109375" style="2743" customWidth="1"/>
    <col min="2818" max="2818" width="9.109375" style="2743" customWidth="1"/>
    <col min="2819" max="2819" width="1.109375" style="2743" customWidth="1"/>
    <col min="2820" max="2820" width="10" style="2743" customWidth="1"/>
    <col min="2821" max="2821" width="1.109375" style="2743" customWidth="1"/>
    <col min="2822" max="2822" width="9.109375" style="2743" customWidth="1"/>
    <col min="2823" max="2823" width="1.109375" style="2743" customWidth="1"/>
    <col min="2824" max="2824" width="11.109375" style="2743" customWidth="1"/>
    <col min="2825" max="2825" width="1.109375" style="2743" customWidth="1"/>
    <col min="2826" max="2826" width="9.109375" style="2743" customWidth="1"/>
    <col min="2827" max="2827" width="1.88671875" style="2743" customWidth="1"/>
    <col min="2828" max="2828" width="11" style="2743" customWidth="1"/>
    <col min="2829" max="2829" width="1.109375" style="2743" customWidth="1"/>
    <col min="2830" max="2830" width="10.88671875" style="2743" customWidth="1"/>
    <col min="2831" max="2831" width="1.109375" style="2743" customWidth="1"/>
    <col min="2832" max="2832" width="10" style="2743" customWidth="1"/>
    <col min="2833" max="2833" width="1.109375" style="2743" customWidth="1"/>
    <col min="2834" max="2834" width="9.109375" style="2743" customWidth="1"/>
    <col min="2835" max="2835" width="1.109375" style="2743" customWidth="1"/>
    <col min="2836" max="2836" width="7.88671875" style="2743" customWidth="1"/>
    <col min="2837" max="2837" width="1.109375" style="2743" customWidth="1"/>
    <col min="2838" max="2838" width="0.88671875" style="2743" customWidth="1"/>
    <col min="2839" max="2839" width="9.109375" style="2743" customWidth="1"/>
    <col min="2840" max="2840" width="1.109375" style="2743" customWidth="1"/>
    <col min="2841" max="2841" width="0.88671875" style="2743" customWidth="1"/>
    <col min="2842" max="2842" width="9.5546875" style="2743" bestFit="1" customWidth="1"/>
    <col min="2843" max="2844" width="0.88671875" style="2743" customWidth="1"/>
    <col min="2845" max="2845" width="9.88671875" style="2743" customWidth="1"/>
    <col min="2846" max="2846" width="1.109375" style="2743" customWidth="1"/>
    <col min="2847" max="2847" width="8.5546875" style="2743" customWidth="1"/>
    <col min="2848" max="2848" width="14.5546875" style="2743" customWidth="1"/>
    <col min="2849" max="2849" width="10" style="2743" customWidth="1"/>
    <col min="2850" max="2850" width="7.88671875" style="2743" bestFit="1" customWidth="1"/>
    <col min="2851" max="2851" width="9.88671875" style="2743" customWidth="1"/>
    <col min="2852" max="3068" width="8.88671875" style="2743"/>
    <col min="3069" max="3069" width="38.44140625" style="2743" customWidth="1"/>
    <col min="3070" max="3070" width="8.5546875" style="2743" customWidth="1"/>
    <col min="3071" max="3071" width="1.109375" style="2743" customWidth="1"/>
    <col min="3072" max="3072" width="8.88671875" style="2743" customWidth="1"/>
    <col min="3073" max="3073" width="1.109375" style="2743" customWidth="1"/>
    <col min="3074" max="3074" width="9.109375" style="2743" customWidth="1"/>
    <col min="3075" max="3075" width="1.109375" style="2743" customWidth="1"/>
    <col min="3076" max="3076" width="10" style="2743" customWidth="1"/>
    <col min="3077" max="3077" width="1.109375" style="2743" customWidth="1"/>
    <col min="3078" max="3078" width="9.109375" style="2743" customWidth="1"/>
    <col min="3079" max="3079" width="1.109375" style="2743" customWidth="1"/>
    <col min="3080" max="3080" width="11.109375" style="2743" customWidth="1"/>
    <col min="3081" max="3081" width="1.109375" style="2743" customWidth="1"/>
    <col min="3082" max="3082" width="9.109375" style="2743" customWidth="1"/>
    <col min="3083" max="3083" width="1.88671875" style="2743" customWidth="1"/>
    <col min="3084" max="3084" width="11" style="2743" customWidth="1"/>
    <col min="3085" max="3085" width="1.109375" style="2743" customWidth="1"/>
    <col min="3086" max="3086" width="10.88671875" style="2743" customWidth="1"/>
    <col min="3087" max="3087" width="1.109375" style="2743" customWidth="1"/>
    <col min="3088" max="3088" width="10" style="2743" customWidth="1"/>
    <col min="3089" max="3089" width="1.109375" style="2743" customWidth="1"/>
    <col min="3090" max="3090" width="9.109375" style="2743" customWidth="1"/>
    <col min="3091" max="3091" width="1.109375" style="2743" customWidth="1"/>
    <col min="3092" max="3092" width="7.88671875" style="2743" customWidth="1"/>
    <col min="3093" max="3093" width="1.109375" style="2743" customWidth="1"/>
    <col min="3094" max="3094" width="0.88671875" style="2743" customWidth="1"/>
    <col min="3095" max="3095" width="9.109375" style="2743" customWidth="1"/>
    <col min="3096" max="3096" width="1.109375" style="2743" customWidth="1"/>
    <col min="3097" max="3097" width="0.88671875" style="2743" customWidth="1"/>
    <col min="3098" max="3098" width="9.5546875" style="2743" bestFit="1" customWidth="1"/>
    <col min="3099" max="3100" width="0.88671875" style="2743" customWidth="1"/>
    <col min="3101" max="3101" width="9.88671875" style="2743" customWidth="1"/>
    <col min="3102" max="3102" width="1.109375" style="2743" customWidth="1"/>
    <col min="3103" max="3103" width="8.5546875" style="2743" customWidth="1"/>
    <col min="3104" max="3104" width="14.5546875" style="2743" customWidth="1"/>
    <col min="3105" max="3105" width="10" style="2743" customWidth="1"/>
    <col min="3106" max="3106" width="7.88671875" style="2743" bestFit="1" customWidth="1"/>
    <col min="3107" max="3107" width="9.88671875" style="2743" customWidth="1"/>
    <col min="3108" max="3324" width="8.88671875" style="2743"/>
    <col min="3325" max="3325" width="38.44140625" style="2743" customWidth="1"/>
    <col min="3326" max="3326" width="8.5546875" style="2743" customWidth="1"/>
    <col min="3327" max="3327" width="1.109375" style="2743" customWidth="1"/>
    <col min="3328" max="3328" width="8.88671875" style="2743" customWidth="1"/>
    <col min="3329" max="3329" width="1.109375" style="2743" customWidth="1"/>
    <col min="3330" max="3330" width="9.109375" style="2743" customWidth="1"/>
    <col min="3331" max="3331" width="1.109375" style="2743" customWidth="1"/>
    <col min="3332" max="3332" width="10" style="2743" customWidth="1"/>
    <col min="3333" max="3333" width="1.109375" style="2743" customWidth="1"/>
    <col min="3334" max="3334" width="9.109375" style="2743" customWidth="1"/>
    <col min="3335" max="3335" width="1.109375" style="2743" customWidth="1"/>
    <col min="3336" max="3336" width="11.109375" style="2743" customWidth="1"/>
    <col min="3337" max="3337" width="1.109375" style="2743" customWidth="1"/>
    <col min="3338" max="3338" width="9.109375" style="2743" customWidth="1"/>
    <col min="3339" max="3339" width="1.88671875" style="2743" customWidth="1"/>
    <col min="3340" max="3340" width="11" style="2743" customWidth="1"/>
    <col min="3341" max="3341" width="1.109375" style="2743" customWidth="1"/>
    <col min="3342" max="3342" width="10.88671875" style="2743" customWidth="1"/>
    <col min="3343" max="3343" width="1.109375" style="2743" customWidth="1"/>
    <col min="3344" max="3344" width="10" style="2743" customWidth="1"/>
    <col min="3345" max="3345" width="1.109375" style="2743" customWidth="1"/>
    <col min="3346" max="3346" width="9.109375" style="2743" customWidth="1"/>
    <col min="3347" max="3347" width="1.109375" style="2743" customWidth="1"/>
    <col min="3348" max="3348" width="7.88671875" style="2743" customWidth="1"/>
    <col min="3349" max="3349" width="1.109375" style="2743" customWidth="1"/>
    <col min="3350" max="3350" width="0.88671875" style="2743" customWidth="1"/>
    <col min="3351" max="3351" width="9.109375" style="2743" customWidth="1"/>
    <col min="3352" max="3352" width="1.109375" style="2743" customWidth="1"/>
    <col min="3353" max="3353" width="0.88671875" style="2743" customWidth="1"/>
    <col min="3354" max="3354" width="9.5546875" style="2743" bestFit="1" customWidth="1"/>
    <col min="3355" max="3356" width="0.88671875" style="2743" customWidth="1"/>
    <col min="3357" max="3357" width="9.88671875" style="2743" customWidth="1"/>
    <col min="3358" max="3358" width="1.109375" style="2743" customWidth="1"/>
    <col min="3359" max="3359" width="8.5546875" style="2743" customWidth="1"/>
    <col min="3360" max="3360" width="14.5546875" style="2743" customWidth="1"/>
    <col min="3361" max="3361" width="10" style="2743" customWidth="1"/>
    <col min="3362" max="3362" width="7.88671875" style="2743" bestFit="1" customWidth="1"/>
    <col min="3363" max="3363" width="9.88671875" style="2743" customWidth="1"/>
    <col min="3364" max="3580" width="8.88671875" style="2743"/>
    <col min="3581" max="3581" width="38.44140625" style="2743" customWidth="1"/>
    <col min="3582" max="3582" width="8.5546875" style="2743" customWidth="1"/>
    <col min="3583" max="3583" width="1.109375" style="2743" customWidth="1"/>
    <col min="3584" max="3584" width="8.88671875" style="2743" customWidth="1"/>
    <col min="3585" max="3585" width="1.109375" style="2743" customWidth="1"/>
    <col min="3586" max="3586" width="9.109375" style="2743" customWidth="1"/>
    <col min="3587" max="3587" width="1.109375" style="2743" customWidth="1"/>
    <col min="3588" max="3588" width="10" style="2743" customWidth="1"/>
    <col min="3589" max="3589" width="1.109375" style="2743" customWidth="1"/>
    <col min="3590" max="3590" width="9.109375" style="2743" customWidth="1"/>
    <col min="3591" max="3591" width="1.109375" style="2743" customWidth="1"/>
    <col min="3592" max="3592" width="11.109375" style="2743" customWidth="1"/>
    <col min="3593" max="3593" width="1.109375" style="2743" customWidth="1"/>
    <col min="3594" max="3594" width="9.109375" style="2743" customWidth="1"/>
    <col min="3595" max="3595" width="1.88671875" style="2743" customWidth="1"/>
    <col min="3596" max="3596" width="11" style="2743" customWidth="1"/>
    <col min="3597" max="3597" width="1.109375" style="2743" customWidth="1"/>
    <col min="3598" max="3598" width="10.88671875" style="2743" customWidth="1"/>
    <col min="3599" max="3599" width="1.109375" style="2743" customWidth="1"/>
    <col min="3600" max="3600" width="10" style="2743" customWidth="1"/>
    <col min="3601" max="3601" width="1.109375" style="2743" customWidth="1"/>
    <col min="3602" max="3602" width="9.109375" style="2743" customWidth="1"/>
    <col min="3603" max="3603" width="1.109375" style="2743" customWidth="1"/>
    <col min="3604" max="3604" width="7.88671875" style="2743" customWidth="1"/>
    <col min="3605" max="3605" width="1.109375" style="2743" customWidth="1"/>
    <col min="3606" max="3606" width="0.88671875" style="2743" customWidth="1"/>
    <col min="3607" max="3607" width="9.109375" style="2743" customWidth="1"/>
    <col min="3608" max="3608" width="1.109375" style="2743" customWidth="1"/>
    <col min="3609" max="3609" width="0.88671875" style="2743" customWidth="1"/>
    <col min="3610" max="3610" width="9.5546875" style="2743" bestFit="1" customWidth="1"/>
    <col min="3611" max="3612" width="0.88671875" style="2743" customWidth="1"/>
    <col min="3613" max="3613" width="9.88671875" style="2743" customWidth="1"/>
    <col min="3614" max="3614" width="1.109375" style="2743" customWidth="1"/>
    <col min="3615" max="3615" width="8.5546875" style="2743" customWidth="1"/>
    <col min="3616" max="3616" width="14.5546875" style="2743" customWidth="1"/>
    <col min="3617" max="3617" width="10" style="2743" customWidth="1"/>
    <col min="3618" max="3618" width="7.88671875" style="2743" bestFit="1" customWidth="1"/>
    <col min="3619" max="3619" width="9.88671875" style="2743" customWidth="1"/>
    <col min="3620" max="3836" width="8.88671875" style="2743"/>
    <col min="3837" max="3837" width="38.44140625" style="2743" customWidth="1"/>
    <col min="3838" max="3838" width="8.5546875" style="2743" customWidth="1"/>
    <col min="3839" max="3839" width="1.109375" style="2743" customWidth="1"/>
    <col min="3840" max="3840" width="8.88671875" style="2743" customWidth="1"/>
    <col min="3841" max="3841" width="1.109375" style="2743" customWidth="1"/>
    <col min="3842" max="3842" width="9.109375" style="2743" customWidth="1"/>
    <col min="3843" max="3843" width="1.109375" style="2743" customWidth="1"/>
    <col min="3844" max="3844" width="10" style="2743" customWidth="1"/>
    <col min="3845" max="3845" width="1.109375" style="2743" customWidth="1"/>
    <col min="3846" max="3846" width="9.109375" style="2743" customWidth="1"/>
    <col min="3847" max="3847" width="1.109375" style="2743" customWidth="1"/>
    <col min="3848" max="3848" width="11.109375" style="2743" customWidth="1"/>
    <col min="3849" max="3849" width="1.109375" style="2743" customWidth="1"/>
    <col min="3850" max="3850" width="9.109375" style="2743" customWidth="1"/>
    <col min="3851" max="3851" width="1.88671875" style="2743" customWidth="1"/>
    <col min="3852" max="3852" width="11" style="2743" customWidth="1"/>
    <col min="3853" max="3853" width="1.109375" style="2743" customWidth="1"/>
    <col min="3854" max="3854" width="10.88671875" style="2743" customWidth="1"/>
    <col min="3855" max="3855" width="1.109375" style="2743" customWidth="1"/>
    <col min="3856" max="3856" width="10" style="2743" customWidth="1"/>
    <col min="3857" max="3857" width="1.109375" style="2743" customWidth="1"/>
    <col min="3858" max="3858" width="9.109375" style="2743" customWidth="1"/>
    <col min="3859" max="3859" width="1.109375" style="2743" customWidth="1"/>
    <col min="3860" max="3860" width="7.88671875" style="2743" customWidth="1"/>
    <col min="3861" max="3861" width="1.109375" style="2743" customWidth="1"/>
    <col min="3862" max="3862" width="0.88671875" style="2743" customWidth="1"/>
    <col min="3863" max="3863" width="9.109375" style="2743" customWidth="1"/>
    <col min="3864" max="3864" width="1.109375" style="2743" customWidth="1"/>
    <col min="3865" max="3865" width="0.88671875" style="2743" customWidth="1"/>
    <col min="3866" max="3866" width="9.5546875" style="2743" bestFit="1" customWidth="1"/>
    <col min="3867" max="3868" width="0.88671875" style="2743" customWidth="1"/>
    <col min="3869" max="3869" width="9.88671875" style="2743" customWidth="1"/>
    <col min="3870" max="3870" width="1.109375" style="2743" customWidth="1"/>
    <col min="3871" max="3871" width="8.5546875" style="2743" customWidth="1"/>
    <col min="3872" max="3872" width="14.5546875" style="2743" customWidth="1"/>
    <col min="3873" max="3873" width="10" style="2743" customWidth="1"/>
    <col min="3874" max="3874" width="7.88671875" style="2743" bestFit="1" customWidth="1"/>
    <col min="3875" max="3875" width="9.88671875" style="2743" customWidth="1"/>
    <col min="3876" max="4092" width="8.88671875" style="2743"/>
    <col min="4093" max="4093" width="38.44140625" style="2743" customWidth="1"/>
    <col min="4094" max="4094" width="8.5546875" style="2743" customWidth="1"/>
    <col min="4095" max="4095" width="1.109375" style="2743" customWidth="1"/>
    <col min="4096" max="4096" width="8.88671875" style="2743" customWidth="1"/>
    <col min="4097" max="4097" width="1.109375" style="2743" customWidth="1"/>
    <col min="4098" max="4098" width="9.109375" style="2743" customWidth="1"/>
    <col min="4099" max="4099" width="1.109375" style="2743" customWidth="1"/>
    <col min="4100" max="4100" width="10" style="2743" customWidth="1"/>
    <col min="4101" max="4101" width="1.109375" style="2743" customWidth="1"/>
    <col min="4102" max="4102" width="9.109375" style="2743" customWidth="1"/>
    <col min="4103" max="4103" width="1.109375" style="2743" customWidth="1"/>
    <col min="4104" max="4104" width="11.109375" style="2743" customWidth="1"/>
    <col min="4105" max="4105" width="1.109375" style="2743" customWidth="1"/>
    <col min="4106" max="4106" width="9.109375" style="2743" customWidth="1"/>
    <col min="4107" max="4107" width="1.88671875" style="2743" customWidth="1"/>
    <col min="4108" max="4108" width="11" style="2743" customWidth="1"/>
    <col min="4109" max="4109" width="1.109375" style="2743" customWidth="1"/>
    <col min="4110" max="4110" width="10.88671875" style="2743" customWidth="1"/>
    <col min="4111" max="4111" width="1.109375" style="2743" customWidth="1"/>
    <col min="4112" max="4112" width="10" style="2743" customWidth="1"/>
    <col min="4113" max="4113" width="1.109375" style="2743" customWidth="1"/>
    <col min="4114" max="4114" width="9.109375" style="2743" customWidth="1"/>
    <col min="4115" max="4115" width="1.109375" style="2743" customWidth="1"/>
    <col min="4116" max="4116" width="7.88671875" style="2743" customWidth="1"/>
    <col min="4117" max="4117" width="1.109375" style="2743" customWidth="1"/>
    <col min="4118" max="4118" width="0.88671875" style="2743" customWidth="1"/>
    <col min="4119" max="4119" width="9.109375" style="2743" customWidth="1"/>
    <col min="4120" max="4120" width="1.109375" style="2743" customWidth="1"/>
    <col min="4121" max="4121" width="0.88671875" style="2743" customWidth="1"/>
    <col min="4122" max="4122" width="9.5546875" style="2743" bestFit="1" customWidth="1"/>
    <col min="4123" max="4124" width="0.88671875" style="2743" customWidth="1"/>
    <col min="4125" max="4125" width="9.88671875" style="2743" customWidth="1"/>
    <col min="4126" max="4126" width="1.109375" style="2743" customWidth="1"/>
    <col min="4127" max="4127" width="8.5546875" style="2743" customWidth="1"/>
    <col min="4128" max="4128" width="14.5546875" style="2743" customWidth="1"/>
    <col min="4129" max="4129" width="10" style="2743" customWidth="1"/>
    <col min="4130" max="4130" width="7.88671875" style="2743" bestFit="1" customWidth="1"/>
    <col min="4131" max="4131" width="9.88671875" style="2743" customWidth="1"/>
    <col min="4132" max="4348" width="8.88671875" style="2743"/>
    <col min="4349" max="4349" width="38.44140625" style="2743" customWidth="1"/>
    <col min="4350" max="4350" width="8.5546875" style="2743" customWidth="1"/>
    <col min="4351" max="4351" width="1.109375" style="2743" customWidth="1"/>
    <col min="4352" max="4352" width="8.88671875" style="2743" customWidth="1"/>
    <col min="4353" max="4353" width="1.109375" style="2743" customWidth="1"/>
    <col min="4354" max="4354" width="9.109375" style="2743" customWidth="1"/>
    <col min="4355" max="4355" width="1.109375" style="2743" customWidth="1"/>
    <col min="4356" max="4356" width="10" style="2743" customWidth="1"/>
    <col min="4357" max="4357" width="1.109375" style="2743" customWidth="1"/>
    <col min="4358" max="4358" width="9.109375" style="2743" customWidth="1"/>
    <col min="4359" max="4359" width="1.109375" style="2743" customWidth="1"/>
    <col min="4360" max="4360" width="11.109375" style="2743" customWidth="1"/>
    <col min="4361" max="4361" width="1.109375" style="2743" customWidth="1"/>
    <col min="4362" max="4362" width="9.109375" style="2743" customWidth="1"/>
    <col min="4363" max="4363" width="1.88671875" style="2743" customWidth="1"/>
    <col min="4364" max="4364" width="11" style="2743" customWidth="1"/>
    <col min="4365" max="4365" width="1.109375" style="2743" customWidth="1"/>
    <col min="4366" max="4366" width="10.88671875" style="2743" customWidth="1"/>
    <col min="4367" max="4367" width="1.109375" style="2743" customWidth="1"/>
    <col min="4368" max="4368" width="10" style="2743" customWidth="1"/>
    <col min="4369" max="4369" width="1.109375" style="2743" customWidth="1"/>
    <col min="4370" max="4370" width="9.109375" style="2743" customWidth="1"/>
    <col min="4371" max="4371" width="1.109375" style="2743" customWidth="1"/>
    <col min="4372" max="4372" width="7.88671875" style="2743" customWidth="1"/>
    <col min="4373" max="4373" width="1.109375" style="2743" customWidth="1"/>
    <col min="4374" max="4374" width="0.88671875" style="2743" customWidth="1"/>
    <col min="4375" max="4375" width="9.109375" style="2743" customWidth="1"/>
    <col min="4376" max="4376" width="1.109375" style="2743" customWidth="1"/>
    <col min="4377" max="4377" width="0.88671875" style="2743" customWidth="1"/>
    <col min="4378" max="4378" width="9.5546875" style="2743" bestFit="1" customWidth="1"/>
    <col min="4379" max="4380" width="0.88671875" style="2743" customWidth="1"/>
    <col min="4381" max="4381" width="9.88671875" style="2743" customWidth="1"/>
    <col min="4382" max="4382" width="1.109375" style="2743" customWidth="1"/>
    <col min="4383" max="4383" width="8.5546875" style="2743" customWidth="1"/>
    <col min="4384" max="4384" width="14.5546875" style="2743" customWidth="1"/>
    <col min="4385" max="4385" width="10" style="2743" customWidth="1"/>
    <col min="4386" max="4386" width="7.88671875" style="2743" bestFit="1" customWidth="1"/>
    <col min="4387" max="4387" width="9.88671875" style="2743" customWidth="1"/>
    <col min="4388" max="4604" width="8.88671875" style="2743"/>
    <col min="4605" max="4605" width="38.44140625" style="2743" customWidth="1"/>
    <col min="4606" max="4606" width="8.5546875" style="2743" customWidth="1"/>
    <col min="4607" max="4607" width="1.109375" style="2743" customWidth="1"/>
    <col min="4608" max="4608" width="8.88671875" style="2743" customWidth="1"/>
    <col min="4609" max="4609" width="1.109375" style="2743" customWidth="1"/>
    <col min="4610" max="4610" width="9.109375" style="2743" customWidth="1"/>
    <col min="4611" max="4611" width="1.109375" style="2743" customWidth="1"/>
    <col min="4612" max="4612" width="10" style="2743" customWidth="1"/>
    <col min="4613" max="4613" width="1.109375" style="2743" customWidth="1"/>
    <col min="4614" max="4614" width="9.109375" style="2743" customWidth="1"/>
    <col min="4615" max="4615" width="1.109375" style="2743" customWidth="1"/>
    <col min="4616" max="4616" width="11.109375" style="2743" customWidth="1"/>
    <col min="4617" max="4617" width="1.109375" style="2743" customWidth="1"/>
    <col min="4618" max="4618" width="9.109375" style="2743" customWidth="1"/>
    <col min="4619" max="4619" width="1.88671875" style="2743" customWidth="1"/>
    <col min="4620" max="4620" width="11" style="2743" customWidth="1"/>
    <col min="4621" max="4621" width="1.109375" style="2743" customWidth="1"/>
    <col min="4622" max="4622" width="10.88671875" style="2743" customWidth="1"/>
    <col min="4623" max="4623" width="1.109375" style="2743" customWidth="1"/>
    <col min="4624" max="4624" width="10" style="2743" customWidth="1"/>
    <col min="4625" max="4625" width="1.109375" style="2743" customWidth="1"/>
    <col min="4626" max="4626" width="9.109375" style="2743" customWidth="1"/>
    <col min="4627" max="4627" width="1.109375" style="2743" customWidth="1"/>
    <col min="4628" max="4628" width="7.88671875" style="2743" customWidth="1"/>
    <col min="4629" max="4629" width="1.109375" style="2743" customWidth="1"/>
    <col min="4630" max="4630" width="0.88671875" style="2743" customWidth="1"/>
    <col min="4631" max="4631" width="9.109375" style="2743" customWidth="1"/>
    <col min="4632" max="4632" width="1.109375" style="2743" customWidth="1"/>
    <col min="4633" max="4633" width="0.88671875" style="2743" customWidth="1"/>
    <col min="4634" max="4634" width="9.5546875" style="2743" bestFit="1" customWidth="1"/>
    <col min="4635" max="4636" width="0.88671875" style="2743" customWidth="1"/>
    <col min="4637" max="4637" width="9.88671875" style="2743" customWidth="1"/>
    <col min="4638" max="4638" width="1.109375" style="2743" customWidth="1"/>
    <col min="4639" max="4639" width="8.5546875" style="2743" customWidth="1"/>
    <col min="4640" max="4640" width="14.5546875" style="2743" customWidth="1"/>
    <col min="4641" max="4641" width="10" style="2743" customWidth="1"/>
    <col min="4642" max="4642" width="7.88671875" style="2743" bestFit="1" customWidth="1"/>
    <col min="4643" max="4643" width="9.88671875" style="2743" customWidth="1"/>
    <col min="4644" max="4860" width="8.88671875" style="2743"/>
    <col min="4861" max="4861" width="38.44140625" style="2743" customWidth="1"/>
    <col min="4862" max="4862" width="8.5546875" style="2743" customWidth="1"/>
    <col min="4863" max="4863" width="1.109375" style="2743" customWidth="1"/>
    <col min="4864" max="4864" width="8.88671875" style="2743" customWidth="1"/>
    <col min="4865" max="4865" width="1.109375" style="2743" customWidth="1"/>
    <col min="4866" max="4866" width="9.109375" style="2743" customWidth="1"/>
    <col min="4867" max="4867" width="1.109375" style="2743" customWidth="1"/>
    <col min="4868" max="4868" width="10" style="2743" customWidth="1"/>
    <col min="4869" max="4869" width="1.109375" style="2743" customWidth="1"/>
    <col min="4870" max="4870" width="9.109375" style="2743" customWidth="1"/>
    <col min="4871" max="4871" width="1.109375" style="2743" customWidth="1"/>
    <col min="4872" max="4872" width="11.109375" style="2743" customWidth="1"/>
    <col min="4873" max="4873" width="1.109375" style="2743" customWidth="1"/>
    <col min="4874" max="4874" width="9.109375" style="2743" customWidth="1"/>
    <col min="4875" max="4875" width="1.88671875" style="2743" customWidth="1"/>
    <col min="4876" max="4876" width="11" style="2743" customWidth="1"/>
    <col min="4877" max="4877" width="1.109375" style="2743" customWidth="1"/>
    <col min="4878" max="4878" width="10.88671875" style="2743" customWidth="1"/>
    <col min="4879" max="4879" width="1.109375" style="2743" customWidth="1"/>
    <col min="4880" max="4880" width="10" style="2743" customWidth="1"/>
    <col min="4881" max="4881" width="1.109375" style="2743" customWidth="1"/>
    <col min="4882" max="4882" width="9.109375" style="2743" customWidth="1"/>
    <col min="4883" max="4883" width="1.109375" style="2743" customWidth="1"/>
    <col min="4884" max="4884" width="7.88671875" style="2743" customWidth="1"/>
    <col min="4885" max="4885" width="1.109375" style="2743" customWidth="1"/>
    <col min="4886" max="4886" width="0.88671875" style="2743" customWidth="1"/>
    <col min="4887" max="4887" width="9.109375" style="2743" customWidth="1"/>
    <col min="4888" max="4888" width="1.109375" style="2743" customWidth="1"/>
    <col min="4889" max="4889" width="0.88671875" style="2743" customWidth="1"/>
    <col min="4890" max="4890" width="9.5546875" style="2743" bestFit="1" customWidth="1"/>
    <col min="4891" max="4892" width="0.88671875" style="2743" customWidth="1"/>
    <col min="4893" max="4893" width="9.88671875" style="2743" customWidth="1"/>
    <col min="4894" max="4894" width="1.109375" style="2743" customWidth="1"/>
    <col min="4895" max="4895" width="8.5546875" style="2743" customWidth="1"/>
    <col min="4896" max="4896" width="14.5546875" style="2743" customWidth="1"/>
    <col min="4897" max="4897" width="10" style="2743" customWidth="1"/>
    <col min="4898" max="4898" width="7.88671875" style="2743" bestFit="1" customWidth="1"/>
    <col min="4899" max="4899" width="9.88671875" style="2743" customWidth="1"/>
    <col min="4900" max="5116" width="8.88671875" style="2743"/>
    <col min="5117" max="5117" width="38.44140625" style="2743" customWidth="1"/>
    <col min="5118" max="5118" width="8.5546875" style="2743" customWidth="1"/>
    <col min="5119" max="5119" width="1.109375" style="2743" customWidth="1"/>
    <col min="5120" max="5120" width="8.88671875" style="2743" customWidth="1"/>
    <col min="5121" max="5121" width="1.109375" style="2743" customWidth="1"/>
    <col min="5122" max="5122" width="9.109375" style="2743" customWidth="1"/>
    <col min="5123" max="5123" width="1.109375" style="2743" customWidth="1"/>
    <col min="5124" max="5124" width="10" style="2743" customWidth="1"/>
    <col min="5125" max="5125" width="1.109375" style="2743" customWidth="1"/>
    <col min="5126" max="5126" width="9.109375" style="2743" customWidth="1"/>
    <col min="5127" max="5127" width="1.109375" style="2743" customWidth="1"/>
    <col min="5128" max="5128" width="11.109375" style="2743" customWidth="1"/>
    <col min="5129" max="5129" width="1.109375" style="2743" customWidth="1"/>
    <col min="5130" max="5130" width="9.109375" style="2743" customWidth="1"/>
    <col min="5131" max="5131" width="1.88671875" style="2743" customWidth="1"/>
    <col min="5132" max="5132" width="11" style="2743" customWidth="1"/>
    <col min="5133" max="5133" width="1.109375" style="2743" customWidth="1"/>
    <col min="5134" max="5134" width="10.88671875" style="2743" customWidth="1"/>
    <col min="5135" max="5135" width="1.109375" style="2743" customWidth="1"/>
    <col min="5136" max="5136" width="10" style="2743" customWidth="1"/>
    <col min="5137" max="5137" width="1.109375" style="2743" customWidth="1"/>
    <col min="5138" max="5138" width="9.109375" style="2743" customWidth="1"/>
    <col min="5139" max="5139" width="1.109375" style="2743" customWidth="1"/>
    <col min="5140" max="5140" width="7.88671875" style="2743" customWidth="1"/>
    <col min="5141" max="5141" width="1.109375" style="2743" customWidth="1"/>
    <col min="5142" max="5142" width="0.88671875" style="2743" customWidth="1"/>
    <col min="5143" max="5143" width="9.109375" style="2743" customWidth="1"/>
    <col min="5144" max="5144" width="1.109375" style="2743" customWidth="1"/>
    <col min="5145" max="5145" width="0.88671875" style="2743" customWidth="1"/>
    <col min="5146" max="5146" width="9.5546875" style="2743" bestFit="1" customWidth="1"/>
    <col min="5147" max="5148" width="0.88671875" style="2743" customWidth="1"/>
    <col min="5149" max="5149" width="9.88671875" style="2743" customWidth="1"/>
    <col min="5150" max="5150" width="1.109375" style="2743" customWidth="1"/>
    <col min="5151" max="5151" width="8.5546875" style="2743" customWidth="1"/>
    <col min="5152" max="5152" width="14.5546875" style="2743" customWidth="1"/>
    <col min="5153" max="5153" width="10" style="2743" customWidth="1"/>
    <col min="5154" max="5154" width="7.88671875" style="2743" bestFit="1" customWidth="1"/>
    <col min="5155" max="5155" width="9.88671875" style="2743" customWidth="1"/>
    <col min="5156" max="5372" width="8.88671875" style="2743"/>
    <col min="5373" max="5373" width="38.44140625" style="2743" customWidth="1"/>
    <col min="5374" max="5374" width="8.5546875" style="2743" customWidth="1"/>
    <col min="5375" max="5375" width="1.109375" style="2743" customWidth="1"/>
    <col min="5376" max="5376" width="8.88671875" style="2743" customWidth="1"/>
    <col min="5377" max="5377" width="1.109375" style="2743" customWidth="1"/>
    <col min="5378" max="5378" width="9.109375" style="2743" customWidth="1"/>
    <col min="5379" max="5379" width="1.109375" style="2743" customWidth="1"/>
    <col min="5380" max="5380" width="10" style="2743" customWidth="1"/>
    <col min="5381" max="5381" width="1.109375" style="2743" customWidth="1"/>
    <col min="5382" max="5382" width="9.109375" style="2743" customWidth="1"/>
    <col min="5383" max="5383" width="1.109375" style="2743" customWidth="1"/>
    <col min="5384" max="5384" width="11.109375" style="2743" customWidth="1"/>
    <col min="5385" max="5385" width="1.109375" style="2743" customWidth="1"/>
    <col min="5386" max="5386" width="9.109375" style="2743" customWidth="1"/>
    <col min="5387" max="5387" width="1.88671875" style="2743" customWidth="1"/>
    <col min="5388" max="5388" width="11" style="2743" customWidth="1"/>
    <col min="5389" max="5389" width="1.109375" style="2743" customWidth="1"/>
    <col min="5390" max="5390" width="10.88671875" style="2743" customWidth="1"/>
    <col min="5391" max="5391" width="1.109375" style="2743" customWidth="1"/>
    <col min="5392" max="5392" width="10" style="2743" customWidth="1"/>
    <col min="5393" max="5393" width="1.109375" style="2743" customWidth="1"/>
    <col min="5394" max="5394" width="9.109375" style="2743" customWidth="1"/>
    <col min="5395" max="5395" width="1.109375" style="2743" customWidth="1"/>
    <col min="5396" max="5396" width="7.88671875" style="2743" customWidth="1"/>
    <col min="5397" max="5397" width="1.109375" style="2743" customWidth="1"/>
    <col min="5398" max="5398" width="0.88671875" style="2743" customWidth="1"/>
    <col min="5399" max="5399" width="9.109375" style="2743" customWidth="1"/>
    <col min="5400" max="5400" width="1.109375" style="2743" customWidth="1"/>
    <col min="5401" max="5401" width="0.88671875" style="2743" customWidth="1"/>
    <col min="5402" max="5402" width="9.5546875" style="2743" bestFit="1" customWidth="1"/>
    <col min="5403" max="5404" width="0.88671875" style="2743" customWidth="1"/>
    <col min="5405" max="5405" width="9.88671875" style="2743" customWidth="1"/>
    <col min="5406" max="5406" width="1.109375" style="2743" customWidth="1"/>
    <col min="5407" max="5407" width="8.5546875" style="2743" customWidth="1"/>
    <col min="5408" max="5408" width="14.5546875" style="2743" customWidth="1"/>
    <col min="5409" max="5409" width="10" style="2743" customWidth="1"/>
    <col min="5410" max="5410" width="7.88671875" style="2743" bestFit="1" customWidth="1"/>
    <col min="5411" max="5411" width="9.88671875" style="2743" customWidth="1"/>
    <col min="5412" max="5628" width="8.88671875" style="2743"/>
    <col min="5629" max="5629" width="38.44140625" style="2743" customWidth="1"/>
    <col min="5630" max="5630" width="8.5546875" style="2743" customWidth="1"/>
    <col min="5631" max="5631" width="1.109375" style="2743" customWidth="1"/>
    <col min="5632" max="5632" width="8.88671875" style="2743" customWidth="1"/>
    <col min="5633" max="5633" width="1.109375" style="2743" customWidth="1"/>
    <col min="5634" max="5634" width="9.109375" style="2743" customWidth="1"/>
    <col min="5635" max="5635" width="1.109375" style="2743" customWidth="1"/>
    <col min="5636" max="5636" width="10" style="2743" customWidth="1"/>
    <col min="5637" max="5637" width="1.109375" style="2743" customWidth="1"/>
    <col min="5638" max="5638" width="9.109375" style="2743" customWidth="1"/>
    <col min="5639" max="5639" width="1.109375" style="2743" customWidth="1"/>
    <col min="5640" max="5640" width="11.109375" style="2743" customWidth="1"/>
    <col min="5641" max="5641" width="1.109375" style="2743" customWidth="1"/>
    <col min="5642" max="5642" width="9.109375" style="2743" customWidth="1"/>
    <col min="5643" max="5643" width="1.88671875" style="2743" customWidth="1"/>
    <col min="5644" max="5644" width="11" style="2743" customWidth="1"/>
    <col min="5645" max="5645" width="1.109375" style="2743" customWidth="1"/>
    <col min="5646" max="5646" width="10.88671875" style="2743" customWidth="1"/>
    <col min="5647" max="5647" width="1.109375" style="2743" customWidth="1"/>
    <col min="5648" max="5648" width="10" style="2743" customWidth="1"/>
    <col min="5649" max="5649" width="1.109375" style="2743" customWidth="1"/>
    <col min="5650" max="5650" width="9.109375" style="2743" customWidth="1"/>
    <col min="5651" max="5651" width="1.109375" style="2743" customWidth="1"/>
    <col min="5652" max="5652" width="7.88671875" style="2743" customWidth="1"/>
    <col min="5653" max="5653" width="1.109375" style="2743" customWidth="1"/>
    <col min="5654" max="5654" width="0.88671875" style="2743" customWidth="1"/>
    <col min="5655" max="5655" width="9.109375" style="2743" customWidth="1"/>
    <col min="5656" max="5656" width="1.109375" style="2743" customWidth="1"/>
    <col min="5657" max="5657" width="0.88671875" style="2743" customWidth="1"/>
    <col min="5658" max="5658" width="9.5546875" style="2743" bestFit="1" customWidth="1"/>
    <col min="5659" max="5660" width="0.88671875" style="2743" customWidth="1"/>
    <col min="5661" max="5661" width="9.88671875" style="2743" customWidth="1"/>
    <col min="5662" max="5662" width="1.109375" style="2743" customWidth="1"/>
    <col min="5663" max="5663" width="8.5546875" style="2743" customWidth="1"/>
    <col min="5664" max="5664" width="14.5546875" style="2743" customWidth="1"/>
    <col min="5665" max="5665" width="10" style="2743" customWidth="1"/>
    <col min="5666" max="5666" width="7.88671875" style="2743" bestFit="1" customWidth="1"/>
    <col min="5667" max="5667" width="9.88671875" style="2743" customWidth="1"/>
    <col min="5668" max="5884" width="8.88671875" style="2743"/>
    <col min="5885" max="5885" width="38.44140625" style="2743" customWidth="1"/>
    <col min="5886" max="5886" width="8.5546875" style="2743" customWidth="1"/>
    <col min="5887" max="5887" width="1.109375" style="2743" customWidth="1"/>
    <col min="5888" max="5888" width="8.88671875" style="2743" customWidth="1"/>
    <col min="5889" max="5889" width="1.109375" style="2743" customWidth="1"/>
    <col min="5890" max="5890" width="9.109375" style="2743" customWidth="1"/>
    <col min="5891" max="5891" width="1.109375" style="2743" customWidth="1"/>
    <col min="5892" max="5892" width="10" style="2743" customWidth="1"/>
    <col min="5893" max="5893" width="1.109375" style="2743" customWidth="1"/>
    <col min="5894" max="5894" width="9.109375" style="2743" customWidth="1"/>
    <col min="5895" max="5895" width="1.109375" style="2743" customWidth="1"/>
    <col min="5896" max="5896" width="11.109375" style="2743" customWidth="1"/>
    <col min="5897" max="5897" width="1.109375" style="2743" customWidth="1"/>
    <col min="5898" max="5898" width="9.109375" style="2743" customWidth="1"/>
    <col min="5899" max="5899" width="1.88671875" style="2743" customWidth="1"/>
    <col min="5900" max="5900" width="11" style="2743" customWidth="1"/>
    <col min="5901" max="5901" width="1.109375" style="2743" customWidth="1"/>
    <col min="5902" max="5902" width="10.88671875" style="2743" customWidth="1"/>
    <col min="5903" max="5903" width="1.109375" style="2743" customWidth="1"/>
    <col min="5904" max="5904" width="10" style="2743" customWidth="1"/>
    <col min="5905" max="5905" width="1.109375" style="2743" customWidth="1"/>
    <col min="5906" max="5906" width="9.109375" style="2743" customWidth="1"/>
    <col min="5907" max="5907" width="1.109375" style="2743" customWidth="1"/>
    <col min="5908" max="5908" width="7.88671875" style="2743" customWidth="1"/>
    <col min="5909" max="5909" width="1.109375" style="2743" customWidth="1"/>
    <col min="5910" max="5910" width="0.88671875" style="2743" customWidth="1"/>
    <col min="5911" max="5911" width="9.109375" style="2743" customWidth="1"/>
    <col min="5912" max="5912" width="1.109375" style="2743" customWidth="1"/>
    <col min="5913" max="5913" width="0.88671875" style="2743" customWidth="1"/>
    <col min="5914" max="5914" width="9.5546875" style="2743" bestFit="1" customWidth="1"/>
    <col min="5915" max="5916" width="0.88671875" style="2743" customWidth="1"/>
    <col min="5917" max="5917" width="9.88671875" style="2743" customWidth="1"/>
    <col min="5918" max="5918" width="1.109375" style="2743" customWidth="1"/>
    <col min="5919" max="5919" width="8.5546875" style="2743" customWidth="1"/>
    <col min="5920" max="5920" width="14.5546875" style="2743" customWidth="1"/>
    <col min="5921" max="5921" width="10" style="2743" customWidth="1"/>
    <col min="5922" max="5922" width="7.88671875" style="2743" bestFit="1" customWidth="1"/>
    <col min="5923" max="5923" width="9.88671875" style="2743" customWidth="1"/>
    <col min="5924" max="6140" width="8.88671875" style="2743"/>
    <col min="6141" max="6141" width="38.44140625" style="2743" customWidth="1"/>
    <col min="6142" max="6142" width="8.5546875" style="2743" customWidth="1"/>
    <col min="6143" max="6143" width="1.109375" style="2743" customWidth="1"/>
    <col min="6144" max="6144" width="8.88671875" style="2743" customWidth="1"/>
    <col min="6145" max="6145" width="1.109375" style="2743" customWidth="1"/>
    <col min="6146" max="6146" width="9.109375" style="2743" customWidth="1"/>
    <col min="6147" max="6147" width="1.109375" style="2743" customWidth="1"/>
    <col min="6148" max="6148" width="10" style="2743" customWidth="1"/>
    <col min="6149" max="6149" width="1.109375" style="2743" customWidth="1"/>
    <col min="6150" max="6150" width="9.109375" style="2743" customWidth="1"/>
    <col min="6151" max="6151" width="1.109375" style="2743" customWidth="1"/>
    <col min="6152" max="6152" width="11.109375" style="2743" customWidth="1"/>
    <col min="6153" max="6153" width="1.109375" style="2743" customWidth="1"/>
    <col min="6154" max="6154" width="9.109375" style="2743" customWidth="1"/>
    <col min="6155" max="6155" width="1.88671875" style="2743" customWidth="1"/>
    <col min="6156" max="6156" width="11" style="2743" customWidth="1"/>
    <col min="6157" max="6157" width="1.109375" style="2743" customWidth="1"/>
    <col min="6158" max="6158" width="10.88671875" style="2743" customWidth="1"/>
    <col min="6159" max="6159" width="1.109375" style="2743" customWidth="1"/>
    <col min="6160" max="6160" width="10" style="2743" customWidth="1"/>
    <col min="6161" max="6161" width="1.109375" style="2743" customWidth="1"/>
    <col min="6162" max="6162" width="9.109375" style="2743" customWidth="1"/>
    <col min="6163" max="6163" width="1.109375" style="2743" customWidth="1"/>
    <col min="6164" max="6164" width="7.88671875" style="2743" customWidth="1"/>
    <col min="6165" max="6165" width="1.109375" style="2743" customWidth="1"/>
    <col min="6166" max="6166" width="0.88671875" style="2743" customWidth="1"/>
    <col min="6167" max="6167" width="9.109375" style="2743" customWidth="1"/>
    <col min="6168" max="6168" width="1.109375" style="2743" customWidth="1"/>
    <col min="6169" max="6169" width="0.88671875" style="2743" customWidth="1"/>
    <col min="6170" max="6170" width="9.5546875" style="2743" bestFit="1" customWidth="1"/>
    <col min="6171" max="6172" width="0.88671875" style="2743" customWidth="1"/>
    <col min="6173" max="6173" width="9.88671875" style="2743" customWidth="1"/>
    <col min="6174" max="6174" width="1.109375" style="2743" customWidth="1"/>
    <col min="6175" max="6175" width="8.5546875" style="2743" customWidth="1"/>
    <col min="6176" max="6176" width="14.5546875" style="2743" customWidth="1"/>
    <col min="6177" max="6177" width="10" style="2743" customWidth="1"/>
    <col min="6178" max="6178" width="7.88671875" style="2743" bestFit="1" customWidth="1"/>
    <col min="6179" max="6179" width="9.88671875" style="2743" customWidth="1"/>
    <col min="6180" max="6396" width="8.88671875" style="2743"/>
    <col min="6397" max="6397" width="38.44140625" style="2743" customWidth="1"/>
    <col min="6398" max="6398" width="8.5546875" style="2743" customWidth="1"/>
    <col min="6399" max="6399" width="1.109375" style="2743" customWidth="1"/>
    <col min="6400" max="6400" width="8.88671875" style="2743" customWidth="1"/>
    <col min="6401" max="6401" width="1.109375" style="2743" customWidth="1"/>
    <col min="6402" max="6402" width="9.109375" style="2743" customWidth="1"/>
    <col min="6403" max="6403" width="1.109375" style="2743" customWidth="1"/>
    <col min="6404" max="6404" width="10" style="2743" customWidth="1"/>
    <col min="6405" max="6405" width="1.109375" style="2743" customWidth="1"/>
    <col min="6406" max="6406" width="9.109375" style="2743" customWidth="1"/>
    <col min="6407" max="6407" width="1.109375" style="2743" customWidth="1"/>
    <col min="6408" max="6408" width="11.109375" style="2743" customWidth="1"/>
    <col min="6409" max="6409" width="1.109375" style="2743" customWidth="1"/>
    <col min="6410" max="6410" width="9.109375" style="2743" customWidth="1"/>
    <col min="6411" max="6411" width="1.88671875" style="2743" customWidth="1"/>
    <col min="6412" max="6412" width="11" style="2743" customWidth="1"/>
    <col min="6413" max="6413" width="1.109375" style="2743" customWidth="1"/>
    <col min="6414" max="6414" width="10.88671875" style="2743" customWidth="1"/>
    <col min="6415" max="6415" width="1.109375" style="2743" customWidth="1"/>
    <col min="6416" max="6416" width="10" style="2743" customWidth="1"/>
    <col min="6417" max="6417" width="1.109375" style="2743" customWidth="1"/>
    <col min="6418" max="6418" width="9.109375" style="2743" customWidth="1"/>
    <col min="6419" max="6419" width="1.109375" style="2743" customWidth="1"/>
    <col min="6420" max="6420" width="7.88671875" style="2743" customWidth="1"/>
    <col min="6421" max="6421" width="1.109375" style="2743" customWidth="1"/>
    <col min="6422" max="6422" width="0.88671875" style="2743" customWidth="1"/>
    <col min="6423" max="6423" width="9.109375" style="2743" customWidth="1"/>
    <col min="6424" max="6424" width="1.109375" style="2743" customWidth="1"/>
    <col min="6425" max="6425" width="0.88671875" style="2743" customWidth="1"/>
    <col min="6426" max="6426" width="9.5546875" style="2743" bestFit="1" customWidth="1"/>
    <col min="6427" max="6428" width="0.88671875" style="2743" customWidth="1"/>
    <col min="6429" max="6429" width="9.88671875" style="2743" customWidth="1"/>
    <col min="6430" max="6430" width="1.109375" style="2743" customWidth="1"/>
    <col min="6431" max="6431" width="8.5546875" style="2743" customWidth="1"/>
    <col min="6432" max="6432" width="14.5546875" style="2743" customWidth="1"/>
    <col min="6433" max="6433" width="10" style="2743" customWidth="1"/>
    <col min="6434" max="6434" width="7.88671875" style="2743" bestFit="1" customWidth="1"/>
    <col min="6435" max="6435" width="9.88671875" style="2743" customWidth="1"/>
    <col min="6436" max="6652" width="8.88671875" style="2743"/>
    <col min="6653" max="6653" width="38.44140625" style="2743" customWidth="1"/>
    <col min="6654" max="6654" width="8.5546875" style="2743" customWidth="1"/>
    <col min="6655" max="6655" width="1.109375" style="2743" customWidth="1"/>
    <col min="6656" max="6656" width="8.88671875" style="2743" customWidth="1"/>
    <col min="6657" max="6657" width="1.109375" style="2743" customWidth="1"/>
    <col min="6658" max="6658" width="9.109375" style="2743" customWidth="1"/>
    <col min="6659" max="6659" width="1.109375" style="2743" customWidth="1"/>
    <col min="6660" max="6660" width="10" style="2743" customWidth="1"/>
    <col min="6661" max="6661" width="1.109375" style="2743" customWidth="1"/>
    <col min="6662" max="6662" width="9.109375" style="2743" customWidth="1"/>
    <col min="6663" max="6663" width="1.109375" style="2743" customWidth="1"/>
    <col min="6664" max="6664" width="11.109375" style="2743" customWidth="1"/>
    <col min="6665" max="6665" width="1.109375" style="2743" customWidth="1"/>
    <col min="6666" max="6666" width="9.109375" style="2743" customWidth="1"/>
    <col min="6667" max="6667" width="1.88671875" style="2743" customWidth="1"/>
    <col min="6668" max="6668" width="11" style="2743" customWidth="1"/>
    <col min="6669" max="6669" width="1.109375" style="2743" customWidth="1"/>
    <col min="6670" max="6670" width="10.88671875" style="2743" customWidth="1"/>
    <col min="6671" max="6671" width="1.109375" style="2743" customWidth="1"/>
    <col min="6672" max="6672" width="10" style="2743" customWidth="1"/>
    <col min="6673" max="6673" width="1.109375" style="2743" customWidth="1"/>
    <col min="6674" max="6674" width="9.109375" style="2743" customWidth="1"/>
    <col min="6675" max="6675" width="1.109375" style="2743" customWidth="1"/>
    <col min="6676" max="6676" width="7.88671875" style="2743" customWidth="1"/>
    <col min="6677" max="6677" width="1.109375" style="2743" customWidth="1"/>
    <col min="6678" max="6678" width="0.88671875" style="2743" customWidth="1"/>
    <col min="6679" max="6679" width="9.109375" style="2743" customWidth="1"/>
    <col min="6680" max="6680" width="1.109375" style="2743" customWidth="1"/>
    <col min="6681" max="6681" width="0.88671875" style="2743" customWidth="1"/>
    <col min="6682" max="6682" width="9.5546875" style="2743" bestFit="1" customWidth="1"/>
    <col min="6683" max="6684" width="0.88671875" style="2743" customWidth="1"/>
    <col min="6685" max="6685" width="9.88671875" style="2743" customWidth="1"/>
    <col min="6686" max="6686" width="1.109375" style="2743" customWidth="1"/>
    <col min="6687" max="6687" width="8.5546875" style="2743" customWidth="1"/>
    <col min="6688" max="6688" width="14.5546875" style="2743" customWidth="1"/>
    <col min="6689" max="6689" width="10" style="2743" customWidth="1"/>
    <col min="6690" max="6690" width="7.88671875" style="2743" bestFit="1" customWidth="1"/>
    <col min="6691" max="6691" width="9.88671875" style="2743" customWidth="1"/>
    <col min="6692" max="6908" width="8.88671875" style="2743"/>
    <col min="6909" max="6909" width="38.44140625" style="2743" customWidth="1"/>
    <col min="6910" max="6910" width="8.5546875" style="2743" customWidth="1"/>
    <col min="6911" max="6911" width="1.109375" style="2743" customWidth="1"/>
    <col min="6912" max="6912" width="8.88671875" style="2743" customWidth="1"/>
    <col min="6913" max="6913" width="1.109375" style="2743" customWidth="1"/>
    <col min="6914" max="6914" width="9.109375" style="2743" customWidth="1"/>
    <col min="6915" max="6915" width="1.109375" style="2743" customWidth="1"/>
    <col min="6916" max="6916" width="10" style="2743" customWidth="1"/>
    <col min="6917" max="6917" width="1.109375" style="2743" customWidth="1"/>
    <col min="6918" max="6918" width="9.109375" style="2743" customWidth="1"/>
    <col min="6919" max="6919" width="1.109375" style="2743" customWidth="1"/>
    <col min="6920" max="6920" width="11.109375" style="2743" customWidth="1"/>
    <col min="6921" max="6921" width="1.109375" style="2743" customWidth="1"/>
    <col min="6922" max="6922" width="9.109375" style="2743" customWidth="1"/>
    <col min="6923" max="6923" width="1.88671875" style="2743" customWidth="1"/>
    <col min="6924" max="6924" width="11" style="2743" customWidth="1"/>
    <col min="6925" max="6925" width="1.109375" style="2743" customWidth="1"/>
    <col min="6926" max="6926" width="10.88671875" style="2743" customWidth="1"/>
    <col min="6927" max="6927" width="1.109375" style="2743" customWidth="1"/>
    <col min="6928" max="6928" width="10" style="2743" customWidth="1"/>
    <col min="6929" max="6929" width="1.109375" style="2743" customWidth="1"/>
    <col min="6930" max="6930" width="9.109375" style="2743" customWidth="1"/>
    <col min="6931" max="6931" width="1.109375" style="2743" customWidth="1"/>
    <col min="6932" max="6932" width="7.88671875" style="2743" customWidth="1"/>
    <col min="6933" max="6933" width="1.109375" style="2743" customWidth="1"/>
    <col min="6934" max="6934" width="0.88671875" style="2743" customWidth="1"/>
    <col min="6935" max="6935" width="9.109375" style="2743" customWidth="1"/>
    <col min="6936" max="6936" width="1.109375" style="2743" customWidth="1"/>
    <col min="6937" max="6937" width="0.88671875" style="2743" customWidth="1"/>
    <col min="6938" max="6938" width="9.5546875" style="2743" bestFit="1" customWidth="1"/>
    <col min="6939" max="6940" width="0.88671875" style="2743" customWidth="1"/>
    <col min="6941" max="6941" width="9.88671875" style="2743" customWidth="1"/>
    <col min="6942" max="6942" width="1.109375" style="2743" customWidth="1"/>
    <col min="6943" max="6943" width="8.5546875" style="2743" customWidth="1"/>
    <col min="6944" max="6944" width="14.5546875" style="2743" customWidth="1"/>
    <col min="6945" max="6945" width="10" style="2743" customWidth="1"/>
    <col min="6946" max="6946" width="7.88671875" style="2743" bestFit="1" customWidth="1"/>
    <col min="6947" max="6947" width="9.88671875" style="2743" customWidth="1"/>
    <col min="6948" max="7164" width="8.88671875" style="2743"/>
    <col min="7165" max="7165" width="38.44140625" style="2743" customWidth="1"/>
    <col min="7166" max="7166" width="8.5546875" style="2743" customWidth="1"/>
    <col min="7167" max="7167" width="1.109375" style="2743" customWidth="1"/>
    <col min="7168" max="7168" width="8.88671875" style="2743" customWidth="1"/>
    <col min="7169" max="7169" width="1.109375" style="2743" customWidth="1"/>
    <col min="7170" max="7170" width="9.109375" style="2743" customWidth="1"/>
    <col min="7171" max="7171" width="1.109375" style="2743" customWidth="1"/>
    <col min="7172" max="7172" width="10" style="2743" customWidth="1"/>
    <col min="7173" max="7173" width="1.109375" style="2743" customWidth="1"/>
    <col min="7174" max="7174" width="9.109375" style="2743" customWidth="1"/>
    <col min="7175" max="7175" width="1.109375" style="2743" customWidth="1"/>
    <col min="7176" max="7176" width="11.109375" style="2743" customWidth="1"/>
    <col min="7177" max="7177" width="1.109375" style="2743" customWidth="1"/>
    <col min="7178" max="7178" width="9.109375" style="2743" customWidth="1"/>
    <col min="7179" max="7179" width="1.88671875" style="2743" customWidth="1"/>
    <col min="7180" max="7180" width="11" style="2743" customWidth="1"/>
    <col min="7181" max="7181" width="1.109375" style="2743" customWidth="1"/>
    <col min="7182" max="7182" width="10.88671875" style="2743" customWidth="1"/>
    <col min="7183" max="7183" width="1.109375" style="2743" customWidth="1"/>
    <col min="7184" max="7184" width="10" style="2743" customWidth="1"/>
    <col min="7185" max="7185" width="1.109375" style="2743" customWidth="1"/>
    <col min="7186" max="7186" width="9.109375" style="2743" customWidth="1"/>
    <col min="7187" max="7187" width="1.109375" style="2743" customWidth="1"/>
    <col min="7188" max="7188" width="7.88671875" style="2743" customWidth="1"/>
    <col min="7189" max="7189" width="1.109375" style="2743" customWidth="1"/>
    <col min="7190" max="7190" width="0.88671875" style="2743" customWidth="1"/>
    <col min="7191" max="7191" width="9.109375" style="2743" customWidth="1"/>
    <col min="7192" max="7192" width="1.109375" style="2743" customWidth="1"/>
    <col min="7193" max="7193" width="0.88671875" style="2743" customWidth="1"/>
    <col min="7194" max="7194" width="9.5546875" style="2743" bestFit="1" customWidth="1"/>
    <col min="7195" max="7196" width="0.88671875" style="2743" customWidth="1"/>
    <col min="7197" max="7197" width="9.88671875" style="2743" customWidth="1"/>
    <col min="7198" max="7198" width="1.109375" style="2743" customWidth="1"/>
    <col min="7199" max="7199" width="8.5546875" style="2743" customWidth="1"/>
    <col min="7200" max="7200" width="14.5546875" style="2743" customWidth="1"/>
    <col min="7201" max="7201" width="10" style="2743" customWidth="1"/>
    <col min="7202" max="7202" width="7.88671875" style="2743" bestFit="1" customWidth="1"/>
    <col min="7203" max="7203" width="9.88671875" style="2743" customWidth="1"/>
    <col min="7204" max="7420" width="8.88671875" style="2743"/>
    <col min="7421" max="7421" width="38.44140625" style="2743" customWidth="1"/>
    <col min="7422" max="7422" width="8.5546875" style="2743" customWidth="1"/>
    <col min="7423" max="7423" width="1.109375" style="2743" customWidth="1"/>
    <col min="7424" max="7424" width="8.88671875" style="2743" customWidth="1"/>
    <col min="7425" max="7425" width="1.109375" style="2743" customWidth="1"/>
    <col min="7426" max="7426" width="9.109375" style="2743" customWidth="1"/>
    <col min="7427" max="7427" width="1.109375" style="2743" customWidth="1"/>
    <col min="7428" max="7428" width="10" style="2743" customWidth="1"/>
    <col min="7429" max="7429" width="1.109375" style="2743" customWidth="1"/>
    <col min="7430" max="7430" width="9.109375" style="2743" customWidth="1"/>
    <col min="7431" max="7431" width="1.109375" style="2743" customWidth="1"/>
    <col min="7432" max="7432" width="11.109375" style="2743" customWidth="1"/>
    <col min="7433" max="7433" width="1.109375" style="2743" customWidth="1"/>
    <col min="7434" max="7434" width="9.109375" style="2743" customWidth="1"/>
    <col min="7435" max="7435" width="1.88671875" style="2743" customWidth="1"/>
    <col min="7436" max="7436" width="11" style="2743" customWidth="1"/>
    <col min="7437" max="7437" width="1.109375" style="2743" customWidth="1"/>
    <col min="7438" max="7438" width="10.88671875" style="2743" customWidth="1"/>
    <col min="7439" max="7439" width="1.109375" style="2743" customWidth="1"/>
    <col min="7440" max="7440" width="10" style="2743" customWidth="1"/>
    <col min="7441" max="7441" width="1.109375" style="2743" customWidth="1"/>
    <col min="7442" max="7442" width="9.109375" style="2743" customWidth="1"/>
    <col min="7443" max="7443" width="1.109375" style="2743" customWidth="1"/>
    <col min="7444" max="7444" width="7.88671875" style="2743" customWidth="1"/>
    <col min="7445" max="7445" width="1.109375" style="2743" customWidth="1"/>
    <col min="7446" max="7446" width="0.88671875" style="2743" customWidth="1"/>
    <col min="7447" max="7447" width="9.109375" style="2743" customWidth="1"/>
    <col min="7448" max="7448" width="1.109375" style="2743" customWidth="1"/>
    <col min="7449" max="7449" width="0.88671875" style="2743" customWidth="1"/>
    <col min="7450" max="7450" width="9.5546875" style="2743" bestFit="1" customWidth="1"/>
    <col min="7451" max="7452" width="0.88671875" style="2743" customWidth="1"/>
    <col min="7453" max="7453" width="9.88671875" style="2743" customWidth="1"/>
    <col min="7454" max="7454" width="1.109375" style="2743" customWidth="1"/>
    <col min="7455" max="7455" width="8.5546875" style="2743" customWidth="1"/>
    <col min="7456" max="7456" width="14.5546875" style="2743" customWidth="1"/>
    <col min="7457" max="7457" width="10" style="2743" customWidth="1"/>
    <col min="7458" max="7458" width="7.88671875" style="2743" bestFit="1" customWidth="1"/>
    <col min="7459" max="7459" width="9.88671875" style="2743" customWidth="1"/>
    <col min="7460" max="7676" width="8.88671875" style="2743"/>
    <col min="7677" max="7677" width="38.44140625" style="2743" customWidth="1"/>
    <col min="7678" max="7678" width="8.5546875" style="2743" customWidth="1"/>
    <col min="7679" max="7679" width="1.109375" style="2743" customWidth="1"/>
    <col min="7680" max="7680" width="8.88671875" style="2743" customWidth="1"/>
    <col min="7681" max="7681" width="1.109375" style="2743" customWidth="1"/>
    <col min="7682" max="7682" width="9.109375" style="2743" customWidth="1"/>
    <col min="7683" max="7683" width="1.109375" style="2743" customWidth="1"/>
    <col min="7684" max="7684" width="10" style="2743" customWidth="1"/>
    <col min="7685" max="7685" width="1.109375" style="2743" customWidth="1"/>
    <col min="7686" max="7686" width="9.109375" style="2743" customWidth="1"/>
    <col min="7687" max="7687" width="1.109375" style="2743" customWidth="1"/>
    <col min="7688" max="7688" width="11.109375" style="2743" customWidth="1"/>
    <col min="7689" max="7689" width="1.109375" style="2743" customWidth="1"/>
    <col min="7690" max="7690" width="9.109375" style="2743" customWidth="1"/>
    <col min="7691" max="7691" width="1.88671875" style="2743" customWidth="1"/>
    <col min="7692" max="7692" width="11" style="2743" customWidth="1"/>
    <col min="7693" max="7693" width="1.109375" style="2743" customWidth="1"/>
    <col min="7694" max="7694" width="10.88671875" style="2743" customWidth="1"/>
    <col min="7695" max="7695" width="1.109375" style="2743" customWidth="1"/>
    <col min="7696" max="7696" width="10" style="2743" customWidth="1"/>
    <col min="7697" max="7697" width="1.109375" style="2743" customWidth="1"/>
    <col min="7698" max="7698" width="9.109375" style="2743" customWidth="1"/>
    <col min="7699" max="7699" width="1.109375" style="2743" customWidth="1"/>
    <col min="7700" max="7700" width="7.88671875" style="2743" customWidth="1"/>
    <col min="7701" max="7701" width="1.109375" style="2743" customWidth="1"/>
    <col min="7702" max="7702" width="0.88671875" style="2743" customWidth="1"/>
    <col min="7703" max="7703" width="9.109375" style="2743" customWidth="1"/>
    <col min="7704" max="7704" width="1.109375" style="2743" customWidth="1"/>
    <col min="7705" max="7705" width="0.88671875" style="2743" customWidth="1"/>
    <col min="7706" max="7706" width="9.5546875" style="2743" bestFit="1" customWidth="1"/>
    <col min="7707" max="7708" width="0.88671875" style="2743" customWidth="1"/>
    <col min="7709" max="7709" width="9.88671875" style="2743" customWidth="1"/>
    <col min="7710" max="7710" width="1.109375" style="2743" customWidth="1"/>
    <col min="7711" max="7711" width="8.5546875" style="2743" customWidth="1"/>
    <col min="7712" max="7712" width="14.5546875" style="2743" customWidth="1"/>
    <col min="7713" max="7713" width="10" style="2743" customWidth="1"/>
    <col min="7714" max="7714" width="7.88671875" style="2743" bestFit="1" customWidth="1"/>
    <col min="7715" max="7715" width="9.88671875" style="2743" customWidth="1"/>
    <col min="7716" max="7932" width="8.88671875" style="2743"/>
    <col min="7933" max="7933" width="38.44140625" style="2743" customWidth="1"/>
    <col min="7934" max="7934" width="8.5546875" style="2743" customWidth="1"/>
    <col min="7935" max="7935" width="1.109375" style="2743" customWidth="1"/>
    <col min="7936" max="7936" width="8.88671875" style="2743" customWidth="1"/>
    <col min="7937" max="7937" width="1.109375" style="2743" customWidth="1"/>
    <col min="7938" max="7938" width="9.109375" style="2743" customWidth="1"/>
    <col min="7939" max="7939" width="1.109375" style="2743" customWidth="1"/>
    <col min="7940" max="7940" width="10" style="2743" customWidth="1"/>
    <col min="7941" max="7941" width="1.109375" style="2743" customWidth="1"/>
    <col min="7942" max="7942" width="9.109375" style="2743" customWidth="1"/>
    <col min="7943" max="7943" width="1.109375" style="2743" customWidth="1"/>
    <col min="7944" max="7944" width="11.109375" style="2743" customWidth="1"/>
    <col min="7945" max="7945" width="1.109375" style="2743" customWidth="1"/>
    <col min="7946" max="7946" width="9.109375" style="2743" customWidth="1"/>
    <col min="7947" max="7947" width="1.88671875" style="2743" customWidth="1"/>
    <col min="7948" max="7948" width="11" style="2743" customWidth="1"/>
    <col min="7949" max="7949" width="1.109375" style="2743" customWidth="1"/>
    <col min="7950" max="7950" width="10.88671875" style="2743" customWidth="1"/>
    <col min="7951" max="7951" width="1.109375" style="2743" customWidth="1"/>
    <col min="7952" max="7952" width="10" style="2743" customWidth="1"/>
    <col min="7953" max="7953" width="1.109375" style="2743" customWidth="1"/>
    <col min="7954" max="7954" width="9.109375" style="2743" customWidth="1"/>
    <col min="7955" max="7955" width="1.109375" style="2743" customWidth="1"/>
    <col min="7956" max="7956" width="7.88671875" style="2743" customWidth="1"/>
    <col min="7957" max="7957" width="1.109375" style="2743" customWidth="1"/>
    <col min="7958" max="7958" width="0.88671875" style="2743" customWidth="1"/>
    <col min="7959" max="7959" width="9.109375" style="2743" customWidth="1"/>
    <col min="7960" max="7960" width="1.109375" style="2743" customWidth="1"/>
    <col min="7961" max="7961" width="0.88671875" style="2743" customWidth="1"/>
    <col min="7962" max="7962" width="9.5546875" style="2743" bestFit="1" customWidth="1"/>
    <col min="7963" max="7964" width="0.88671875" style="2743" customWidth="1"/>
    <col min="7965" max="7965" width="9.88671875" style="2743" customWidth="1"/>
    <col min="7966" max="7966" width="1.109375" style="2743" customWidth="1"/>
    <col min="7967" max="7967" width="8.5546875" style="2743" customWidth="1"/>
    <col min="7968" max="7968" width="14.5546875" style="2743" customWidth="1"/>
    <col min="7969" max="7969" width="10" style="2743" customWidth="1"/>
    <col min="7970" max="7970" width="7.88671875" style="2743" bestFit="1" customWidth="1"/>
    <col min="7971" max="7971" width="9.88671875" style="2743" customWidth="1"/>
    <col min="7972" max="8188" width="8.88671875" style="2743"/>
    <col min="8189" max="8189" width="38.44140625" style="2743" customWidth="1"/>
    <col min="8190" max="8190" width="8.5546875" style="2743" customWidth="1"/>
    <col min="8191" max="8191" width="1.109375" style="2743" customWidth="1"/>
    <col min="8192" max="8192" width="8.88671875" style="2743" customWidth="1"/>
    <col min="8193" max="8193" width="1.109375" style="2743" customWidth="1"/>
    <col min="8194" max="8194" width="9.109375" style="2743" customWidth="1"/>
    <col min="8195" max="8195" width="1.109375" style="2743" customWidth="1"/>
    <col min="8196" max="8196" width="10" style="2743" customWidth="1"/>
    <col min="8197" max="8197" width="1.109375" style="2743" customWidth="1"/>
    <col min="8198" max="8198" width="9.109375" style="2743" customWidth="1"/>
    <col min="8199" max="8199" width="1.109375" style="2743" customWidth="1"/>
    <col min="8200" max="8200" width="11.109375" style="2743" customWidth="1"/>
    <col min="8201" max="8201" width="1.109375" style="2743" customWidth="1"/>
    <col min="8202" max="8202" width="9.109375" style="2743" customWidth="1"/>
    <col min="8203" max="8203" width="1.88671875" style="2743" customWidth="1"/>
    <col min="8204" max="8204" width="11" style="2743" customWidth="1"/>
    <col min="8205" max="8205" width="1.109375" style="2743" customWidth="1"/>
    <col min="8206" max="8206" width="10.88671875" style="2743" customWidth="1"/>
    <col min="8207" max="8207" width="1.109375" style="2743" customWidth="1"/>
    <col min="8208" max="8208" width="10" style="2743" customWidth="1"/>
    <col min="8209" max="8209" width="1.109375" style="2743" customWidth="1"/>
    <col min="8210" max="8210" width="9.109375" style="2743" customWidth="1"/>
    <col min="8211" max="8211" width="1.109375" style="2743" customWidth="1"/>
    <col min="8212" max="8212" width="7.88671875" style="2743" customWidth="1"/>
    <col min="8213" max="8213" width="1.109375" style="2743" customWidth="1"/>
    <col min="8214" max="8214" width="0.88671875" style="2743" customWidth="1"/>
    <col min="8215" max="8215" width="9.109375" style="2743" customWidth="1"/>
    <col min="8216" max="8216" width="1.109375" style="2743" customWidth="1"/>
    <col min="8217" max="8217" width="0.88671875" style="2743" customWidth="1"/>
    <col min="8218" max="8218" width="9.5546875" style="2743" bestFit="1" customWidth="1"/>
    <col min="8219" max="8220" width="0.88671875" style="2743" customWidth="1"/>
    <col min="8221" max="8221" width="9.88671875" style="2743" customWidth="1"/>
    <col min="8222" max="8222" width="1.109375" style="2743" customWidth="1"/>
    <col min="8223" max="8223" width="8.5546875" style="2743" customWidth="1"/>
    <col min="8224" max="8224" width="14.5546875" style="2743" customWidth="1"/>
    <col min="8225" max="8225" width="10" style="2743" customWidth="1"/>
    <col min="8226" max="8226" width="7.88671875" style="2743" bestFit="1" customWidth="1"/>
    <col min="8227" max="8227" width="9.88671875" style="2743" customWidth="1"/>
    <col min="8228" max="8444" width="8.88671875" style="2743"/>
    <col min="8445" max="8445" width="38.44140625" style="2743" customWidth="1"/>
    <col min="8446" max="8446" width="8.5546875" style="2743" customWidth="1"/>
    <col min="8447" max="8447" width="1.109375" style="2743" customWidth="1"/>
    <col min="8448" max="8448" width="8.88671875" style="2743" customWidth="1"/>
    <col min="8449" max="8449" width="1.109375" style="2743" customWidth="1"/>
    <col min="8450" max="8450" width="9.109375" style="2743" customWidth="1"/>
    <col min="8451" max="8451" width="1.109375" style="2743" customWidth="1"/>
    <col min="8452" max="8452" width="10" style="2743" customWidth="1"/>
    <col min="8453" max="8453" width="1.109375" style="2743" customWidth="1"/>
    <col min="8454" max="8454" width="9.109375" style="2743" customWidth="1"/>
    <col min="8455" max="8455" width="1.109375" style="2743" customWidth="1"/>
    <col min="8456" max="8456" width="11.109375" style="2743" customWidth="1"/>
    <col min="8457" max="8457" width="1.109375" style="2743" customWidth="1"/>
    <col min="8458" max="8458" width="9.109375" style="2743" customWidth="1"/>
    <col min="8459" max="8459" width="1.88671875" style="2743" customWidth="1"/>
    <col min="8460" max="8460" width="11" style="2743" customWidth="1"/>
    <col min="8461" max="8461" width="1.109375" style="2743" customWidth="1"/>
    <col min="8462" max="8462" width="10.88671875" style="2743" customWidth="1"/>
    <col min="8463" max="8463" width="1.109375" style="2743" customWidth="1"/>
    <col min="8464" max="8464" width="10" style="2743" customWidth="1"/>
    <col min="8465" max="8465" width="1.109375" style="2743" customWidth="1"/>
    <col min="8466" max="8466" width="9.109375" style="2743" customWidth="1"/>
    <col min="8467" max="8467" width="1.109375" style="2743" customWidth="1"/>
    <col min="8468" max="8468" width="7.88671875" style="2743" customWidth="1"/>
    <col min="8469" max="8469" width="1.109375" style="2743" customWidth="1"/>
    <col min="8470" max="8470" width="0.88671875" style="2743" customWidth="1"/>
    <col min="8471" max="8471" width="9.109375" style="2743" customWidth="1"/>
    <col min="8472" max="8472" width="1.109375" style="2743" customWidth="1"/>
    <col min="8473" max="8473" width="0.88671875" style="2743" customWidth="1"/>
    <col min="8474" max="8474" width="9.5546875" style="2743" bestFit="1" customWidth="1"/>
    <col min="8475" max="8476" width="0.88671875" style="2743" customWidth="1"/>
    <col min="8477" max="8477" width="9.88671875" style="2743" customWidth="1"/>
    <col min="8478" max="8478" width="1.109375" style="2743" customWidth="1"/>
    <col min="8479" max="8479" width="8.5546875" style="2743" customWidth="1"/>
    <col min="8480" max="8480" width="14.5546875" style="2743" customWidth="1"/>
    <col min="8481" max="8481" width="10" style="2743" customWidth="1"/>
    <col min="8482" max="8482" width="7.88671875" style="2743" bestFit="1" customWidth="1"/>
    <col min="8483" max="8483" width="9.88671875" style="2743" customWidth="1"/>
    <col min="8484" max="8700" width="8.88671875" style="2743"/>
    <col min="8701" max="8701" width="38.44140625" style="2743" customWidth="1"/>
    <col min="8702" max="8702" width="8.5546875" style="2743" customWidth="1"/>
    <col min="8703" max="8703" width="1.109375" style="2743" customWidth="1"/>
    <col min="8704" max="8704" width="8.88671875" style="2743" customWidth="1"/>
    <col min="8705" max="8705" width="1.109375" style="2743" customWidth="1"/>
    <col min="8706" max="8706" width="9.109375" style="2743" customWidth="1"/>
    <col min="8707" max="8707" width="1.109375" style="2743" customWidth="1"/>
    <col min="8708" max="8708" width="10" style="2743" customWidth="1"/>
    <col min="8709" max="8709" width="1.109375" style="2743" customWidth="1"/>
    <col min="8710" max="8710" width="9.109375" style="2743" customWidth="1"/>
    <col min="8711" max="8711" width="1.109375" style="2743" customWidth="1"/>
    <col min="8712" max="8712" width="11.109375" style="2743" customWidth="1"/>
    <col min="8713" max="8713" width="1.109375" style="2743" customWidth="1"/>
    <col min="8714" max="8714" width="9.109375" style="2743" customWidth="1"/>
    <col min="8715" max="8715" width="1.88671875" style="2743" customWidth="1"/>
    <col min="8716" max="8716" width="11" style="2743" customWidth="1"/>
    <col min="8717" max="8717" width="1.109375" style="2743" customWidth="1"/>
    <col min="8718" max="8718" width="10.88671875" style="2743" customWidth="1"/>
    <col min="8719" max="8719" width="1.109375" style="2743" customWidth="1"/>
    <col min="8720" max="8720" width="10" style="2743" customWidth="1"/>
    <col min="8721" max="8721" width="1.109375" style="2743" customWidth="1"/>
    <col min="8722" max="8722" width="9.109375" style="2743" customWidth="1"/>
    <col min="8723" max="8723" width="1.109375" style="2743" customWidth="1"/>
    <col min="8724" max="8724" width="7.88671875" style="2743" customWidth="1"/>
    <col min="8725" max="8725" width="1.109375" style="2743" customWidth="1"/>
    <col min="8726" max="8726" width="0.88671875" style="2743" customWidth="1"/>
    <col min="8727" max="8727" width="9.109375" style="2743" customWidth="1"/>
    <col min="8728" max="8728" width="1.109375" style="2743" customWidth="1"/>
    <col min="8729" max="8729" width="0.88671875" style="2743" customWidth="1"/>
    <col min="8730" max="8730" width="9.5546875" style="2743" bestFit="1" customWidth="1"/>
    <col min="8731" max="8732" width="0.88671875" style="2743" customWidth="1"/>
    <col min="8733" max="8733" width="9.88671875" style="2743" customWidth="1"/>
    <col min="8734" max="8734" width="1.109375" style="2743" customWidth="1"/>
    <col min="8735" max="8735" width="8.5546875" style="2743" customWidth="1"/>
    <col min="8736" max="8736" width="14.5546875" style="2743" customWidth="1"/>
    <col min="8737" max="8737" width="10" style="2743" customWidth="1"/>
    <col min="8738" max="8738" width="7.88671875" style="2743" bestFit="1" customWidth="1"/>
    <col min="8739" max="8739" width="9.88671875" style="2743" customWidth="1"/>
    <col min="8740" max="8956" width="8.88671875" style="2743"/>
    <col min="8957" max="8957" width="38.44140625" style="2743" customWidth="1"/>
    <col min="8958" max="8958" width="8.5546875" style="2743" customWidth="1"/>
    <col min="8959" max="8959" width="1.109375" style="2743" customWidth="1"/>
    <col min="8960" max="8960" width="8.88671875" style="2743" customWidth="1"/>
    <col min="8961" max="8961" width="1.109375" style="2743" customWidth="1"/>
    <col min="8962" max="8962" width="9.109375" style="2743" customWidth="1"/>
    <col min="8963" max="8963" width="1.109375" style="2743" customWidth="1"/>
    <col min="8964" max="8964" width="10" style="2743" customWidth="1"/>
    <col min="8965" max="8965" width="1.109375" style="2743" customWidth="1"/>
    <col min="8966" max="8966" width="9.109375" style="2743" customWidth="1"/>
    <col min="8967" max="8967" width="1.109375" style="2743" customWidth="1"/>
    <col min="8968" max="8968" width="11.109375" style="2743" customWidth="1"/>
    <col min="8969" max="8969" width="1.109375" style="2743" customWidth="1"/>
    <col min="8970" max="8970" width="9.109375" style="2743" customWidth="1"/>
    <col min="8971" max="8971" width="1.88671875" style="2743" customWidth="1"/>
    <col min="8972" max="8972" width="11" style="2743" customWidth="1"/>
    <col min="8973" max="8973" width="1.109375" style="2743" customWidth="1"/>
    <col min="8974" max="8974" width="10.88671875" style="2743" customWidth="1"/>
    <col min="8975" max="8975" width="1.109375" style="2743" customWidth="1"/>
    <col min="8976" max="8976" width="10" style="2743" customWidth="1"/>
    <col min="8977" max="8977" width="1.109375" style="2743" customWidth="1"/>
    <col min="8978" max="8978" width="9.109375" style="2743" customWidth="1"/>
    <col min="8979" max="8979" width="1.109375" style="2743" customWidth="1"/>
    <col min="8980" max="8980" width="7.88671875" style="2743" customWidth="1"/>
    <col min="8981" max="8981" width="1.109375" style="2743" customWidth="1"/>
    <col min="8982" max="8982" width="0.88671875" style="2743" customWidth="1"/>
    <col min="8983" max="8983" width="9.109375" style="2743" customWidth="1"/>
    <col min="8984" max="8984" width="1.109375" style="2743" customWidth="1"/>
    <col min="8985" max="8985" width="0.88671875" style="2743" customWidth="1"/>
    <col min="8986" max="8986" width="9.5546875" style="2743" bestFit="1" customWidth="1"/>
    <col min="8987" max="8988" width="0.88671875" style="2743" customWidth="1"/>
    <col min="8989" max="8989" width="9.88671875" style="2743" customWidth="1"/>
    <col min="8990" max="8990" width="1.109375" style="2743" customWidth="1"/>
    <col min="8991" max="8991" width="8.5546875" style="2743" customWidth="1"/>
    <col min="8992" max="8992" width="14.5546875" style="2743" customWidth="1"/>
    <col min="8993" max="8993" width="10" style="2743" customWidth="1"/>
    <col min="8994" max="8994" width="7.88671875" style="2743" bestFit="1" customWidth="1"/>
    <col min="8995" max="8995" width="9.88671875" style="2743" customWidth="1"/>
    <col min="8996" max="9212" width="8.88671875" style="2743"/>
    <col min="9213" max="9213" width="38.44140625" style="2743" customWidth="1"/>
    <col min="9214" max="9214" width="8.5546875" style="2743" customWidth="1"/>
    <col min="9215" max="9215" width="1.109375" style="2743" customWidth="1"/>
    <col min="9216" max="9216" width="8.88671875" style="2743" customWidth="1"/>
    <col min="9217" max="9217" width="1.109375" style="2743" customWidth="1"/>
    <col min="9218" max="9218" width="9.109375" style="2743" customWidth="1"/>
    <col min="9219" max="9219" width="1.109375" style="2743" customWidth="1"/>
    <col min="9220" max="9220" width="10" style="2743" customWidth="1"/>
    <col min="9221" max="9221" width="1.109375" style="2743" customWidth="1"/>
    <col min="9222" max="9222" width="9.109375" style="2743" customWidth="1"/>
    <col min="9223" max="9223" width="1.109375" style="2743" customWidth="1"/>
    <col min="9224" max="9224" width="11.109375" style="2743" customWidth="1"/>
    <col min="9225" max="9225" width="1.109375" style="2743" customWidth="1"/>
    <col min="9226" max="9226" width="9.109375" style="2743" customWidth="1"/>
    <col min="9227" max="9227" width="1.88671875" style="2743" customWidth="1"/>
    <col min="9228" max="9228" width="11" style="2743" customWidth="1"/>
    <col min="9229" max="9229" width="1.109375" style="2743" customWidth="1"/>
    <col min="9230" max="9230" width="10.88671875" style="2743" customWidth="1"/>
    <col min="9231" max="9231" width="1.109375" style="2743" customWidth="1"/>
    <col min="9232" max="9232" width="10" style="2743" customWidth="1"/>
    <col min="9233" max="9233" width="1.109375" style="2743" customWidth="1"/>
    <col min="9234" max="9234" width="9.109375" style="2743" customWidth="1"/>
    <col min="9235" max="9235" width="1.109375" style="2743" customWidth="1"/>
    <col min="9236" max="9236" width="7.88671875" style="2743" customWidth="1"/>
    <col min="9237" max="9237" width="1.109375" style="2743" customWidth="1"/>
    <col min="9238" max="9238" width="0.88671875" style="2743" customWidth="1"/>
    <col min="9239" max="9239" width="9.109375" style="2743" customWidth="1"/>
    <col min="9240" max="9240" width="1.109375" style="2743" customWidth="1"/>
    <col min="9241" max="9241" width="0.88671875" style="2743" customWidth="1"/>
    <col min="9242" max="9242" width="9.5546875" style="2743" bestFit="1" customWidth="1"/>
    <col min="9243" max="9244" width="0.88671875" style="2743" customWidth="1"/>
    <col min="9245" max="9245" width="9.88671875" style="2743" customWidth="1"/>
    <col min="9246" max="9246" width="1.109375" style="2743" customWidth="1"/>
    <col min="9247" max="9247" width="8.5546875" style="2743" customWidth="1"/>
    <col min="9248" max="9248" width="14.5546875" style="2743" customWidth="1"/>
    <col min="9249" max="9249" width="10" style="2743" customWidth="1"/>
    <col min="9250" max="9250" width="7.88671875" style="2743" bestFit="1" customWidth="1"/>
    <col min="9251" max="9251" width="9.88671875" style="2743" customWidth="1"/>
    <col min="9252" max="9468" width="8.88671875" style="2743"/>
    <col min="9469" max="9469" width="38.44140625" style="2743" customWidth="1"/>
    <col min="9470" max="9470" width="8.5546875" style="2743" customWidth="1"/>
    <col min="9471" max="9471" width="1.109375" style="2743" customWidth="1"/>
    <col min="9472" max="9472" width="8.88671875" style="2743" customWidth="1"/>
    <col min="9473" max="9473" width="1.109375" style="2743" customWidth="1"/>
    <col min="9474" max="9474" width="9.109375" style="2743" customWidth="1"/>
    <col min="9475" max="9475" width="1.109375" style="2743" customWidth="1"/>
    <col min="9476" max="9476" width="10" style="2743" customWidth="1"/>
    <col min="9477" max="9477" width="1.109375" style="2743" customWidth="1"/>
    <col min="9478" max="9478" width="9.109375" style="2743" customWidth="1"/>
    <col min="9479" max="9479" width="1.109375" style="2743" customWidth="1"/>
    <col min="9480" max="9480" width="11.109375" style="2743" customWidth="1"/>
    <col min="9481" max="9481" width="1.109375" style="2743" customWidth="1"/>
    <col min="9482" max="9482" width="9.109375" style="2743" customWidth="1"/>
    <col min="9483" max="9483" width="1.88671875" style="2743" customWidth="1"/>
    <col min="9484" max="9484" width="11" style="2743" customWidth="1"/>
    <col min="9485" max="9485" width="1.109375" style="2743" customWidth="1"/>
    <col min="9486" max="9486" width="10.88671875" style="2743" customWidth="1"/>
    <col min="9487" max="9487" width="1.109375" style="2743" customWidth="1"/>
    <col min="9488" max="9488" width="10" style="2743" customWidth="1"/>
    <col min="9489" max="9489" width="1.109375" style="2743" customWidth="1"/>
    <col min="9490" max="9490" width="9.109375" style="2743" customWidth="1"/>
    <col min="9491" max="9491" width="1.109375" style="2743" customWidth="1"/>
    <col min="9492" max="9492" width="7.88671875" style="2743" customWidth="1"/>
    <col min="9493" max="9493" width="1.109375" style="2743" customWidth="1"/>
    <col min="9494" max="9494" width="0.88671875" style="2743" customWidth="1"/>
    <col min="9495" max="9495" width="9.109375" style="2743" customWidth="1"/>
    <col min="9496" max="9496" width="1.109375" style="2743" customWidth="1"/>
    <col min="9497" max="9497" width="0.88671875" style="2743" customWidth="1"/>
    <col min="9498" max="9498" width="9.5546875" style="2743" bestFit="1" customWidth="1"/>
    <col min="9499" max="9500" width="0.88671875" style="2743" customWidth="1"/>
    <col min="9501" max="9501" width="9.88671875" style="2743" customWidth="1"/>
    <col min="9502" max="9502" width="1.109375" style="2743" customWidth="1"/>
    <col min="9503" max="9503" width="8.5546875" style="2743" customWidth="1"/>
    <col min="9504" max="9504" width="14.5546875" style="2743" customWidth="1"/>
    <col min="9505" max="9505" width="10" style="2743" customWidth="1"/>
    <col min="9506" max="9506" width="7.88671875" style="2743" bestFit="1" customWidth="1"/>
    <col min="9507" max="9507" width="9.88671875" style="2743" customWidth="1"/>
    <col min="9508" max="9724" width="8.88671875" style="2743"/>
    <col min="9725" max="9725" width="38.44140625" style="2743" customWidth="1"/>
    <col min="9726" max="9726" width="8.5546875" style="2743" customWidth="1"/>
    <col min="9727" max="9727" width="1.109375" style="2743" customWidth="1"/>
    <col min="9728" max="9728" width="8.88671875" style="2743" customWidth="1"/>
    <col min="9729" max="9729" width="1.109375" style="2743" customWidth="1"/>
    <col min="9730" max="9730" width="9.109375" style="2743" customWidth="1"/>
    <col min="9731" max="9731" width="1.109375" style="2743" customWidth="1"/>
    <col min="9732" max="9732" width="10" style="2743" customWidth="1"/>
    <col min="9733" max="9733" width="1.109375" style="2743" customWidth="1"/>
    <col min="9734" max="9734" width="9.109375" style="2743" customWidth="1"/>
    <col min="9735" max="9735" width="1.109375" style="2743" customWidth="1"/>
    <col min="9736" max="9736" width="11.109375" style="2743" customWidth="1"/>
    <col min="9737" max="9737" width="1.109375" style="2743" customWidth="1"/>
    <col min="9738" max="9738" width="9.109375" style="2743" customWidth="1"/>
    <col min="9739" max="9739" width="1.88671875" style="2743" customWidth="1"/>
    <col min="9740" max="9740" width="11" style="2743" customWidth="1"/>
    <col min="9741" max="9741" width="1.109375" style="2743" customWidth="1"/>
    <col min="9742" max="9742" width="10.88671875" style="2743" customWidth="1"/>
    <col min="9743" max="9743" width="1.109375" style="2743" customWidth="1"/>
    <col min="9744" max="9744" width="10" style="2743" customWidth="1"/>
    <col min="9745" max="9745" width="1.109375" style="2743" customWidth="1"/>
    <col min="9746" max="9746" width="9.109375" style="2743" customWidth="1"/>
    <col min="9747" max="9747" width="1.109375" style="2743" customWidth="1"/>
    <col min="9748" max="9748" width="7.88671875" style="2743" customWidth="1"/>
    <col min="9749" max="9749" width="1.109375" style="2743" customWidth="1"/>
    <col min="9750" max="9750" width="0.88671875" style="2743" customWidth="1"/>
    <col min="9751" max="9751" width="9.109375" style="2743" customWidth="1"/>
    <col min="9752" max="9752" width="1.109375" style="2743" customWidth="1"/>
    <col min="9753" max="9753" width="0.88671875" style="2743" customWidth="1"/>
    <col min="9754" max="9754" width="9.5546875" style="2743" bestFit="1" customWidth="1"/>
    <col min="9755" max="9756" width="0.88671875" style="2743" customWidth="1"/>
    <col min="9757" max="9757" width="9.88671875" style="2743" customWidth="1"/>
    <col min="9758" max="9758" width="1.109375" style="2743" customWidth="1"/>
    <col min="9759" max="9759" width="8.5546875" style="2743" customWidth="1"/>
    <col min="9760" max="9760" width="14.5546875" style="2743" customWidth="1"/>
    <col min="9761" max="9761" width="10" style="2743" customWidth="1"/>
    <col min="9762" max="9762" width="7.88671875" style="2743" bestFit="1" customWidth="1"/>
    <col min="9763" max="9763" width="9.88671875" style="2743" customWidth="1"/>
    <col min="9764" max="9980" width="8.88671875" style="2743"/>
    <col min="9981" max="9981" width="38.44140625" style="2743" customWidth="1"/>
    <col min="9982" max="9982" width="8.5546875" style="2743" customWidth="1"/>
    <col min="9983" max="9983" width="1.109375" style="2743" customWidth="1"/>
    <col min="9984" max="9984" width="8.88671875" style="2743" customWidth="1"/>
    <col min="9985" max="9985" width="1.109375" style="2743" customWidth="1"/>
    <col min="9986" max="9986" width="9.109375" style="2743" customWidth="1"/>
    <col min="9987" max="9987" width="1.109375" style="2743" customWidth="1"/>
    <col min="9988" max="9988" width="10" style="2743" customWidth="1"/>
    <col min="9989" max="9989" width="1.109375" style="2743" customWidth="1"/>
    <col min="9990" max="9990" width="9.109375" style="2743" customWidth="1"/>
    <col min="9991" max="9991" width="1.109375" style="2743" customWidth="1"/>
    <col min="9992" max="9992" width="11.109375" style="2743" customWidth="1"/>
    <col min="9993" max="9993" width="1.109375" style="2743" customWidth="1"/>
    <col min="9994" max="9994" width="9.109375" style="2743" customWidth="1"/>
    <col min="9995" max="9995" width="1.88671875" style="2743" customWidth="1"/>
    <col min="9996" max="9996" width="11" style="2743" customWidth="1"/>
    <col min="9997" max="9997" width="1.109375" style="2743" customWidth="1"/>
    <col min="9998" max="9998" width="10.88671875" style="2743" customWidth="1"/>
    <col min="9999" max="9999" width="1.109375" style="2743" customWidth="1"/>
    <col min="10000" max="10000" width="10" style="2743" customWidth="1"/>
    <col min="10001" max="10001" width="1.109375" style="2743" customWidth="1"/>
    <col min="10002" max="10002" width="9.109375" style="2743" customWidth="1"/>
    <col min="10003" max="10003" width="1.109375" style="2743" customWidth="1"/>
    <col min="10004" max="10004" width="7.88671875" style="2743" customWidth="1"/>
    <col min="10005" max="10005" width="1.109375" style="2743" customWidth="1"/>
    <col min="10006" max="10006" width="0.88671875" style="2743" customWidth="1"/>
    <col min="10007" max="10007" width="9.109375" style="2743" customWidth="1"/>
    <col min="10008" max="10008" width="1.109375" style="2743" customWidth="1"/>
    <col min="10009" max="10009" width="0.88671875" style="2743" customWidth="1"/>
    <col min="10010" max="10010" width="9.5546875" style="2743" bestFit="1" customWidth="1"/>
    <col min="10011" max="10012" width="0.88671875" style="2743" customWidth="1"/>
    <col min="10013" max="10013" width="9.88671875" style="2743" customWidth="1"/>
    <col min="10014" max="10014" width="1.109375" style="2743" customWidth="1"/>
    <col min="10015" max="10015" width="8.5546875" style="2743" customWidth="1"/>
    <col min="10016" max="10016" width="14.5546875" style="2743" customWidth="1"/>
    <col min="10017" max="10017" width="10" style="2743" customWidth="1"/>
    <col min="10018" max="10018" width="7.88671875" style="2743" bestFit="1" customWidth="1"/>
    <col min="10019" max="10019" width="9.88671875" style="2743" customWidth="1"/>
    <col min="10020" max="10236" width="8.88671875" style="2743"/>
    <col min="10237" max="10237" width="38.44140625" style="2743" customWidth="1"/>
    <col min="10238" max="10238" width="8.5546875" style="2743" customWidth="1"/>
    <col min="10239" max="10239" width="1.109375" style="2743" customWidth="1"/>
    <col min="10240" max="10240" width="8.88671875" style="2743" customWidth="1"/>
    <col min="10241" max="10241" width="1.109375" style="2743" customWidth="1"/>
    <col min="10242" max="10242" width="9.109375" style="2743" customWidth="1"/>
    <col min="10243" max="10243" width="1.109375" style="2743" customWidth="1"/>
    <col min="10244" max="10244" width="10" style="2743" customWidth="1"/>
    <col min="10245" max="10245" width="1.109375" style="2743" customWidth="1"/>
    <col min="10246" max="10246" width="9.109375" style="2743" customWidth="1"/>
    <col min="10247" max="10247" width="1.109375" style="2743" customWidth="1"/>
    <col min="10248" max="10248" width="11.109375" style="2743" customWidth="1"/>
    <col min="10249" max="10249" width="1.109375" style="2743" customWidth="1"/>
    <col min="10250" max="10250" width="9.109375" style="2743" customWidth="1"/>
    <col min="10251" max="10251" width="1.88671875" style="2743" customWidth="1"/>
    <col min="10252" max="10252" width="11" style="2743" customWidth="1"/>
    <col min="10253" max="10253" width="1.109375" style="2743" customWidth="1"/>
    <col min="10254" max="10254" width="10.88671875" style="2743" customWidth="1"/>
    <col min="10255" max="10255" width="1.109375" style="2743" customWidth="1"/>
    <col min="10256" max="10256" width="10" style="2743" customWidth="1"/>
    <col min="10257" max="10257" width="1.109375" style="2743" customWidth="1"/>
    <col min="10258" max="10258" width="9.109375" style="2743" customWidth="1"/>
    <col min="10259" max="10259" width="1.109375" style="2743" customWidth="1"/>
    <col min="10260" max="10260" width="7.88671875" style="2743" customWidth="1"/>
    <col min="10261" max="10261" width="1.109375" style="2743" customWidth="1"/>
    <col min="10262" max="10262" width="0.88671875" style="2743" customWidth="1"/>
    <col min="10263" max="10263" width="9.109375" style="2743" customWidth="1"/>
    <col min="10264" max="10264" width="1.109375" style="2743" customWidth="1"/>
    <col min="10265" max="10265" width="0.88671875" style="2743" customWidth="1"/>
    <col min="10266" max="10266" width="9.5546875" style="2743" bestFit="1" customWidth="1"/>
    <col min="10267" max="10268" width="0.88671875" style="2743" customWidth="1"/>
    <col min="10269" max="10269" width="9.88671875" style="2743" customWidth="1"/>
    <col min="10270" max="10270" width="1.109375" style="2743" customWidth="1"/>
    <col min="10271" max="10271" width="8.5546875" style="2743" customWidth="1"/>
    <col min="10272" max="10272" width="14.5546875" style="2743" customWidth="1"/>
    <col min="10273" max="10273" width="10" style="2743" customWidth="1"/>
    <col min="10274" max="10274" width="7.88671875" style="2743" bestFit="1" customWidth="1"/>
    <col min="10275" max="10275" width="9.88671875" style="2743" customWidth="1"/>
    <col min="10276" max="10492" width="8.88671875" style="2743"/>
    <col min="10493" max="10493" width="38.44140625" style="2743" customWidth="1"/>
    <col min="10494" max="10494" width="8.5546875" style="2743" customWidth="1"/>
    <col min="10495" max="10495" width="1.109375" style="2743" customWidth="1"/>
    <col min="10496" max="10496" width="8.88671875" style="2743" customWidth="1"/>
    <col min="10497" max="10497" width="1.109375" style="2743" customWidth="1"/>
    <col min="10498" max="10498" width="9.109375" style="2743" customWidth="1"/>
    <col min="10499" max="10499" width="1.109375" style="2743" customWidth="1"/>
    <col min="10500" max="10500" width="10" style="2743" customWidth="1"/>
    <col min="10501" max="10501" width="1.109375" style="2743" customWidth="1"/>
    <col min="10502" max="10502" width="9.109375" style="2743" customWidth="1"/>
    <col min="10503" max="10503" width="1.109375" style="2743" customWidth="1"/>
    <col min="10504" max="10504" width="11.109375" style="2743" customWidth="1"/>
    <col min="10505" max="10505" width="1.109375" style="2743" customWidth="1"/>
    <col min="10506" max="10506" width="9.109375" style="2743" customWidth="1"/>
    <col min="10507" max="10507" width="1.88671875" style="2743" customWidth="1"/>
    <col min="10508" max="10508" width="11" style="2743" customWidth="1"/>
    <col min="10509" max="10509" width="1.109375" style="2743" customWidth="1"/>
    <col min="10510" max="10510" width="10.88671875" style="2743" customWidth="1"/>
    <col min="10511" max="10511" width="1.109375" style="2743" customWidth="1"/>
    <col min="10512" max="10512" width="10" style="2743" customWidth="1"/>
    <col min="10513" max="10513" width="1.109375" style="2743" customWidth="1"/>
    <col min="10514" max="10514" width="9.109375" style="2743" customWidth="1"/>
    <col min="10515" max="10515" width="1.109375" style="2743" customWidth="1"/>
    <col min="10516" max="10516" width="7.88671875" style="2743" customWidth="1"/>
    <col min="10517" max="10517" width="1.109375" style="2743" customWidth="1"/>
    <col min="10518" max="10518" width="0.88671875" style="2743" customWidth="1"/>
    <col min="10519" max="10519" width="9.109375" style="2743" customWidth="1"/>
    <col min="10520" max="10520" width="1.109375" style="2743" customWidth="1"/>
    <col min="10521" max="10521" width="0.88671875" style="2743" customWidth="1"/>
    <col min="10522" max="10522" width="9.5546875" style="2743" bestFit="1" customWidth="1"/>
    <col min="10523" max="10524" width="0.88671875" style="2743" customWidth="1"/>
    <col min="10525" max="10525" width="9.88671875" style="2743" customWidth="1"/>
    <col min="10526" max="10526" width="1.109375" style="2743" customWidth="1"/>
    <col min="10527" max="10527" width="8.5546875" style="2743" customWidth="1"/>
    <col min="10528" max="10528" width="14.5546875" style="2743" customWidth="1"/>
    <col min="10529" max="10529" width="10" style="2743" customWidth="1"/>
    <col min="10530" max="10530" width="7.88671875" style="2743" bestFit="1" customWidth="1"/>
    <col min="10531" max="10531" width="9.88671875" style="2743" customWidth="1"/>
    <col min="10532" max="10748" width="8.88671875" style="2743"/>
    <col min="10749" max="10749" width="38.44140625" style="2743" customWidth="1"/>
    <col min="10750" max="10750" width="8.5546875" style="2743" customWidth="1"/>
    <col min="10751" max="10751" width="1.109375" style="2743" customWidth="1"/>
    <col min="10752" max="10752" width="8.88671875" style="2743" customWidth="1"/>
    <col min="10753" max="10753" width="1.109375" style="2743" customWidth="1"/>
    <col min="10754" max="10754" width="9.109375" style="2743" customWidth="1"/>
    <col min="10755" max="10755" width="1.109375" style="2743" customWidth="1"/>
    <col min="10756" max="10756" width="10" style="2743" customWidth="1"/>
    <col min="10757" max="10757" width="1.109375" style="2743" customWidth="1"/>
    <col min="10758" max="10758" width="9.109375" style="2743" customWidth="1"/>
    <col min="10759" max="10759" width="1.109375" style="2743" customWidth="1"/>
    <col min="10760" max="10760" width="11.109375" style="2743" customWidth="1"/>
    <col min="10761" max="10761" width="1.109375" style="2743" customWidth="1"/>
    <col min="10762" max="10762" width="9.109375" style="2743" customWidth="1"/>
    <col min="10763" max="10763" width="1.88671875" style="2743" customWidth="1"/>
    <col min="10764" max="10764" width="11" style="2743" customWidth="1"/>
    <col min="10765" max="10765" width="1.109375" style="2743" customWidth="1"/>
    <col min="10766" max="10766" width="10.88671875" style="2743" customWidth="1"/>
    <col min="10767" max="10767" width="1.109375" style="2743" customWidth="1"/>
    <col min="10768" max="10768" width="10" style="2743" customWidth="1"/>
    <col min="10769" max="10769" width="1.109375" style="2743" customWidth="1"/>
    <col min="10770" max="10770" width="9.109375" style="2743" customWidth="1"/>
    <col min="10771" max="10771" width="1.109375" style="2743" customWidth="1"/>
    <col min="10772" max="10772" width="7.88671875" style="2743" customWidth="1"/>
    <col min="10773" max="10773" width="1.109375" style="2743" customWidth="1"/>
    <col min="10774" max="10774" width="0.88671875" style="2743" customWidth="1"/>
    <col min="10775" max="10775" width="9.109375" style="2743" customWidth="1"/>
    <col min="10776" max="10776" width="1.109375" style="2743" customWidth="1"/>
    <col min="10777" max="10777" width="0.88671875" style="2743" customWidth="1"/>
    <col min="10778" max="10778" width="9.5546875" style="2743" bestFit="1" customWidth="1"/>
    <col min="10779" max="10780" width="0.88671875" style="2743" customWidth="1"/>
    <col min="10781" max="10781" width="9.88671875" style="2743" customWidth="1"/>
    <col min="10782" max="10782" width="1.109375" style="2743" customWidth="1"/>
    <col min="10783" max="10783" width="8.5546875" style="2743" customWidth="1"/>
    <col min="10784" max="10784" width="14.5546875" style="2743" customWidth="1"/>
    <col min="10785" max="10785" width="10" style="2743" customWidth="1"/>
    <col min="10786" max="10786" width="7.88671875" style="2743" bestFit="1" customWidth="1"/>
    <col min="10787" max="10787" width="9.88671875" style="2743" customWidth="1"/>
    <col min="10788" max="11004" width="8.88671875" style="2743"/>
    <col min="11005" max="11005" width="38.44140625" style="2743" customWidth="1"/>
    <col min="11006" max="11006" width="8.5546875" style="2743" customWidth="1"/>
    <col min="11007" max="11007" width="1.109375" style="2743" customWidth="1"/>
    <col min="11008" max="11008" width="8.88671875" style="2743" customWidth="1"/>
    <col min="11009" max="11009" width="1.109375" style="2743" customWidth="1"/>
    <col min="11010" max="11010" width="9.109375" style="2743" customWidth="1"/>
    <col min="11011" max="11011" width="1.109375" style="2743" customWidth="1"/>
    <col min="11012" max="11012" width="10" style="2743" customWidth="1"/>
    <col min="11013" max="11013" width="1.109375" style="2743" customWidth="1"/>
    <col min="11014" max="11014" width="9.109375" style="2743" customWidth="1"/>
    <col min="11015" max="11015" width="1.109375" style="2743" customWidth="1"/>
    <col min="11016" max="11016" width="11.109375" style="2743" customWidth="1"/>
    <col min="11017" max="11017" width="1.109375" style="2743" customWidth="1"/>
    <col min="11018" max="11018" width="9.109375" style="2743" customWidth="1"/>
    <col min="11019" max="11019" width="1.88671875" style="2743" customWidth="1"/>
    <col min="11020" max="11020" width="11" style="2743" customWidth="1"/>
    <col min="11021" max="11021" width="1.109375" style="2743" customWidth="1"/>
    <col min="11022" max="11022" width="10.88671875" style="2743" customWidth="1"/>
    <col min="11023" max="11023" width="1.109375" style="2743" customWidth="1"/>
    <col min="11024" max="11024" width="10" style="2743" customWidth="1"/>
    <col min="11025" max="11025" width="1.109375" style="2743" customWidth="1"/>
    <col min="11026" max="11026" width="9.109375" style="2743" customWidth="1"/>
    <col min="11027" max="11027" width="1.109375" style="2743" customWidth="1"/>
    <col min="11028" max="11028" width="7.88671875" style="2743" customWidth="1"/>
    <col min="11029" max="11029" width="1.109375" style="2743" customWidth="1"/>
    <col min="11030" max="11030" width="0.88671875" style="2743" customWidth="1"/>
    <col min="11031" max="11031" width="9.109375" style="2743" customWidth="1"/>
    <col min="11032" max="11032" width="1.109375" style="2743" customWidth="1"/>
    <col min="11033" max="11033" width="0.88671875" style="2743" customWidth="1"/>
    <col min="11034" max="11034" width="9.5546875" style="2743" bestFit="1" customWidth="1"/>
    <col min="11035" max="11036" width="0.88671875" style="2743" customWidth="1"/>
    <col min="11037" max="11037" width="9.88671875" style="2743" customWidth="1"/>
    <col min="11038" max="11038" width="1.109375" style="2743" customWidth="1"/>
    <col min="11039" max="11039" width="8.5546875" style="2743" customWidth="1"/>
    <col min="11040" max="11040" width="14.5546875" style="2743" customWidth="1"/>
    <col min="11041" max="11041" width="10" style="2743" customWidth="1"/>
    <col min="11042" max="11042" width="7.88671875" style="2743" bestFit="1" customWidth="1"/>
    <col min="11043" max="11043" width="9.88671875" style="2743" customWidth="1"/>
    <col min="11044" max="11260" width="8.88671875" style="2743"/>
    <col min="11261" max="11261" width="38.44140625" style="2743" customWidth="1"/>
    <col min="11262" max="11262" width="8.5546875" style="2743" customWidth="1"/>
    <col min="11263" max="11263" width="1.109375" style="2743" customWidth="1"/>
    <col min="11264" max="11264" width="8.88671875" style="2743" customWidth="1"/>
    <col min="11265" max="11265" width="1.109375" style="2743" customWidth="1"/>
    <col min="11266" max="11266" width="9.109375" style="2743" customWidth="1"/>
    <col min="11267" max="11267" width="1.109375" style="2743" customWidth="1"/>
    <col min="11268" max="11268" width="10" style="2743" customWidth="1"/>
    <col min="11269" max="11269" width="1.109375" style="2743" customWidth="1"/>
    <col min="11270" max="11270" width="9.109375" style="2743" customWidth="1"/>
    <col min="11271" max="11271" width="1.109375" style="2743" customWidth="1"/>
    <col min="11272" max="11272" width="11.109375" style="2743" customWidth="1"/>
    <col min="11273" max="11273" width="1.109375" style="2743" customWidth="1"/>
    <col min="11274" max="11274" width="9.109375" style="2743" customWidth="1"/>
    <col min="11275" max="11275" width="1.88671875" style="2743" customWidth="1"/>
    <col min="11276" max="11276" width="11" style="2743" customWidth="1"/>
    <col min="11277" max="11277" width="1.109375" style="2743" customWidth="1"/>
    <col min="11278" max="11278" width="10.88671875" style="2743" customWidth="1"/>
    <col min="11279" max="11279" width="1.109375" style="2743" customWidth="1"/>
    <col min="11280" max="11280" width="10" style="2743" customWidth="1"/>
    <col min="11281" max="11281" width="1.109375" style="2743" customWidth="1"/>
    <col min="11282" max="11282" width="9.109375" style="2743" customWidth="1"/>
    <col min="11283" max="11283" width="1.109375" style="2743" customWidth="1"/>
    <col min="11284" max="11284" width="7.88671875" style="2743" customWidth="1"/>
    <col min="11285" max="11285" width="1.109375" style="2743" customWidth="1"/>
    <col min="11286" max="11286" width="0.88671875" style="2743" customWidth="1"/>
    <col min="11287" max="11287" width="9.109375" style="2743" customWidth="1"/>
    <col min="11288" max="11288" width="1.109375" style="2743" customWidth="1"/>
    <col min="11289" max="11289" width="0.88671875" style="2743" customWidth="1"/>
    <col min="11290" max="11290" width="9.5546875" style="2743" bestFit="1" customWidth="1"/>
    <col min="11291" max="11292" width="0.88671875" style="2743" customWidth="1"/>
    <col min="11293" max="11293" width="9.88671875" style="2743" customWidth="1"/>
    <col min="11294" max="11294" width="1.109375" style="2743" customWidth="1"/>
    <col min="11295" max="11295" width="8.5546875" style="2743" customWidth="1"/>
    <col min="11296" max="11296" width="14.5546875" style="2743" customWidth="1"/>
    <col min="11297" max="11297" width="10" style="2743" customWidth="1"/>
    <col min="11298" max="11298" width="7.88671875" style="2743" bestFit="1" customWidth="1"/>
    <col min="11299" max="11299" width="9.88671875" style="2743" customWidth="1"/>
    <col min="11300" max="11516" width="8.88671875" style="2743"/>
    <col min="11517" max="11517" width="38.44140625" style="2743" customWidth="1"/>
    <col min="11518" max="11518" width="8.5546875" style="2743" customWidth="1"/>
    <col min="11519" max="11519" width="1.109375" style="2743" customWidth="1"/>
    <col min="11520" max="11520" width="8.88671875" style="2743" customWidth="1"/>
    <col min="11521" max="11521" width="1.109375" style="2743" customWidth="1"/>
    <col min="11522" max="11522" width="9.109375" style="2743" customWidth="1"/>
    <col min="11523" max="11523" width="1.109375" style="2743" customWidth="1"/>
    <col min="11524" max="11524" width="10" style="2743" customWidth="1"/>
    <col min="11525" max="11525" width="1.109375" style="2743" customWidth="1"/>
    <col min="11526" max="11526" width="9.109375" style="2743" customWidth="1"/>
    <col min="11527" max="11527" width="1.109375" style="2743" customWidth="1"/>
    <col min="11528" max="11528" width="11.109375" style="2743" customWidth="1"/>
    <col min="11529" max="11529" width="1.109375" style="2743" customWidth="1"/>
    <col min="11530" max="11530" width="9.109375" style="2743" customWidth="1"/>
    <col min="11531" max="11531" width="1.88671875" style="2743" customWidth="1"/>
    <col min="11532" max="11532" width="11" style="2743" customWidth="1"/>
    <col min="11533" max="11533" width="1.109375" style="2743" customWidth="1"/>
    <col min="11534" max="11534" width="10.88671875" style="2743" customWidth="1"/>
    <col min="11535" max="11535" width="1.109375" style="2743" customWidth="1"/>
    <col min="11536" max="11536" width="10" style="2743" customWidth="1"/>
    <col min="11537" max="11537" width="1.109375" style="2743" customWidth="1"/>
    <col min="11538" max="11538" width="9.109375" style="2743" customWidth="1"/>
    <col min="11539" max="11539" width="1.109375" style="2743" customWidth="1"/>
    <col min="11540" max="11540" width="7.88671875" style="2743" customWidth="1"/>
    <col min="11541" max="11541" width="1.109375" style="2743" customWidth="1"/>
    <col min="11542" max="11542" width="0.88671875" style="2743" customWidth="1"/>
    <col min="11543" max="11543" width="9.109375" style="2743" customWidth="1"/>
    <col min="11544" max="11544" width="1.109375" style="2743" customWidth="1"/>
    <col min="11545" max="11545" width="0.88671875" style="2743" customWidth="1"/>
    <col min="11546" max="11546" width="9.5546875" style="2743" bestFit="1" customWidth="1"/>
    <col min="11547" max="11548" width="0.88671875" style="2743" customWidth="1"/>
    <col min="11549" max="11549" width="9.88671875" style="2743" customWidth="1"/>
    <col min="11550" max="11550" width="1.109375" style="2743" customWidth="1"/>
    <col min="11551" max="11551" width="8.5546875" style="2743" customWidth="1"/>
    <col min="11552" max="11552" width="14.5546875" style="2743" customWidth="1"/>
    <col min="11553" max="11553" width="10" style="2743" customWidth="1"/>
    <col min="11554" max="11554" width="7.88671875" style="2743" bestFit="1" customWidth="1"/>
    <col min="11555" max="11555" width="9.88671875" style="2743" customWidth="1"/>
    <col min="11556" max="11772" width="8.88671875" style="2743"/>
    <col min="11773" max="11773" width="38.44140625" style="2743" customWidth="1"/>
    <col min="11774" max="11774" width="8.5546875" style="2743" customWidth="1"/>
    <col min="11775" max="11775" width="1.109375" style="2743" customWidth="1"/>
    <col min="11776" max="11776" width="8.88671875" style="2743" customWidth="1"/>
    <col min="11777" max="11777" width="1.109375" style="2743" customWidth="1"/>
    <col min="11778" max="11778" width="9.109375" style="2743" customWidth="1"/>
    <col min="11779" max="11779" width="1.109375" style="2743" customWidth="1"/>
    <col min="11780" max="11780" width="10" style="2743" customWidth="1"/>
    <col min="11781" max="11781" width="1.109375" style="2743" customWidth="1"/>
    <col min="11782" max="11782" width="9.109375" style="2743" customWidth="1"/>
    <col min="11783" max="11783" width="1.109375" style="2743" customWidth="1"/>
    <col min="11784" max="11784" width="11.109375" style="2743" customWidth="1"/>
    <col min="11785" max="11785" width="1.109375" style="2743" customWidth="1"/>
    <col min="11786" max="11786" width="9.109375" style="2743" customWidth="1"/>
    <col min="11787" max="11787" width="1.88671875" style="2743" customWidth="1"/>
    <col min="11788" max="11788" width="11" style="2743" customWidth="1"/>
    <col min="11789" max="11789" width="1.109375" style="2743" customWidth="1"/>
    <col min="11790" max="11790" width="10.88671875" style="2743" customWidth="1"/>
    <col min="11791" max="11791" width="1.109375" style="2743" customWidth="1"/>
    <col min="11792" max="11792" width="10" style="2743" customWidth="1"/>
    <col min="11793" max="11793" width="1.109375" style="2743" customWidth="1"/>
    <col min="11794" max="11794" width="9.109375" style="2743" customWidth="1"/>
    <col min="11795" max="11795" width="1.109375" style="2743" customWidth="1"/>
    <col min="11796" max="11796" width="7.88671875" style="2743" customWidth="1"/>
    <col min="11797" max="11797" width="1.109375" style="2743" customWidth="1"/>
    <col min="11798" max="11798" width="0.88671875" style="2743" customWidth="1"/>
    <col min="11799" max="11799" width="9.109375" style="2743" customWidth="1"/>
    <col min="11800" max="11800" width="1.109375" style="2743" customWidth="1"/>
    <col min="11801" max="11801" width="0.88671875" style="2743" customWidth="1"/>
    <col min="11802" max="11802" width="9.5546875" style="2743" bestFit="1" customWidth="1"/>
    <col min="11803" max="11804" width="0.88671875" style="2743" customWidth="1"/>
    <col min="11805" max="11805" width="9.88671875" style="2743" customWidth="1"/>
    <col min="11806" max="11806" width="1.109375" style="2743" customWidth="1"/>
    <col min="11807" max="11807" width="8.5546875" style="2743" customWidth="1"/>
    <col min="11808" max="11808" width="14.5546875" style="2743" customWidth="1"/>
    <col min="11809" max="11809" width="10" style="2743" customWidth="1"/>
    <col min="11810" max="11810" width="7.88671875" style="2743" bestFit="1" customWidth="1"/>
    <col min="11811" max="11811" width="9.88671875" style="2743" customWidth="1"/>
    <col min="11812" max="12028" width="8.88671875" style="2743"/>
    <col min="12029" max="12029" width="38.44140625" style="2743" customWidth="1"/>
    <col min="12030" max="12030" width="8.5546875" style="2743" customWidth="1"/>
    <col min="12031" max="12031" width="1.109375" style="2743" customWidth="1"/>
    <col min="12032" max="12032" width="8.88671875" style="2743" customWidth="1"/>
    <col min="12033" max="12033" width="1.109375" style="2743" customWidth="1"/>
    <col min="12034" max="12034" width="9.109375" style="2743" customWidth="1"/>
    <col min="12035" max="12035" width="1.109375" style="2743" customWidth="1"/>
    <col min="12036" max="12036" width="10" style="2743" customWidth="1"/>
    <col min="12037" max="12037" width="1.109375" style="2743" customWidth="1"/>
    <col min="12038" max="12038" width="9.109375" style="2743" customWidth="1"/>
    <col min="12039" max="12039" width="1.109375" style="2743" customWidth="1"/>
    <col min="12040" max="12040" width="11.109375" style="2743" customWidth="1"/>
    <col min="12041" max="12041" width="1.109375" style="2743" customWidth="1"/>
    <col min="12042" max="12042" width="9.109375" style="2743" customWidth="1"/>
    <col min="12043" max="12043" width="1.88671875" style="2743" customWidth="1"/>
    <col min="12044" max="12044" width="11" style="2743" customWidth="1"/>
    <col min="12045" max="12045" width="1.109375" style="2743" customWidth="1"/>
    <col min="12046" max="12046" width="10.88671875" style="2743" customWidth="1"/>
    <col min="12047" max="12047" width="1.109375" style="2743" customWidth="1"/>
    <col min="12048" max="12048" width="10" style="2743" customWidth="1"/>
    <col min="12049" max="12049" width="1.109375" style="2743" customWidth="1"/>
    <col min="12050" max="12050" width="9.109375" style="2743" customWidth="1"/>
    <col min="12051" max="12051" width="1.109375" style="2743" customWidth="1"/>
    <col min="12052" max="12052" width="7.88671875" style="2743" customWidth="1"/>
    <col min="12053" max="12053" width="1.109375" style="2743" customWidth="1"/>
    <col min="12054" max="12054" width="0.88671875" style="2743" customWidth="1"/>
    <col min="12055" max="12055" width="9.109375" style="2743" customWidth="1"/>
    <col min="12056" max="12056" width="1.109375" style="2743" customWidth="1"/>
    <col min="12057" max="12057" width="0.88671875" style="2743" customWidth="1"/>
    <col min="12058" max="12058" width="9.5546875" style="2743" bestFit="1" customWidth="1"/>
    <col min="12059" max="12060" width="0.88671875" style="2743" customWidth="1"/>
    <col min="12061" max="12061" width="9.88671875" style="2743" customWidth="1"/>
    <col min="12062" max="12062" width="1.109375" style="2743" customWidth="1"/>
    <col min="12063" max="12063" width="8.5546875" style="2743" customWidth="1"/>
    <col min="12064" max="12064" width="14.5546875" style="2743" customWidth="1"/>
    <col min="12065" max="12065" width="10" style="2743" customWidth="1"/>
    <col min="12066" max="12066" width="7.88671875" style="2743" bestFit="1" customWidth="1"/>
    <col min="12067" max="12067" width="9.88671875" style="2743" customWidth="1"/>
    <col min="12068" max="12284" width="8.88671875" style="2743"/>
    <col min="12285" max="12285" width="38.44140625" style="2743" customWidth="1"/>
    <col min="12286" max="12286" width="8.5546875" style="2743" customWidth="1"/>
    <col min="12287" max="12287" width="1.109375" style="2743" customWidth="1"/>
    <col min="12288" max="12288" width="8.88671875" style="2743" customWidth="1"/>
    <col min="12289" max="12289" width="1.109375" style="2743" customWidth="1"/>
    <col min="12290" max="12290" width="9.109375" style="2743" customWidth="1"/>
    <col min="12291" max="12291" width="1.109375" style="2743" customWidth="1"/>
    <col min="12292" max="12292" width="10" style="2743" customWidth="1"/>
    <col min="12293" max="12293" width="1.109375" style="2743" customWidth="1"/>
    <col min="12294" max="12294" width="9.109375" style="2743" customWidth="1"/>
    <col min="12295" max="12295" width="1.109375" style="2743" customWidth="1"/>
    <col min="12296" max="12296" width="11.109375" style="2743" customWidth="1"/>
    <col min="12297" max="12297" width="1.109375" style="2743" customWidth="1"/>
    <col min="12298" max="12298" width="9.109375" style="2743" customWidth="1"/>
    <col min="12299" max="12299" width="1.88671875" style="2743" customWidth="1"/>
    <col min="12300" max="12300" width="11" style="2743" customWidth="1"/>
    <col min="12301" max="12301" width="1.109375" style="2743" customWidth="1"/>
    <col min="12302" max="12302" width="10.88671875" style="2743" customWidth="1"/>
    <col min="12303" max="12303" width="1.109375" style="2743" customWidth="1"/>
    <col min="12304" max="12304" width="10" style="2743" customWidth="1"/>
    <col min="12305" max="12305" width="1.109375" style="2743" customWidth="1"/>
    <col min="12306" max="12306" width="9.109375" style="2743" customWidth="1"/>
    <col min="12307" max="12307" width="1.109375" style="2743" customWidth="1"/>
    <col min="12308" max="12308" width="7.88671875" style="2743" customWidth="1"/>
    <col min="12309" max="12309" width="1.109375" style="2743" customWidth="1"/>
    <col min="12310" max="12310" width="0.88671875" style="2743" customWidth="1"/>
    <col min="12311" max="12311" width="9.109375" style="2743" customWidth="1"/>
    <col min="12312" max="12312" width="1.109375" style="2743" customWidth="1"/>
    <col min="12313" max="12313" width="0.88671875" style="2743" customWidth="1"/>
    <col min="12314" max="12314" width="9.5546875" style="2743" bestFit="1" customWidth="1"/>
    <col min="12315" max="12316" width="0.88671875" style="2743" customWidth="1"/>
    <col min="12317" max="12317" width="9.88671875" style="2743" customWidth="1"/>
    <col min="12318" max="12318" width="1.109375" style="2743" customWidth="1"/>
    <col min="12319" max="12319" width="8.5546875" style="2743" customWidth="1"/>
    <col min="12320" max="12320" width="14.5546875" style="2743" customWidth="1"/>
    <col min="12321" max="12321" width="10" style="2743" customWidth="1"/>
    <col min="12322" max="12322" width="7.88671875" style="2743" bestFit="1" customWidth="1"/>
    <col min="12323" max="12323" width="9.88671875" style="2743" customWidth="1"/>
    <col min="12324" max="12540" width="8.88671875" style="2743"/>
    <col min="12541" max="12541" width="38.44140625" style="2743" customWidth="1"/>
    <col min="12542" max="12542" width="8.5546875" style="2743" customWidth="1"/>
    <col min="12543" max="12543" width="1.109375" style="2743" customWidth="1"/>
    <col min="12544" max="12544" width="8.88671875" style="2743" customWidth="1"/>
    <col min="12545" max="12545" width="1.109375" style="2743" customWidth="1"/>
    <col min="12546" max="12546" width="9.109375" style="2743" customWidth="1"/>
    <col min="12547" max="12547" width="1.109375" style="2743" customWidth="1"/>
    <col min="12548" max="12548" width="10" style="2743" customWidth="1"/>
    <col min="12549" max="12549" width="1.109375" style="2743" customWidth="1"/>
    <col min="12550" max="12550" width="9.109375" style="2743" customWidth="1"/>
    <col min="12551" max="12551" width="1.109375" style="2743" customWidth="1"/>
    <col min="12552" max="12552" width="11.109375" style="2743" customWidth="1"/>
    <col min="12553" max="12553" width="1.109375" style="2743" customWidth="1"/>
    <col min="12554" max="12554" width="9.109375" style="2743" customWidth="1"/>
    <col min="12555" max="12555" width="1.88671875" style="2743" customWidth="1"/>
    <col min="12556" max="12556" width="11" style="2743" customWidth="1"/>
    <col min="12557" max="12557" width="1.109375" style="2743" customWidth="1"/>
    <col min="12558" max="12558" width="10.88671875" style="2743" customWidth="1"/>
    <col min="12559" max="12559" width="1.109375" style="2743" customWidth="1"/>
    <col min="12560" max="12560" width="10" style="2743" customWidth="1"/>
    <col min="12561" max="12561" width="1.109375" style="2743" customWidth="1"/>
    <col min="12562" max="12562" width="9.109375" style="2743" customWidth="1"/>
    <col min="12563" max="12563" width="1.109375" style="2743" customWidth="1"/>
    <col min="12564" max="12564" width="7.88671875" style="2743" customWidth="1"/>
    <col min="12565" max="12565" width="1.109375" style="2743" customWidth="1"/>
    <col min="12566" max="12566" width="0.88671875" style="2743" customWidth="1"/>
    <col min="12567" max="12567" width="9.109375" style="2743" customWidth="1"/>
    <col min="12568" max="12568" width="1.109375" style="2743" customWidth="1"/>
    <col min="12569" max="12569" width="0.88671875" style="2743" customWidth="1"/>
    <col min="12570" max="12570" width="9.5546875" style="2743" bestFit="1" customWidth="1"/>
    <col min="12571" max="12572" width="0.88671875" style="2743" customWidth="1"/>
    <col min="12573" max="12573" width="9.88671875" style="2743" customWidth="1"/>
    <col min="12574" max="12574" width="1.109375" style="2743" customWidth="1"/>
    <col min="12575" max="12575" width="8.5546875" style="2743" customWidth="1"/>
    <col min="12576" max="12576" width="14.5546875" style="2743" customWidth="1"/>
    <col min="12577" max="12577" width="10" style="2743" customWidth="1"/>
    <col min="12578" max="12578" width="7.88671875" style="2743" bestFit="1" customWidth="1"/>
    <col min="12579" max="12579" width="9.88671875" style="2743" customWidth="1"/>
    <col min="12580" max="12796" width="8.88671875" style="2743"/>
    <col min="12797" max="12797" width="38.44140625" style="2743" customWidth="1"/>
    <col min="12798" max="12798" width="8.5546875" style="2743" customWidth="1"/>
    <col min="12799" max="12799" width="1.109375" style="2743" customWidth="1"/>
    <col min="12800" max="12800" width="8.88671875" style="2743" customWidth="1"/>
    <col min="12801" max="12801" width="1.109375" style="2743" customWidth="1"/>
    <col min="12802" max="12802" width="9.109375" style="2743" customWidth="1"/>
    <col min="12803" max="12803" width="1.109375" style="2743" customWidth="1"/>
    <col min="12804" max="12804" width="10" style="2743" customWidth="1"/>
    <col min="12805" max="12805" width="1.109375" style="2743" customWidth="1"/>
    <col min="12806" max="12806" width="9.109375" style="2743" customWidth="1"/>
    <col min="12807" max="12807" width="1.109375" style="2743" customWidth="1"/>
    <col min="12808" max="12808" width="11.109375" style="2743" customWidth="1"/>
    <col min="12809" max="12809" width="1.109375" style="2743" customWidth="1"/>
    <col min="12810" max="12810" width="9.109375" style="2743" customWidth="1"/>
    <col min="12811" max="12811" width="1.88671875" style="2743" customWidth="1"/>
    <col min="12812" max="12812" width="11" style="2743" customWidth="1"/>
    <col min="12813" max="12813" width="1.109375" style="2743" customWidth="1"/>
    <col min="12814" max="12814" width="10.88671875" style="2743" customWidth="1"/>
    <col min="12815" max="12815" width="1.109375" style="2743" customWidth="1"/>
    <col min="12816" max="12816" width="10" style="2743" customWidth="1"/>
    <col min="12817" max="12817" width="1.109375" style="2743" customWidth="1"/>
    <col min="12818" max="12818" width="9.109375" style="2743" customWidth="1"/>
    <col min="12819" max="12819" width="1.109375" style="2743" customWidth="1"/>
    <col min="12820" max="12820" width="7.88671875" style="2743" customWidth="1"/>
    <col min="12821" max="12821" width="1.109375" style="2743" customWidth="1"/>
    <col min="12822" max="12822" width="0.88671875" style="2743" customWidth="1"/>
    <col min="12823" max="12823" width="9.109375" style="2743" customWidth="1"/>
    <col min="12824" max="12824" width="1.109375" style="2743" customWidth="1"/>
    <col min="12825" max="12825" width="0.88671875" style="2743" customWidth="1"/>
    <col min="12826" max="12826" width="9.5546875" style="2743" bestFit="1" customWidth="1"/>
    <col min="12827" max="12828" width="0.88671875" style="2743" customWidth="1"/>
    <col min="12829" max="12829" width="9.88671875" style="2743" customWidth="1"/>
    <col min="12830" max="12830" width="1.109375" style="2743" customWidth="1"/>
    <col min="12831" max="12831" width="8.5546875" style="2743" customWidth="1"/>
    <col min="12832" max="12832" width="14.5546875" style="2743" customWidth="1"/>
    <col min="12833" max="12833" width="10" style="2743" customWidth="1"/>
    <col min="12834" max="12834" width="7.88671875" style="2743" bestFit="1" customWidth="1"/>
    <col min="12835" max="12835" width="9.88671875" style="2743" customWidth="1"/>
    <col min="12836" max="13052" width="8.88671875" style="2743"/>
    <col min="13053" max="13053" width="38.44140625" style="2743" customWidth="1"/>
    <col min="13054" max="13054" width="8.5546875" style="2743" customWidth="1"/>
    <col min="13055" max="13055" width="1.109375" style="2743" customWidth="1"/>
    <col min="13056" max="13056" width="8.88671875" style="2743" customWidth="1"/>
    <col min="13057" max="13057" width="1.109375" style="2743" customWidth="1"/>
    <col min="13058" max="13058" width="9.109375" style="2743" customWidth="1"/>
    <col min="13059" max="13059" width="1.109375" style="2743" customWidth="1"/>
    <col min="13060" max="13060" width="10" style="2743" customWidth="1"/>
    <col min="13061" max="13061" width="1.109375" style="2743" customWidth="1"/>
    <col min="13062" max="13062" width="9.109375" style="2743" customWidth="1"/>
    <col min="13063" max="13063" width="1.109375" style="2743" customWidth="1"/>
    <col min="13064" max="13064" width="11.109375" style="2743" customWidth="1"/>
    <col min="13065" max="13065" width="1.109375" style="2743" customWidth="1"/>
    <col min="13066" max="13066" width="9.109375" style="2743" customWidth="1"/>
    <col min="13067" max="13067" width="1.88671875" style="2743" customWidth="1"/>
    <col min="13068" max="13068" width="11" style="2743" customWidth="1"/>
    <col min="13069" max="13069" width="1.109375" style="2743" customWidth="1"/>
    <col min="13070" max="13070" width="10.88671875" style="2743" customWidth="1"/>
    <col min="13071" max="13071" width="1.109375" style="2743" customWidth="1"/>
    <col min="13072" max="13072" width="10" style="2743" customWidth="1"/>
    <col min="13073" max="13073" width="1.109375" style="2743" customWidth="1"/>
    <col min="13074" max="13074" width="9.109375" style="2743" customWidth="1"/>
    <col min="13075" max="13075" width="1.109375" style="2743" customWidth="1"/>
    <col min="13076" max="13076" width="7.88671875" style="2743" customWidth="1"/>
    <col min="13077" max="13077" width="1.109375" style="2743" customWidth="1"/>
    <col min="13078" max="13078" width="0.88671875" style="2743" customWidth="1"/>
    <col min="13079" max="13079" width="9.109375" style="2743" customWidth="1"/>
    <col min="13080" max="13080" width="1.109375" style="2743" customWidth="1"/>
    <col min="13081" max="13081" width="0.88671875" style="2743" customWidth="1"/>
    <col min="13082" max="13082" width="9.5546875" style="2743" bestFit="1" customWidth="1"/>
    <col min="13083" max="13084" width="0.88671875" style="2743" customWidth="1"/>
    <col min="13085" max="13085" width="9.88671875" style="2743" customWidth="1"/>
    <col min="13086" max="13086" width="1.109375" style="2743" customWidth="1"/>
    <col min="13087" max="13087" width="8.5546875" style="2743" customWidth="1"/>
    <col min="13088" max="13088" width="14.5546875" style="2743" customWidth="1"/>
    <col min="13089" max="13089" width="10" style="2743" customWidth="1"/>
    <col min="13090" max="13090" width="7.88671875" style="2743" bestFit="1" customWidth="1"/>
    <col min="13091" max="13091" width="9.88671875" style="2743" customWidth="1"/>
    <col min="13092" max="13308" width="8.88671875" style="2743"/>
    <col min="13309" max="13309" width="38.44140625" style="2743" customWidth="1"/>
    <col min="13310" max="13310" width="8.5546875" style="2743" customWidth="1"/>
    <col min="13311" max="13311" width="1.109375" style="2743" customWidth="1"/>
    <col min="13312" max="13312" width="8.88671875" style="2743" customWidth="1"/>
    <col min="13313" max="13313" width="1.109375" style="2743" customWidth="1"/>
    <col min="13314" max="13314" width="9.109375" style="2743" customWidth="1"/>
    <col min="13315" max="13315" width="1.109375" style="2743" customWidth="1"/>
    <col min="13316" max="13316" width="10" style="2743" customWidth="1"/>
    <col min="13317" max="13317" width="1.109375" style="2743" customWidth="1"/>
    <col min="13318" max="13318" width="9.109375" style="2743" customWidth="1"/>
    <col min="13319" max="13319" width="1.109375" style="2743" customWidth="1"/>
    <col min="13320" max="13320" width="11.109375" style="2743" customWidth="1"/>
    <col min="13321" max="13321" width="1.109375" style="2743" customWidth="1"/>
    <col min="13322" max="13322" width="9.109375" style="2743" customWidth="1"/>
    <col min="13323" max="13323" width="1.88671875" style="2743" customWidth="1"/>
    <col min="13324" max="13324" width="11" style="2743" customWidth="1"/>
    <col min="13325" max="13325" width="1.109375" style="2743" customWidth="1"/>
    <col min="13326" max="13326" width="10.88671875" style="2743" customWidth="1"/>
    <col min="13327" max="13327" width="1.109375" style="2743" customWidth="1"/>
    <col min="13328" max="13328" width="10" style="2743" customWidth="1"/>
    <col min="13329" max="13329" width="1.109375" style="2743" customWidth="1"/>
    <col min="13330" max="13330" width="9.109375" style="2743" customWidth="1"/>
    <col min="13331" max="13331" width="1.109375" style="2743" customWidth="1"/>
    <col min="13332" max="13332" width="7.88671875" style="2743" customWidth="1"/>
    <col min="13333" max="13333" width="1.109375" style="2743" customWidth="1"/>
    <col min="13334" max="13334" width="0.88671875" style="2743" customWidth="1"/>
    <col min="13335" max="13335" width="9.109375" style="2743" customWidth="1"/>
    <col min="13336" max="13336" width="1.109375" style="2743" customWidth="1"/>
    <col min="13337" max="13337" width="0.88671875" style="2743" customWidth="1"/>
    <col min="13338" max="13338" width="9.5546875" style="2743" bestFit="1" customWidth="1"/>
    <col min="13339" max="13340" width="0.88671875" style="2743" customWidth="1"/>
    <col min="13341" max="13341" width="9.88671875" style="2743" customWidth="1"/>
    <col min="13342" max="13342" width="1.109375" style="2743" customWidth="1"/>
    <col min="13343" max="13343" width="8.5546875" style="2743" customWidth="1"/>
    <col min="13344" max="13344" width="14.5546875" style="2743" customWidth="1"/>
    <col min="13345" max="13345" width="10" style="2743" customWidth="1"/>
    <col min="13346" max="13346" width="7.88671875" style="2743" bestFit="1" customWidth="1"/>
    <col min="13347" max="13347" width="9.88671875" style="2743" customWidth="1"/>
    <col min="13348" max="13564" width="8.88671875" style="2743"/>
    <col min="13565" max="13565" width="38.44140625" style="2743" customWidth="1"/>
    <col min="13566" max="13566" width="8.5546875" style="2743" customWidth="1"/>
    <col min="13567" max="13567" width="1.109375" style="2743" customWidth="1"/>
    <col min="13568" max="13568" width="8.88671875" style="2743" customWidth="1"/>
    <col min="13569" max="13569" width="1.109375" style="2743" customWidth="1"/>
    <col min="13570" max="13570" width="9.109375" style="2743" customWidth="1"/>
    <col min="13571" max="13571" width="1.109375" style="2743" customWidth="1"/>
    <col min="13572" max="13572" width="10" style="2743" customWidth="1"/>
    <col min="13573" max="13573" width="1.109375" style="2743" customWidth="1"/>
    <col min="13574" max="13574" width="9.109375" style="2743" customWidth="1"/>
    <col min="13575" max="13575" width="1.109375" style="2743" customWidth="1"/>
    <col min="13576" max="13576" width="11.109375" style="2743" customWidth="1"/>
    <col min="13577" max="13577" width="1.109375" style="2743" customWidth="1"/>
    <col min="13578" max="13578" width="9.109375" style="2743" customWidth="1"/>
    <col min="13579" max="13579" width="1.88671875" style="2743" customWidth="1"/>
    <col min="13580" max="13580" width="11" style="2743" customWidth="1"/>
    <col min="13581" max="13581" width="1.109375" style="2743" customWidth="1"/>
    <col min="13582" max="13582" width="10.88671875" style="2743" customWidth="1"/>
    <col min="13583" max="13583" width="1.109375" style="2743" customWidth="1"/>
    <col min="13584" max="13584" width="10" style="2743" customWidth="1"/>
    <col min="13585" max="13585" width="1.109375" style="2743" customWidth="1"/>
    <col min="13586" max="13586" width="9.109375" style="2743" customWidth="1"/>
    <col min="13587" max="13587" width="1.109375" style="2743" customWidth="1"/>
    <col min="13588" max="13588" width="7.88671875" style="2743" customWidth="1"/>
    <col min="13589" max="13589" width="1.109375" style="2743" customWidth="1"/>
    <col min="13590" max="13590" width="0.88671875" style="2743" customWidth="1"/>
    <col min="13591" max="13591" width="9.109375" style="2743" customWidth="1"/>
    <col min="13592" max="13592" width="1.109375" style="2743" customWidth="1"/>
    <col min="13593" max="13593" width="0.88671875" style="2743" customWidth="1"/>
    <col min="13594" max="13594" width="9.5546875" style="2743" bestFit="1" customWidth="1"/>
    <col min="13595" max="13596" width="0.88671875" style="2743" customWidth="1"/>
    <col min="13597" max="13597" width="9.88671875" style="2743" customWidth="1"/>
    <col min="13598" max="13598" width="1.109375" style="2743" customWidth="1"/>
    <col min="13599" max="13599" width="8.5546875" style="2743" customWidth="1"/>
    <col min="13600" max="13600" width="14.5546875" style="2743" customWidth="1"/>
    <col min="13601" max="13601" width="10" style="2743" customWidth="1"/>
    <col min="13602" max="13602" width="7.88671875" style="2743" bestFit="1" customWidth="1"/>
    <col min="13603" max="13603" width="9.88671875" style="2743" customWidth="1"/>
    <col min="13604" max="13820" width="8.88671875" style="2743"/>
    <col min="13821" max="13821" width="38.44140625" style="2743" customWidth="1"/>
    <col min="13822" max="13822" width="8.5546875" style="2743" customWidth="1"/>
    <col min="13823" max="13823" width="1.109375" style="2743" customWidth="1"/>
    <col min="13824" max="13824" width="8.88671875" style="2743" customWidth="1"/>
    <col min="13825" max="13825" width="1.109375" style="2743" customWidth="1"/>
    <col min="13826" max="13826" width="9.109375" style="2743" customWidth="1"/>
    <col min="13827" max="13827" width="1.109375" style="2743" customWidth="1"/>
    <col min="13828" max="13828" width="10" style="2743" customWidth="1"/>
    <col min="13829" max="13829" width="1.109375" style="2743" customWidth="1"/>
    <col min="13830" max="13830" width="9.109375" style="2743" customWidth="1"/>
    <col min="13831" max="13831" width="1.109375" style="2743" customWidth="1"/>
    <col min="13832" max="13832" width="11.109375" style="2743" customWidth="1"/>
    <col min="13833" max="13833" width="1.109375" style="2743" customWidth="1"/>
    <col min="13834" max="13834" width="9.109375" style="2743" customWidth="1"/>
    <col min="13835" max="13835" width="1.88671875" style="2743" customWidth="1"/>
    <col min="13836" max="13836" width="11" style="2743" customWidth="1"/>
    <col min="13837" max="13837" width="1.109375" style="2743" customWidth="1"/>
    <col min="13838" max="13838" width="10.88671875" style="2743" customWidth="1"/>
    <col min="13839" max="13839" width="1.109375" style="2743" customWidth="1"/>
    <col min="13840" max="13840" width="10" style="2743" customWidth="1"/>
    <col min="13841" max="13841" width="1.109375" style="2743" customWidth="1"/>
    <col min="13842" max="13842" width="9.109375" style="2743" customWidth="1"/>
    <col min="13843" max="13843" width="1.109375" style="2743" customWidth="1"/>
    <col min="13844" max="13844" width="7.88671875" style="2743" customWidth="1"/>
    <col min="13845" max="13845" width="1.109375" style="2743" customWidth="1"/>
    <col min="13846" max="13846" width="0.88671875" style="2743" customWidth="1"/>
    <col min="13847" max="13847" width="9.109375" style="2743" customWidth="1"/>
    <col min="13848" max="13848" width="1.109375" style="2743" customWidth="1"/>
    <col min="13849" max="13849" width="0.88671875" style="2743" customWidth="1"/>
    <col min="13850" max="13850" width="9.5546875" style="2743" bestFit="1" customWidth="1"/>
    <col min="13851" max="13852" width="0.88671875" style="2743" customWidth="1"/>
    <col min="13853" max="13853" width="9.88671875" style="2743" customWidth="1"/>
    <col min="13854" max="13854" width="1.109375" style="2743" customWidth="1"/>
    <col min="13855" max="13855" width="8.5546875" style="2743" customWidth="1"/>
    <col min="13856" max="13856" width="14.5546875" style="2743" customWidth="1"/>
    <col min="13857" max="13857" width="10" style="2743" customWidth="1"/>
    <col min="13858" max="13858" width="7.88671875" style="2743" bestFit="1" customWidth="1"/>
    <col min="13859" max="13859" width="9.88671875" style="2743" customWidth="1"/>
    <col min="13860" max="14076" width="8.88671875" style="2743"/>
    <col min="14077" max="14077" width="38.44140625" style="2743" customWidth="1"/>
    <col min="14078" max="14078" width="8.5546875" style="2743" customWidth="1"/>
    <col min="14079" max="14079" width="1.109375" style="2743" customWidth="1"/>
    <col min="14080" max="14080" width="8.88671875" style="2743" customWidth="1"/>
    <col min="14081" max="14081" width="1.109375" style="2743" customWidth="1"/>
    <col min="14082" max="14082" width="9.109375" style="2743" customWidth="1"/>
    <col min="14083" max="14083" width="1.109375" style="2743" customWidth="1"/>
    <col min="14084" max="14084" width="10" style="2743" customWidth="1"/>
    <col min="14085" max="14085" width="1.109375" style="2743" customWidth="1"/>
    <col min="14086" max="14086" width="9.109375" style="2743" customWidth="1"/>
    <col min="14087" max="14087" width="1.109375" style="2743" customWidth="1"/>
    <col min="14088" max="14088" width="11.109375" style="2743" customWidth="1"/>
    <col min="14089" max="14089" width="1.109375" style="2743" customWidth="1"/>
    <col min="14090" max="14090" width="9.109375" style="2743" customWidth="1"/>
    <col min="14091" max="14091" width="1.88671875" style="2743" customWidth="1"/>
    <col min="14092" max="14092" width="11" style="2743" customWidth="1"/>
    <col min="14093" max="14093" width="1.109375" style="2743" customWidth="1"/>
    <col min="14094" max="14094" width="10.88671875" style="2743" customWidth="1"/>
    <col min="14095" max="14095" width="1.109375" style="2743" customWidth="1"/>
    <col min="14096" max="14096" width="10" style="2743" customWidth="1"/>
    <col min="14097" max="14097" width="1.109375" style="2743" customWidth="1"/>
    <col min="14098" max="14098" width="9.109375" style="2743" customWidth="1"/>
    <col min="14099" max="14099" width="1.109375" style="2743" customWidth="1"/>
    <col min="14100" max="14100" width="7.88671875" style="2743" customWidth="1"/>
    <col min="14101" max="14101" width="1.109375" style="2743" customWidth="1"/>
    <col min="14102" max="14102" width="0.88671875" style="2743" customWidth="1"/>
    <col min="14103" max="14103" width="9.109375" style="2743" customWidth="1"/>
    <col min="14104" max="14104" width="1.109375" style="2743" customWidth="1"/>
    <col min="14105" max="14105" width="0.88671875" style="2743" customWidth="1"/>
    <col min="14106" max="14106" width="9.5546875" style="2743" bestFit="1" customWidth="1"/>
    <col min="14107" max="14108" width="0.88671875" style="2743" customWidth="1"/>
    <col min="14109" max="14109" width="9.88671875" style="2743" customWidth="1"/>
    <col min="14110" max="14110" width="1.109375" style="2743" customWidth="1"/>
    <col min="14111" max="14111" width="8.5546875" style="2743" customWidth="1"/>
    <col min="14112" max="14112" width="14.5546875" style="2743" customWidth="1"/>
    <col min="14113" max="14113" width="10" style="2743" customWidth="1"/>
    <col min="14114" max="14114" width="7.88671875" style="2743" bestFit="1" customWidth="1"/>
    <col min="14115" max="14115" width="9.88671875" style="2743" customWidth="1"/>
    <col min="14116" max="14332" width="8.88671875" style="2743"/>
    <col min="14333" max="14333" width="38.44140625" style="2743" customWidth="1"/>
    <col min="14334" max="14334" width="8.5546875" style="2743" customWidth="1"/>
    <col min="14335" max="14335" width="1.109375" style="2743" customWidth="1"/>
    <col min="14336" max="14336" width="8.88671875" style="2743" customWidth="1"/>
    <col min="14337" max="14337" width="1.109375" style="2743" customWidth="1"/>
    <col min="14338" max="14338" width="9.109375" style="2743" customWidth="1"/>
    <col min="14339" max="14339" width="1.109375" style="2743" customWidth="1"/>
    <col min="14340" max="14340" width="10" style="2743" customWidth="1"/>
    <col min="14341" max="14341" width="1.109375" style="2743" customWidth="1"/>
    <col min="14342" max="14342" width="9.109375" style="2743" customWidth="1"/>
    <col min="14343" max="14343" width="1.109375" style="2743" customWidth="1"/>
    <col min="14344" max="14344" width="11.109375" style="2743" customWidth="1"/>
    <col min="14345" max="14345" width="1.109375" style="2743" customWidth="1"/>
    <col min="14346" max="14346" width="9.109375" style="2743" customWidth="1"/>
    <col min="14347" max="14347" width="1.88671875" style="2743" customWidth="1"/>
    <col min="14348" max="14348" width="11" style="2743" customWidth="1"/>
    <col min="14349" max="14349" width="1.109375" style="2743" customWidth="1"/>
    <col min="14350" max="14350" width="10.88671875" style="2743" customWidth="1"/>
    <col min="14351" max="14351" width="1.109375" style="2743" customWidth="1"/>
    <col min="14352" max="14352" width="10" style="2743" customWidth="1"/>
    <col min="14353" max="14353" width="1.109375" style="2743" customWidth="1"/>
    <col min="14354" max="14354" width="9.109375" style="2743" customWidth="1"/>
    <col min="14355" max="14355" width="1.109375" style="2743" customWidth="1"/>
    <col min="14356" max="14356" width="7.88671875" style="2743" customWidth="1"/>
    <col min="14357" max="14357" width="1.109375" style="2743" customWidth="1"/>
    <col min="14358" max="14358" width="0.88671875" style="2743" customWidth="1"/>
    <col min="14359" max="14359" width="9.109375" style="2743" customWidth="1"/>
    <col min="14360" max="14360" width="1.109375" style="2743" customWidth="1"/>
    <col min="14361" max="14361" width="0.88671875" style="2743" customWidth="1"/>
    <col min="14362" max="14362" width="9.5546875" style="2743" bestFit="1" customWidth="1"/>
    <col min="14363" max="14364" width="0.88671875" style="2743" customWidth="1"/>
    <col min="14365" max="14365" width="9.88671875" style="2743" customWidth="1"/>
    <col min="14366" max="14366" width="1.109375" style="2743" customWidth="1"/>
    <col min="14367" max="14367" width="8.5546875" style="2743" customWidth="1"/>
    <col min="14368" max="14368" width="14.5546875" style="2743" customWidth="1"/>
    <col min="14369" max="14369" width="10" style="2743" customWidth="1"/>
    <col min="14370" max="14370" width="7.88671875" style="2743" bestFit="1" customWidth="1"/>
    <col min="14371" max="14371" width="9.88671875" style="2743" customWidth="1"/>
    <col min="14372" max="14588" width="8.88671875" style="2743"/>
    <col min="14589" max="14589" width="38.44140625" style="2743" customWidth="1"/>
    <col min="14590" max="14590" width="8.5546875" style="2743" customWidth="1"/>
    <col min="14591" max="14591" width="1.109375" style="2743" customWidth="1"/>
    <col min="14592" max="14592" width="8.88671875" style="2743" customWidth="1"/>
    <col min="14593" max="14593" width="1.109375" style="2743" customWidth="1"/>
    <col min="14594" max="14594" width="9.109375" style="2743" customWidth="1"/>
    <col min="14595" max="14595" width="1.109375" style="2743" customWidth="1"/>
    <col min="14596" max="14596" width="10" style="2743" customWidth="1"/>
    <col min="14597" max="14597" width="1.109375" style="2743" customWidth="1"/>
    <col min="14598" max="14598" width="9.109375" style="2743" customWidth="1"/>
    <col min="14599" max="14599" width="1.109375" style="2743" customWidth="1"/>
    <col min="14600" max="14600" width="11.109375" style="2743" customWidth="1"/>
    <col min="14601" max="14601" width="1.109375" style="2743" customWidth="1"/>
    <col min="14602" max="14602" width="9.109375" style="2743" customWidth="1"/>
    <col min="14603" max="14603" width="1.88671875" style="2743" customWidth="1"/>
    <col min="14604" max="14604" width="11" style="2743" customWidth="1"/>
    <col min="14605" max="14605" width="1.109375" style="2743" customWidth="1"/>
    <col min="14606" max="14606" width="10.88671875" style="2743" customWidth="1"/>
    <col min="14607" max="14607" width="1.109375" style="2743" customWidth="1"/>
    <col min="14608" max="14608" width="10" style="2743" customWidth="1"/>
    <col min="14609" max="14609" width="1.109375" style="2743" customWidth="1"/>
    <col min="14610" max="14610" width="9.109375" style="2743" customWidth="1"/>
    <col min="14611" max="14611" width="1.109375" style="2743" customWidth="1"/>
    <col min="14612" max="14612" width="7.88671875" style="2743" customWidth="1"/>
    <col min="14613" max="14613" width="1.109375" style="2743" customWidth="1"/>
    <col min="14614" max="14614" width="0.88671875" style="2743" customWidth="1"/>
    <col min="14615" max="14615" width="9.109375" style="2743" customWidth="1"/>
    <col min="14616" max="14616" width="1.109375" style="2743" customWidth="1"/>
    <col min="14617" max="14617" width="0.88671875" style="2743" customWidth="1"/>
    <col min="14618" max="14618" width="9.5546875" style="2743" bestFit="1" customWidth="1"/>
    <col min="14619" max="14620" width="0.88671875" style="2743" customWidth="1"/>
    <col min="14621" max="14621" width="9.88671875" style="2743" customWidth="1"/>
    <col min="14622" max="14622" width="1.109375" style="2743" customWidth="1"/>
    <col min="14623" max="14623" width="8.5546875" style="2743" customWidth="1"/>
    <col min="14624" max="14624" width="14.5546875" style="2743" customWidth="1"/>
    <col min="14625" max="14625" width="10" style="2743" customWidth="1"/>
    <col min="14626" max="14626" width="7.88671875" style="2743" bestFit="1" customWidth="1"/>
    <col min="14627" max="14627" width="9.88671875" style="2743" customWidth="1"/>
    <col min="14628" max="14844" width="8.88671875" style="2743"/>
    <col min="14845" max="14845" width="38.44140625" style="2743" customWidth="1"/>
    <col min="14846" max="14846" width="8.5546875" style="2743" customWidth="1"/>
    <col min="14847" max="14847" width="1.109375" style="2743" customWidth="1"/>
    <col min="14848" max="14848" width="8.88671875" style="2743" customWidth="1"/>
    <col min="14849" max="14849" width="1.109375" style="2743" customWidth="1"/>
    <col min="14850" max="14850" width="9.109375" style="2743" customWidth="1"/>
    <col min="14851" max="14851" width="1.109375" style="2743" customWidth="1"/>
    <col min="14852" max="14852" width="10" style="2743" customWidth="1"/>
    <col min="14853" max="14853" width="1.109375" style="2743" customWidth="1"/>
    <col min="14854" max="14854" width="9.109375" style="2743" customWidth="1"/>
    <col min="14855" max="14855" width="1.109375" style="2743" customWidth="1"/>
    <col min="14856" max="14856" width="11.109375" style="2743" customWidth="1"/>
    <col min="14857" max="14857" width="1.109375" style="2743" customWidth="1"/>
    <col min="14858" max="14858" width="9.109375" style="2743" customWidth="1"/>
    <col min="14859" max="14859" width="1.88671875" style="2743" customWidth="1"/>
    <col min="14860" max="14860" width="11" style="2743" customWidth="1"/>
    <col min="14861" max="14861" width="1.109375" style="2743" customWidth="1"/>
    <col min="14862" max="14862" width="10.88671875" style="2743" customWidth="1"/>
    <col min="14863" max="14863" width="1.109375" style="2743" customWidth="1"/>
    <col min="14864" max="14864" width="10" style="2743" customWidth="1"/>
    <col min="14865" max="14865" width="1.109375" style="2743" customWidth="1"/>
    <col min="14866" max="14866" width="9.109375" style="2743" customWidth="1"/>
    <col min="14867" max="14867" width="1.109375" style="2743" customWidth="1"/>
    <col min="14868" max="14868" width="7.88671875" style="2743" customWidth="1"/>
    <col min="14869" max="14869" width="1.109375" style="2743" customWidth="1"/>
    <col min="14870" max="14870" width="0.88671875" style="2743" customWidth="1"/>
    <col min="14871" max="14871" width="9.109375" style="2743" customWidth="1"/>
    <col min="14872" max="14872" width="1.109375" style="2743" customWidth="1"/>
    <col min="14873" max="14873" width="0.88671875" style="2743" customWidth="1"/>
    <col min="14874" max="14874" width="9.5546875" style="2743" bestFit="1" customWidth="1"/>
    <col min="14875" max="14876" width="0.88671875" style="2743" customWidth="1"/>
    <col min="14877" max="14877" width="9.88671875" style="2743" customWidth="1"/>
    <col min="14878" max="14878" width="1.109375" style="2743" customWidth="1"/>
    <col min="14879" max="14879" width="8.5546875" style="2743" customWidth="1"/>
    <col min="14880" max="14880" width="14.5546875" style="2743" customWidth="1"/>
    <col min="14881" max="14881" width="10" style="2743" customWidth="1"/>
    <col min="14882" max="14882" width="7.88671875" style="2743" bestFit="1" customWidth="1"/>
    <col min="14883" max="14883" width="9.88671875" style="2743" customWidth="1"/>
    <col min="14884" max="15100" width="8.88671875" style="2743"/>
    <col min="15101" max="15101" width="38.44140625" style="2743" customWidth="1"/>
    <col min="15102" max="15102" width="8.5546875" style="2743" customWidth="1"/>
    <col min="15103" max="15103" width="1.109375" style="2743" customWidth="1"/>
    <col min="15104" max="15104" width="8.88671875" style="2743" customWidth="1"/>
    <col min="15105" max="15105" width="1.109375" style="2743" customWidth="1"/>
    <col min="15106" max="15106" width="9.109375" style="2743" customWidth="1"/>
    <col min="15107" max="15107" width="1.109375" style="2743" customWidth="1"/>
    <col min="15108" max="15108" width="10" style="2743" customWidth="1"/>
    <col min="15109" max="15109" width="1.109375" style="2743" customWidth="1"/>
    <col min="15110" max="15110" width="9.109375" style="2743" customWidth="1"/>
    <col min="15111" max="15111" width="1.109375" style="2743" customWidth="1"/>
    <col min="15112" max="15112" width="11.109375" style="2743" customWidth="1"/>
    <col min="15113" max="15113" width="1.109375" style="2743" customWidth="1"/>
    <col min="15114" max="15114" width="9.109375" style="2743" customWidth="1"/>
    <col min="15115" max="15115" width="1.88671875" style="2743" customWidth="1"/>
    <col min="15116" max="15116" width="11" style="2743" customWidth="1"/>
    <col min="15117" max="15117" width="1.109375" style="2743" customWidth="1"/>
    <col min="15118" max="15118" width="10.88671875" style="2743" customWidth="1"/>
    <col min="15119" max="15119" width="1.109375" style="2743" customWidth="1"/>
    <col min="15120" max="15120" width="10" style="2743" customWidth="1"/>
    <col min="15121" max="15121" width="1.109375" style="2743" customWidth="1"/>
    <col min="15122" max="15122" width="9.109375" style="2743" customWidth="1"/>
    <col min="15123" max="15123" width="1.109375" style="2743" customWidth="1"/>
    <col min="15124" max="15124" width="7.88671875" style="2743" customWidth="1"/>
    <col min="15125" max="15125" width="1.109375" style="2743" customWidth="1"/>
    <col min="15126" max="15126" width="0.88671875" style="2743" customWidth="1"/>
    <col min="15127" max="15127" width="9.109375" style="2743" customWidth="1"/>
    <col min="15128" max="15128" width="1.109375" style="2743" customWidth="1"/>
    <col min="15129" max="15129" width="0.88671875" style="2743" customWidth="1"/>
    <col min="15130" max="15130" width="9.5546875" style="2743" bestFit="1" customWidth="1"/>
    <col min="15131" max="15132" width="0.88671875" style="2743" customWidth="1"/>
    <col min="15133" max="15133" width="9.88671875" style="2743" customWidth="1"/>
    <col min="15134" max="15134" width="1.109375" style="2743" customWidth="1"/>
    <col min="15135" max="15135" width="8.5546875" style="2743" customWidth="1"/>
    <col min="15136" max="15136" width="14.5546875" style="2743" customWidth="1"/>
    <col min="15137" max="15137" width="10" style="2743" customWidth="1"/>
    <col min="15138" max="15138" width="7.88671875" style="2743" bestFit="1" customWidth="1"/>
    <col min="15139" max="15139" width="9.88671875" style="2743" customWidth="1"/>
    <col min="15140" max="15356" width="8.88671875" style="2743"/>
    <col min="15357" max="15357" width="38.44140625" style="2743" customWidth="1"/>
    <col min="15358" max="15358" width="8.5546875" style="2743" customWidth="1"/>
    <col min="15359" max="15359" width="1.109375" style="2743" customWidth="1"/>
    <col min="15360" max="15360" width="8.88671875" style="2743" customWidth="1"/>
    <col min="15361" max="15361" width="1.109375" style="2743" customWidth="1"/>
    <col min="15362" max="15362" width="9.109375" style="2743" customWidth="1"/>
    <col min="15363" max="15363" width="1.109375" style="2743" customWidth="1"/>
    <col min="15364" max="15364" width="10" style="2743" customWidth="1"/>
    <col min="15365" max="15365" width="1.109375" style="2743" customWidth="1"/>
    <col min="15366" max="15366" width="9.109375" style="2743" customWidth="1"/>
    <col min="15367" max="15367" width="1.109375" style="2743" customWidth="1"/>
    <col min="15368" max="15368" width="11.109375" style="2743" customWidth="1"/>
    <col min="15369" max="15369" width="1.109375" style="2743" customWidth="1"/>
    <col min="15370" max="15370" width="9.109375" style="2743" customWidth="1"/>
    <col min="15371" max="15371" width="1.88671875" style="2743" customWidth="1"/>
    <col min="15372" max="15372" width="11" style="2743" customWidth="1"/>
    <col min="15373" max="15373" width="1.109375" style="2743" customWidth="1"/>
    <col min="15374" max="15374" width="10.88671875" style="2743" customWidth="1"/>
    <col min="15375" max="15375" width="1.109375" style="2743" customWidth="1"/>
    <col min="15376" max="15376" width="10" style="2743" customWidth="1"/>
    <col min="15377" max="15377" width="1.109375" style="2743" customWidth="1"/>
    <col min="15378" max="15378" width="9.109375" style="2743" customWidth="1"/>
    <col min="15379" max="15379" width="1.109375" style="2743" customWidth="1"/>
    <col min="15380" max="15380" width="7.88671875" style="2743" customWidth="1"/>
    <col min="15381" max="15381" width="1.109375" style="2743" customWidth="1"/>
    <col min="15382" max="15382" width="0.88671875" style="2743" customWidth="1"/>
    <col min="15383" max="15383" width="9.109375" style="2743" customWidth="1"/>
    <col min="15384" max="15384" width="1.109375" style="2743" customWidth="1"/>
    <col min="15385" max="15385" width="0.88671875" style="2743" customWidth="1"/>
    <col min="15386" max="15386" width="9.5546875" style="2743" bestFit="1" customWidth="1"/>
    <col min="15387" max="15388" width="0.88671875" style="2743" customWidth="1"/>
    <col min="15389" max="15389" width="9.88671875" style="2743" customWidth="1"/>
    <col min="15390" max="15390" width="1.109375" style="2743" customWidth="1"/>
    <col min="15391" max="15391" width="8.5546875" style="2743" customWidth="1"/>
    <col min="15392" max="15392" width="14.5546875" style="2743" customWidth="1"/>
    <col min="15393" max="15393" width="10" style="2743" customWidth="1"/>
    <col min="15394" max="15394" width="7.88671875" style="2743" bestFit="1" customWidth="1"/>
    <col min="15395" max="15395" width="9.88671875" style="2743" customWidth="1"/>
    <col min="15396" max="15612" width="8.88671875" style="2743"/>
    <col min="15613" max="15613" width="38.44140625" style="2743" customWidth="1"/>
    <col min="15614" max="15614" width="8.5546875" style="2743" customWidth="1"/>
    <col min="15615" max="15615" width="1.109375" style="2743" customWidth="1"/>
    <col min="15616" max="15616" width="8.88671875" style="2743" customWidth="1"/>
    <col min="15617" max="15617" width="1.109375" style="2743" customWidth="1"/>
    <col min="15618" max="15618" width="9.109375" style="2743" customWidth="1"/>
    <col min="15619" max="15619" width="1.109375" style="2743" customWidth="1"/>
    <col min="15620" max="15620" width="10" style="2743" customWidth="1"/>
    <col min="15621" max="15621" width="1.109375" style="2743" customWidth="1"/>
    <col min="15622" max="15622" width="9.109375" style="2743" customWidth="1"/>
    <col min="15623" max="15623" width="1.109375" style="2743" customWidth="1"/>
    <col min="15624" max="15624" width="11.109375" style="2743" customWidth="1"/>
    <col min="15625" max="15625" width="1.109375" style="2743" customWidth="1"/>
    <col min="15626" max="15626" width="9.109375" style="2743" customWidth="1"/>
    <col min="15627" max="15627" width="1.88671875" style="2743" customWidth="1"/>
    <col min="15628" max="15628" width="11" style="2743" customWidth="1"/>
    <col min="15629" max="15629" width="1.109375" style="2743" customWidth="1"/>
    <col min="15630" max="15630" width="10.88671875" style="2743" customWidth="1"/>
    <col min="15631" max="15631" width="1.109375" style="2743" customWidth="1"/>
    <col min="15632" max="15632" width="10" style="2743" customWidth="1"/>
    <col min="15633" max="15633" width="1.109375" style="2743" customWidth="1"/>
    <col min="15634" max="15634" width="9.109375" style="2743" customWidth="1"/>
    <col min="15635" max="15635" width="1.109375" style="2743" customWidth="1"/>
    <col min="15636" max="15636" width="7.88671875" style="2743" customWidth="1"/>
    <col min="15637" max="15637" width="1.109375" style="2743" customWidth="1"/>
    <col min="15638" max="15638" width="0.88671875" style="2743" customWidth="1"/>
    <col min="15639" max="15639" width="9.109375" style="2743" customWidth="1"/>
    <col min="15640" max="15640" width="1.109375" style="2743" customWidth="1"/>
    <col min="15641" max="15641" width="0.88671875" style="2743" customWidth="1"/>
    <col min="15642" max="15642" width="9.5546875" style="2743" bestFit="1" customWidth="1"/>
    <col min="15643" max="15644" width="0.88671875" style="2743" customWidth="1"/>
    <col min="15645" max="15645" width="9.88671875" style="2743" customWidth="1"/>
    <col min="15646" max="15646" width="1.109375" style="2743" customWidth="1"/>
    <col min="15647" max="15647" width="8.5546875" style="2743" customWidth="1"/>
    <col min="15648" max="15648" width="14.5546875" style="2743" customWidth="1"/>
    <col min="15649" max="15649" width="10" style="2743" customWidth="1"/>
    <col min="15650" max="15650" width="7.88671875" style="2743" bestFit="1" customWidth="1"/>
    <col min="15651" max="15651" width="9.88671875" style="2743" customWidth="1"/>
    <col min="15652" max="15868" width="8.88671875" style="2743"/>
    <col min="15869" max="15869" width="38.44140625" style="2743" customWidth="1"/>
    <col min="15870" max="15870" width="8.5546875" style="2743" customWidth="1"/>
    <col min="15871" max="15871" width="1.109375" style="2743" customWidth="1"/>
    <col min="15872" max="15872" width="8.88671875" style="2743" customWidth="1"/>
    <col min="15873" max="15873" width="1.109375" style="2743" customWidth="1"/>
    <col min="15874" max="15874" width="9.109375" style="2743" customWidth="1"/>
    <col min="15875" max="15875" width="1.109375" style="2743" customWidth="1"/>
    <col min="15876" max="15876" width="10" style="2743" customWidth="1"/>
    <col min="15877" max="15877" width="1.109375" style="2743" customWidth="1"/>
    <col min="15878" max="15878" width="9.109375" style="2743" customWidth="1"/>
    <col min="15879" max="15879" width="1.109375" style="2743" customWidth="1"/>
    <col min="15880" max="15880" width="11.109375" style="2743" customWidth="1"/>
    <col min="15881" max="15881" width="1.109375" style="2743" customWidth="1"/>
    <col min="15882" max="15882" width="9.109375" style="2743" customWidth="1"/>
    <col min="15883" max="15883" width="1.88671875" style="2743" customWidth="1"/>
    <col min="15884" max="15884" width="11" style="2743" customWidth="1"/>
    <col min="15885" max="15885" width="1.109375" style="2743" customWidth="1"/>
    <col min="15886" max="15886" width="10.88671875" style="2743" customWidth="1"/>
    <col min="15887" max="15887" width="1.109375" style="2743" customWidth="1"/>
    <col min="15888" max="15888" width="10" style="2743" customWidth="1"/>
    <col min="15889" max="15889" width="1.109375" style="2743" customWidth="1"/>
    <col min="15890" max="15890" width="9.109375" style="2743" customWidth="1"/>
    <col min="15891" max="15891" width="1.109375" style="2743" customWidth="1"/>
    <col min="15892" max="15892" width="7.88671875" style="2743" customWidth="1"/>
    <col min="15893" max="15893" width="1.109375" style="2743" customWidth="1"/>
    <col min="15894" max="15894" width="0.88671875" style="2743" customWidth="1"/>
    <col min="15895" max="15895" width="9.109375" style="2743" customWidth="1"/>
    <col min="15896" max="15896" width="1.109375" style="2743" customWidth="1"/>
    <col min="15897" max="15897" width="0.88671875" style="2743" customWidth="1"/>
    <col min="15898" max="15898" width="9.5546875" style="2743" bestFit="1" customWidth="1"/>
    <col min="15899" max="15900" width="0.88671875" style="2743" customWidth="1"/>
    <col min="15901" max="15901" width="9.88671875" style="2743" customWidth="1"/>
    <col min="15902" max="15902" width="1.109375" style="2743" customWidth="1"/>
    <col min="15903" max="15903" width="8.5546875" style="2743" customWidth="1"/>
    <col min="15904" max="15904" width="14.5546875" style="2743" customWidth="1"/>
    <col min="15905" max="15905" width="10" style="2743" customWidth="1"/>
    <col min="15906" max="15906" width="7.88671875" style="2743" bestFit="1" customWidth="1"/>
    <col min="15907" max="15907" width="9.88671875" style="2743" customWidth="1"/>
    <col min="15908" max="16124" width="8.88671875" style="2743"/>
    <col min="16125" max="16125" width="38.44140625" style="2743" customWidth="1"/>
    <col min="16126" max="16126" width="8.5546875" style="2743" customWidth="1"/>
    <col min="16127" max="16127" width="1.109375" style="2743" customWidth="1"/>
    <col min="16128" max="16128" width="8.88671875" style="2743" customWidth="1"/>
    <col min="16129" max="16129" width="1.109375" style="2743" customWidth="1"/>
    <col min="16130" max="16130" width="9.109375" style="2743" customWidth="1"/>
    <col min="16131" max="16131" width="1.109375" style="2743" customWidth="1"/>
    <col min="16132" max="16132" width="10" style="2743" customWidth="1"/>
    <col min="16133" max="16133" width="1.109375" style="2743" customWidth="1"/>
    <col min="16134" max="16134" width="9.109375" style="2743" customWidth="1"/>
    <col min="16135" max="16135" width="1.109375" style="2743" customWidth="1"/>
    <col min="16136" max="16136" width="11.109375" style="2743" customWidth="1"/>
    <col min="16137" max="16137" width="1.109375" style="2743" customWidth="1"/>
    <col min="16138" max="16138" width="9.109375" style="2743" customWidth="1"/>
    <col min="16139" max="16139" width="1.88671875" style="2743" customWidth="1"/>
    <col min="16140" max="16140" width="11" style="2743" customWidth="1"/>
    <col min="16141" max="16141" width="1.109375" style="2743" customWidth="1"/>
    <col min="16142" max="16142" width="10.88671875" style="2743" customWidth="1"/>
    <col min="16143" max="16143" width="1.109375" style="2743" customWidth="1"/>
    <col min="16144" max="16144" width="10" style="2743" customWidth="1"/>
    <col min="16145" max="16145" width="1.109375" style="2743" customWidth="1"/>
    <col min="16146" max="16146" width="9.109375" style="2743" customWidth="1"/>
    <col min="16147" max="16147" width="1.109375" style="2743" customWidth="1"/>
    <col min="16148" max="16148" width="7.88671875" style="2743" customWidth="1"/>
    <col min="16149" max="16149" width="1.109375" style="2743" customWidth="1"/>
    <col min="16150" max="16150" width="0.88671875" style="2743" customWidth="1"/>
    <col min="16151" max="16151" width="9.109375" style="2743" customWidth="1"/>
    <col min="16152" max="16152" width="1.109375" style="2743" customWidth="1"/>
    <col min="16153" max="16153" width="0.88671875" style="2743" customWidth="1"/>
    <col min="16154" max="16154" width="9.5546875" style="2743" bestFit="1" customWidth="1"/>
    <col min="16155" max="16156" width="0.88671875" style="2743" customWidth="1"/>
    <col min="16157" max="16157" width="9.88671875" style="2743" customWidth="1"/>
    <col min="16158" max="16158" width="1.109375" style="2743" customWidth="1"/>
    <col min="16159" max="16159" width="8.5546875" style="2743" customWidth="1"/>
    <col min="16160" max="16160" width="14.5546875" style="2743" customWidth="1"/>
    <col min="16161" max="16161" width="10" style="2743" customWidth="1"/>
    <col min="16162" max="16162" width="7.88671875" style="2743" bestFit="1" customWidth="1"/>
    <col min="16163" max="16163" width="9.88671875" style="2743" customWidth="1"/>
    <col min="16164" max="16384" width="8.88671875" style="2743"/>
  </cols>
  <sheetData>
    <row r="1" spans="1:36" ht="15">
      <c r="A1" s="2285" t="s">
        <v>979</v>
      </c>
    </row>
    <row r="2" spans="1:36" ht="10.5" customHeight="1"/>
    <row r="3" spans="1:36" ht="18">
      <c r="A3" s="2746" t="s">
        <v>0</v>
      </c>
      <c r="AI3" s="2747" t="s">
        <v>1167</v>
      </c>
    </row>
    <row r="4" spans="1:36" ht="18">
      <c r="A4" s="2748" t="s">
        <v>185</v>
      </c>
    </row>
    <row r="5" spans="1:36" ht="18">
      <c r="A5" s="2748" t="s">
        <v>149</v>
      </c>
      <c r="AB5" s="3929"/>
      <c r="AC5" s="3930"/>
      <c r="AD5" s="3930"/>
      <c r="AE5" s="2749"/>
      <c r="AF5" s="2749"/>
      <c r="AG5" s="2749"/>
      <c r="AH5" s="2749"/>
      <c r="AI5" s="2749"/>
      <c r="AJ5" s="2750"/>
    </row>
    <row r="6" spans="1:36" ht="18">
      <c r="A6" s="2746" t="str">
        <f>'Cashflow Governmental'!A6</f>
        <v xml:space="preserve">FISCAL YEAR 2019-2020   </v>
      </c>
    </row>
    <row r="7" spans="1:36" ht="18">
      <c r="A7" s="2748" t="s">
        <v>1416</v>
      </c>
    </row>
    <row r="8" spans="1:36" ht="15.75">
      <c r="AA8" s="3931" t="s">
        <v>1594</v>
      </c>
      <c r="AB8" s="3931"/>
      <c r="AC8" s="3931"/>
      <c r="AD8" s="3931"/>
      <c r="AE8" s="3931"/>
      <c r="AF8" s="3931"/>
      <c r="AG8" s="3931"/>
      <c r="AH8" s="3931"/>
      <c r="AI8" s="3931"/>
    </row>
    <row r="9" spans="1:36" ht="15.75">
      <c r="B9" s="2751" t="str">
        <f>'Cashflow Governmental'!C13</f>
        <v>2019</v>
      </c>
      <c r="C9" s="2525"/>
      <c r="D9" s="2525"/>
      <c r="E9" s="2525"/>
      <c r="F9" s="2752"/>
      <c r="G9" s="2525"/>
      <c r="H9" s="2525"/>
      <c r="I9" s="2525"/>
      <c r="J9" s="2525"/>
      <c r="K9" s="2525"/>
      <c r="L9" s="2525"/>
      <c r="M9" s="2525"/>
      <c r="N9" s="2525"/>
      <c r="O9" s="2525"/>
      <c r="P9" s="2525"/>
      <c r="Q9" s="2525"/>
      <c r="R9" s="2525"/>
      <c r="S9" s="2525"/>
      <c r="T9" s="2751" t="str">
        <f>'Cashflow Governmental'!U13</f>
        <v>2020</v>
      </c>
      <c r="U9" s="2525"/>
      <c r="V9" s="2525"/>
      <c r="W9" s="2525"/>
      <c r="X9" s="2753"/>
      <c r="Y9" s="2525"/>
      <c r="Z9" s="2525"/>
      <c r="AA9" s="2525"/>
      <c r="AB9" s="2525"/>
      <c r="AC9" s="2525"/>
      <c r="AD9" s="2525"/>
      <c r="AE9" s="2754"/>
      <c r="AF9" s="2525"/>
      <c r="AG9" s="2755" t="s">
        <v>8</v>
      </c>
      <c r="AH9" s="2756"/>
      <c r="AI9" s="2757" t="s">
        <v>9</v>
      </c>
      <c r="AJ9" s="2750"/>
    </row>
    <row r="10" spans="1:36" ht="15.75">
      <c r="B10" s="2758" t="s">
        <v>125</v>
      </c>
      <c r="C10" s="2525"/>
      <c r="D10" s="2758" t="s">
        <v>126</v>
      </c>
      <c r="E10" s="2753"/>
      <c r="F10" s="2759" t="s">
        <v>127</v>
      </c>
      <c r="G10" s="2753"/>
      <c r="H10" s="2758" t="s">
        <v>128</v>
      </c>
      <c r="I10" s="2753"/>
      <c r="J10" s="2758" t="s">
        <v>129</v>
      </c>
      <c r="K10" s="2753"/>
      <c r="L10" s="2760" t="s">
        <v>144</v>
      </c>
      <c r="M10" s="2753"/>
      <c r="N10" s="2758" t="s">
        <v>145</v>
      </c>
      <c r="O10" s="2753"/>
      <c r="P10" s="2758" t="s">
        <v>132</v>
      </c>
      <c r="Q10" s="2753"/>
      <c r="R10" s="2758" t="s">
        <v>133</v>
      </c>
      <c r="S10" s="2525"/>
      <c r="T10" s="2758" t="s">
        <v>134</v>
      </c>
      <c r="U10" s="2753"/>
      <c r="V10" s="2758" t="s">
        <v>135</v>
      </c>
      <c r="W10" s="2753"/>
      <c r="X10" s="2758" t="s">
        <v>186</v>
      </c>
      <c r="Y10" s="2753"/>
      <c r="Z10" s="2753"/>
      <c r="AA10" s="2761">
        <f>'Cashflow Governmental'!AB14</f>
        <v>2020</v>
      </c>
      <c r="AB10" s="2753"/>
      <c r="AC10" s="2753"/>
      <c r="AD10" s="2761">
        <f>'Cashflow Governmental'!AE14</f>
        <v>2019</v>
      </c>
      <c r="AE10" s="2762"/>
      <c r="AF10" s="2762"/>
      <c r="AG10" s="2763" t="s">
        <v>12</v>
      </c>
      <c r="AH10" s="2764"/>
      <c r="AI10" s="2763" t="s">
        <v>13</v>
      </c>
      <c r="AJ10" s="2750"/>
    </row>
    <row r="11" spans="1:36" ht="3" customHeight="1">
      <c r="B11" s="2765"/>
      <c r="C11" s="1487"/>
      <c r="D11" s="2765"/>
      <c r="E11" s="2766"/>
      <c r="F11" s="2767"/>
      <c r="G11" s="2766"/>
      <c r="H11" s="2765"/>
      <c r="I11" s="2766"/>
      <c r="J11" s="2765"/>
      <c r="K11" s="2766"/>
      <c r="L11" s="2768"/>
      <c r="M11" s="2766"/>
      <c r="N11" s="2765"/>
      <c r="O11" s="2766"/>
      <c r="P11" s="2765"/>
      <c r="Q11" s="2766"/>
      <c r="R11" s="2765"/>
      <c r="S11" s="1487"/>
      <c r="T11" s="2769"/>
      <c r="U11" s="2766"/>
      <c r="V11" s="2765"/>
      <c r="W11" s="2766"/>
      <c r="X11" s="2765"/>
      <c r="Y11" s="2766"/>
      <c r="Z11" s="2766"/>
      <c r="AA11" s="2770"/>
      <c r="AB11" s="2766"/>
      <c r="AC11" s="2766"/>
      <c r="AD11" s="2770"/>
      <c r="AE11" s="2770"/>
      <c r="AF11" s="2771"/>
      <c r="AG11" s="2770"/>
      <c r="AH11" s="1484"/>
      <c r="AI11" s="1487"/>
    </row>
    <row r="12" spans="1:36" ht="15.75">
      <c r="A12" s="2772" t="s">
        <v>187</v>
      </c>
      <c r="B12" s="2505">
        <v>64.8</v>
      </c>
      <c r="C12" s="2505"/>
      <c r="D12" s="2773">
        <f>B75</f>
        <v>314.8</v>
      </c>
      <c r="E12" s="2505"/>
      <c r="F12" s="2773">
        <f>D75</f>
        <v>683.8</v>
      </c>
      <c r="G12" s="2505"/>
      <c r="H12" s="2773">
        <f>F75</f>
        <v>361.5</v>
      </c>
      <c r="I12" s="2505"/>
      <c r="J12" s="2773">
        <f>H75</f>
        <v>614.70000000000005</v>
      </c>
      <c r="K12" s="2505"/>
      <c r="L12" s="2773">
        <f>J75</f>
        <v>744.3</v>
      </c>
      <c r="M12" s="2505"/>
      <c r="N12" s="2773">
        <f>L75</f>
        <v>307</v>
      </c>
      <c r="O12" s="2505"/>
      <c r="P12" s="2773">
        <f>N75</f>
        <v>604.4</v>
      </c>
      <c r="Q12" s="2505"/>
      <c r="R12" s="2773">
        <f>P75</f>
        <v>962.3</v>
      </c>
      <c r="S12" s="2505"/>
      <c r="T12" s="2773">
        <f>R75</f>
        <v>985.1</v>
      </c>
      <c r="U12" s="2505"/>
      <c r="V12" s="2773">
        <f>T75</f>
        <v>2581.5</v>
      </c>
      <c r="W12" s="2505"/>
      <c r="X12" s="2773"/>
      <c r="Y12" s="2774"/>
      <c r="Z12" s="2505"/>
      <c r="AA12" s="2505">
        <f>B12</f>
        <v>64.8</v>
      </c>
      <c r="AB12" s="2774"/>
      <c r="AC12" s="2505"/>
      <c r="AD12" s="3625">
        <v>153.1</v>
      </c>
      <c r="AE12" s="2775"/>
      <c r="AF12" s="2776"/>
      <c r="AG12" s="2777">
        <f>ROUND(SUM(AA12-AD12),1)</f>
        <v>-88.3</v>
      </c>
      <c r="AH12" s="2754"/>
      <c r="AI12" s="2778">
        <f>ROUND(SUM(AG12/AD12),3)</f>
        <v>-0.57699999999999996</v>
      </c>
      <c r="AJ12" s="2750"/>
    </row>
    <row r="13" spans="1:36" ht="12.75" customHeight="1">
      <c r="A13" s="1487"/>
      <c r="B13" s="1487"/>
      <c r="C13" s="1487"/>
      <c r="D13" s="1487"/>
      <c r="E13" s="1487"/>
      <c r="F13" s="2025"/>
      <c r="G13" s="1487"/>
      <c r="H13" s="1487"/>
      <c r="I13" s="1487"/>
      <c r="J13" s="1487"/>
      <c r="K13" s="1487"/>
      <c r="L13" s="1487"/>
      <c r="M13" s="1487"/>
      <c r="N13" s="1487"/>
      <c r="O13" s="1487"/>
      <c r="P13" s="1487"/>
      <c r="Q13" s="1487"/>
      <c r="R13" s="1487"/>
      <c r="S13" s="1487"/>
      <c r="T13" s="1487"/>
      <c r="U13" s="1487"/>
      <c r="V13" s="1487"/>
      <c r="W13" s="1487"/>
      <c r="X13" s="1487"/>
      <c r="Y13" s="2779"/>
      <c r="Z13" s="1487"/>
      <c r="AA13" s="2025"/>
      <c r="AB13" s="2780"/>
      <c r="AC13" s="2025"/>
      <c r="AD13" s="2678"/>
      <c r="AE13" s="2770"/>
      <c r="AF13" s="2781"/>
      <c r="AG13" s="2782"/>
      <c r="AH13" s="1484"/>
      <c r="AI13" s="1487"/>
    </row>
    <row r="14" spans="1:36" ht="14.25" customHeight="1">
      <c r="A14" s="2525" t="s">
        <v>14</v>
      </c>
      <c r="B14" s="1487"/>
      <c r="C14" s="1487"/>
      <c r="D14" s="1487"/>
      <c r="E14" s="1487"/>
      <c r="F14" s="2025"/>
      <c r="G14" s="1487"/>
      <c r="H14" s="1487"/>
      <c r="I14" s="1487"/>
      <c r="J14" s="1487"/>
      <c r="K14" s="1487"/>
      <c r="L14" s="1487"/>
      <c r="M14" s="1487"/>
      <c r="N14" s="1487"/>
      <c r="O14" s="1487"/>
      <c r="P14" s="1487"/>
      <c r="Q14" s="1487"/>
      <c r="R14" s="1487"/>
      <c r="S14" s="1487"/>
      <c r="T14" s="1487"/>
      <c r="U14" s="1487"/>
      <c r="V14" s="1487"/>
      <c r="W14" s="1487"/>
      <c r="X14" s="1487"/>
      <c r="Y14" s="2779"/>
      <c r="Z14" s="1487"/>
      <c r="AA14" s="2025"/>
      <c r="AB14" s="2780"/>
      <c r="AC14" s="2025"/>
      <c r="AD14" s="2678"/>
      <c r="AE14" s="2770"/>
      <c r="AF14" s="2781"/>
      <c r="AG14" s="2782"/>
      <c r="AH14" s="1484"/>
      <c r="AI14" s="1487"/>
    </row>
    <row r="15" spans="1:36" ht="14.25" customHeight="1">
      <c r="A15" s="2514" t="s">
        <v>1097</v>
      </c>
      <c r="B15" s="1468"/>
      <c r="C15" s="1468"/>
      <c r="D15" s="1468"/>
      <c r="E15" s="2783"/>
      <c r="F15" s="1468"/>
      <c r="G15" s="2783"/>
      <c r="H15" s="1487"/>
      <c r="I15" s="1487"/>
      <c r="J15" s="1487"/>
      <c r="K15" s="1487"/>
      <c r="L15" s="1487"/>
      <c r="M15" s="1487"/>
      <c r="N15" s="1487"/>
      <c r="O15" s="1487"/>
      <c r="P15" s="1487"/>
      <c r="Q15" s="1487"/>
      <c r="R15" s="1487"/>
      <c r="S15" s="1487"/>
      <c r="T15" s="1487"/>
      <c r="U15" s="1487"/>
      <c r="V15" s="1487"/>
      <c r="W15" s="1487"/>
      <c r="X15" s="1487"/>
      <c r="Y15" s="2784"/>
      <c r="Z15" s="1487"/>
      <c r="AA15" s="2025"/>
      <c r="AB15" s="2024"/>
      <c r="AC15" s="2025"/>
      <c r="AD15" s="3221"/>
      <c r="AE15" s="2770"/>
      <c r="AF15" s="2781"/>
      <c r="AG15" s="2782"/>
      <c r="AH15" s="1484"/>
      <c r="AI15" s="1487"/>
    </row>
    <row r="16" spans="1:36" ht="14.25" customHeight="1">
      <c r="A16" s="2595" t="s">
        <v>1100</v>
      </c>
      <c r="B16" s="1391">
        <v>4607.7</v>
      </c>
      <c r="C16" s="1448"/>
      <c r="D16" s="1391">
        <v>1242.3</v>
      </c>
      <c r="E16" s="1448"/>
      <c r="F16" s="1391">
        <v>2604.8999999999996</v>
      </c>
      <c r="G16" s="2521"/>
      <c r="H16" s="1391">
        <v>1665.7999999999993</v>
      </c>
      <c r="I16" s="2678"/>
      <c r="J16" s="1391">
        <v>1454.3000000000011</v>
      </c>
      <c r="K16" s="2678"/>
      <c r="L16" s="1391">
        <v>2415.6999999999998</v>
      </c>
      <c r="M16" s="2678"/>
      <c r="N16" s="1830">
        <v>1289.2000000000016</v>
      </c>
      <c r="O16" s="2678"/>
      <c r="P16" s="1830">
        <v>1234.6999999999971</v>
      </c>
      <c r="Q16" s="2678"/>
      <c r="R16" s="1830">
        <v>2144</v>
      </c>
      <c r="S16" s="2678"/>
      <c r="T16" s="1830">
        <v>4449.6000000000013</v>
      </c>
      <c r="U16" s="2678"/>
      <c r="V16" s="1830">
        <f>$AA16-$B16-$D16-$F16-$H16-$J16-$L16-$N16-$P16-$R16-$T16</f>
        <v>1848.3999999999987</v>
      </c>
      <c r="W16" s="2678"/>
      <c r="X16" s="1830"/>
      <c r="Y16" s="2784"/>
      <c r="Z16" s="1487"/>
      <c r="AA16" s="1830">
        <v>24956.6</v>
      </c>
      <c r="AB16" s="2024"/>
      <c r="AC16" s="2025"/>
      <c r="AD16" s="1830">
        <v>22264.1</v>
      </c>
      <c r="AE16" s="2770"/>
      <c r="AF16" s="2781"/>
      <c r="AG16" s="2785">
        <f>ROUND(SUM(AA16-AD16),1)</f>
        <v>2692.5</v>
      </c>
      <c r="AH16" s="1484"/>
      <c r="AI16" s="1690">
        <f>ROUND(IF(AD16=0,0,AG16/ABS(AD16)),3)</f>
        <v>0.121</v>
      </c>
    </row>
    <row r="17" spans="1:35" ht="6" customHeight="1">
      <c r="A17" s="2595"/>
      <c r="B17" s="1391"/>
      <c r="C17" s="1448"/>
      <c r="D17" s="1391" t="s">
        <v>15</v>
      </c>
      <c r="E17" s="1448"/>
      <c r="F17" s="1391" t="s">
        <v>15</v>
      </c>
      <c r="G17" s="2521"/>
      <c r="H17" s="1391"/>
      <c r="I17" s="1487"/>
      <c r="J17" s="1391"/>
      <c r="K17" s="1487"/>
      <c r="L17" s="1391"/>
      <c r="M17" s="1487"/>
      <c r="N17" s="1830"/>
      <c r="O17" s="1487"/>
      <c r="P17" s="1830"/>
      <c r="Q17" s="1487"/>
      <c r="R17" s="1830"/>
      <c r="S17" s="1487"/>
      <c r="T17" s="1830"/>
      <c r="U17" s="1487"/>
      <c r="V17" s="1830"/>
      <c r="W17" s="1487"/>
      <c r="X17" s="1830"/>
      <c r="Y17" s="2786"/>
      <c r="Z17" s="1487"/>
      <c r="AA17" s="1830"/>
      <c r="AB17" s="2026"/>
      <c r="AC17" s="2025"/>
      <c r="AD17" s="1830"/>
      <c r="AE17" s="2770"/>
      <c r="AF17" s="2781"/>
      <c r="AG17" s="2785"/>
      <c r="AH17" s="1484"/>
      <c r="AI17" s="1690"/>
    </row>
    <row r="18" spans="1:35" ht="14.25" customHeight="1">
      <c r="A18" s="2595" t="s">
        <v>1161</v>
      </c>
      <c r="B18" s="1472"/>
      <c r="C18" s="1471"/>
      <c r="D18" s="1391"/>
      <c r="E18" s="1471"/>
      <c r="F18" s="1391"/>
      <c r="G18" s="1471"/>
      <c r="H18" s="1472"/>
      <c r="I18" s="1487"/>
      <c r="J18" s="1391"/>
      <c r="K18" s="1487"/>
      <c r="L18" s="1391"/>
      <c r="M18" s="1487"/>
      <c r="N18" s="1830"/>
      <c r="O18" s="1487"/>
      <c r="P18" s="1830"/>
      <c r="Q18" s="1487"/>
      <c r="R18" s="1830"/>
      <c r="S18" s="1487"/>
      <c r="T18" s="1830"/>
      <c r="U18" s="1487"/>
      <c r="V18" s="1830"/>
      <c r="W18" s="1487"/>
      <c r="X18" s="1830"/>
      <c r="Y18" s="2784"/>
      <c r="Z18" s="1487"/>
      <c r="AA18" s="1490"/>
      <c r="AB18" s="2024"/>
      <c r="AC18" s="2025"/>
      <c r="AD18" s="1490"/>
      <c r="AE18" s="2770"/>
      <c r="AF18" s="2781"/>
      <c r="AG18" s="2782"/>
      <c r="AH18" s="1484"/>
      <c r="AI18" s="1487"/>
    </row>
    <row r="19" spans="1:35" ht="14.25" customHeight="1">
      <c r="A19" s="2285" t="s">
        <v>1112</v>
      </c>
      <c r="B19" s="1391">
        <v>538.20000000000005</v>
      </c>
      <c r="C19" s="1448"/>
      <c r="D19" s="1391">
        <v>551</v>
      </c>
      <c r="E19" s="1448"/>
      <c r="F19" s="1391">
        <v>743.19999999999982</v>
      </c>
      <c r="G19" s="1471"/>
      <c r="H19" s="1391">
        <v>579.29999999999995</v>
      </c>
      <c r="I19" s="2678"/>
      <c r="J19" s="1391">
        <v>581.50000000000023</v>
      </c>
      <c r="K19" s="2678"/>
      <c r="L19" s="1391">
        <v>761.5</v>
      </c>
      <c r="M19" s="2678"/>
      <c r="N19" s="1830">
        <v>578.30000000000018</v>
      </c>
      <c r="O19" s="2678"/>
      <c r="P19" s="1830">
        <v>583.99999999999977</v>
      </c>
      <c r="Q19" s="2678"/>
      <c r="R19" s="1830">
        <v>741.80000000000041</v>
      </c>
      <c r="S19" s="2678"/>
      <c r="T19" s="1830">
        <v>635</v>
      </c>
      <c r="U19" s="2678"/>
      <c r="V19" s="1830">
        <f>$AA19-$B19-$D19-$F19-$H19-$J19-$L19-$N19-$P19-$R19-$T19</f>
        <v>522.19999999999982</v>
      </c>
      <c r="W19" s="2678"/>
      <c r="X19" s="1830"/>
      <c r="Y19" s="2784"/>
      <c r="Z19" s="1487"/>
      <c r="AA19" s="1830">
        <v>6816</v>
      </c>
      <c r="AB19" s="2024"/>
      <c r="AC19" s="2025"/>
      <c r="AD19" s="1830">
        <v>6429.1</v>
      </c>
      <c r="AE19" s="2770"/>
      <c r="AF19" s="2781"/>
      <c r="AG19" s="2785">
        <f>ROUND(SUM(AA19-AD19),1)</f>
        <v>386.9</v>
      </c>
      <c r="AH19" s="1484"/>
      <c r="AI19" s="1453">
        <f>ROUND(IF(AD19=0,0,AG19/ABS(AD19)),3)</f>
        <v>0.06</v>
      </c>
    </row>
    <row r="20" spans="1:35" ht="14.25" customHeight="1">
      <c r="A20" s="2525" t="s">
        <v>1111</v>
      </c>
      <c r="B20" s="1488">
        <f>ROUND(SUM(B19:B19),1)</f>
        <v>538.20000000000005</v>
      </c>
      <c r="C20" s="1489"/>
      <c r="D20" s="1488">
        <f>ROUND(SUM(D19:D19),1)</f>
        <v>551</v>
      </c>
      <c r="E20" s="1489"/>
      <c r="F20" s="1488">
        <f>ROUND(SUM(F19:F19),1)</f>
        <v>743.2</v>
      </c>
      <c r="G20" s="1489"/>
      <c r="H20" s="1488">
        <f>ROUND(SUM(H19:H19),1)</f>
        <v>579.29999999999995</v>
      </c>
      <c r="I20" s="1487"/>
      <c r="J20" s="1488">
        <f>ROUND(SUM(J19:J19),1)</f>
        <v>581.5</v>
      </c>
      <c r="K20" s="1487"/>
      <c r="L20" s="1488">
        <f>ROUND(SUM(L19:L19),1)</f>
        <v>761.5</v>
      </c>
      <c r="M20" s="1487"/>
      <c r="N20" s="1488">
        <f>ROUND(SUM(N19:N19),1)</f>
        <v>578.29999999999995</v>
      </c>
      <c r="O20" s="1487"/>
      <c r="P20" s="1488">
        <f>ROUND(SUM(P19:P19),1)</f>
        <v>584</v>
      </c>
      <c r="Q20" s="1487"/>
      <c r="R20" s="1488">
        <f>ROUND(SUM(R19:R19),1)</f>
        <v>741.8</v>
      </c>
      <c r="S20" s="1487"/>
      <c r="T20" s="1488">
        <f>ROUND(SUM(T19:T19),1)</f>
        <v>635</v>
      </c>
      <c r="U20" s="1487"/>
      <c r="V20" s="1488">
        <f>ROUND(SUM(V19:V19),1)</f>
        <v>522.20000000000005</v>
      </c>
      <c r="W20" s="1487"/>
      <c r="X20" s="1488">
        <f>ROUND(SUM(X19:X19),1)</f>
        <v>0</v>
      </c>
      <c r="Y20" s="2784"/>
      <c r="Z20" s="1487"/>
      <c r="AA20" s="1488">
        <f>ROUND(SUM(AA19:AA19),1)</f>
        <v>6816</v>
      </c>
      <c r="AB20" s="2024"/>
      <c r="AC20" s="2025"/>
      <c r="AD20" s="1488">
        <f>ROUND(SUM(AD19:AD19),1)</f>
        <v>6429.1</v>
      </c>
      <c r="AE20" s="2770"/>
      <c r="AF20" s="2781"/>
      <c r="AG20" s="2787">
        <f>ROUND(SUM(AA20-AD20),1)</f>
        <v>386.9</v>
      </c>
      <c r="AH20" s="2754"/>
      <c r="AI20" s="1470">
        <f>ROUND(IF(AD20=0,0,AG20/ABS(AD20)),3)</f>
        <v>0.06</v>
      </c>
    </row>
    <row r="21" spans="1:35" ht="14.25" customHeight="1">
      <c r="A21" s="2515" t="s">
        <v>1163</v>
      </c>
      <c r="B21" s="1472"/>
      <c r="C21" s="1489"/>
      <c r="D21" s="1472"/>
      <c r="E21" s="1489"/>
      <c r="F21" s="1472"/>
      <c r="G21" s="1489"/>
      <c r="H21" s="1472"/>
      <c r="I21" s="1487"/>
      <c r="J21" s="1472"/>
      <c r="K21" s="1487"/>
      <c r="L21" s="1472"/>
      <c r="M21" s="1487"/>
      <c r="N21" s="1472"/>
      <c r="O21" s="1487"/>
      <c r="P21" s="1472"/>
      <c r="Q21" s="1487"/>
      <c r="R21" s="1472"/>
      <c r="S21" s="1487"/>
      <c r="T21" s="1472"/>
      <c r="U21" s="1487"/>
      <c r="V21" s="1472"/>
      <c r="W21" s="1487"/>
      <c r="X21" s="1472"/>
      <c r="Y21" s="2784"/>
      <c r="Z21" s="1487"/>
      <c r="AA21" s="1472"/>
      <c r="AB21" s="2024"/>
      <c r="AC21" s="2025"/>
      <c r="AD21" s="1490"/>
      <c r="AE21" s="2770"/>
      <c r="AF21" s="2781"/>
      <c r="AG21" s="2782"/>
      <c r="AH21" s="1484"/>
      <c r="AI21" s="1487"/>
    </row>
    <row r="22" spans="1:35" ht="14.25" customHeight="1">
      <c r="A22" s="2285" t="s">
        <v>1130</v>
      </c>
      <c r="B22" s="1391">
        <v>82.9</v>
      </c>
      <c r="C22" s="1448"/>
      <c r="D22" s="1391">
        <v>86</v>
      </c>
      <c r="E22" s="1448"/>
      <c r="F22" s="1391">
        <v>86.699999999999989</v>
      </c>
      <c r="G22" s="1489"/>
      <c r="H22" s="1391">
        <v>118.90000000000003</v>
      </c>
      <c r="I22" s="2678"/>
      <c r="J22" s="1391">
        <v>78.799999999999955</v>
      </c>
      <c r="K22" s="2678"/>
      <c r="L22" s="1391">
        <v>85.300000000000068</v>
      </c>
      <c r="M22" s="2678"/>
      <c r="N22" s="1830">
        <v>73.199999999999932</v>
      </c>
      <c r="O22" s="2678"/>
      <c r="P22" s="1830">
        <v>87.800000000000068</v>
      </c>
      <c r="Q22" s="2678"/>
      <c r="R22" s="1830">
        <v>74.199999999999989</v>
      </c>
      <c r="S22" s="2678"/>
      <c r="T22" s="1830">
        <v>82.900000000000091</v>
      </c>
      <c r="U22" s="2678"/>
      <c r="V22" s="1830">
        <f>$AA22-$B22-$D22-$F22-$H22-$J22-$L22-$N22-$P22-$R22-$T22</f>
        <v>72.299999999999898</v>
      </c>
      <c r="W22" s="2678"/>
      <c r="X22" s="1830"/>
      <c r="Y22" s="2784"/>
      <c r="Z22" s="1487"/>
      <c r="AA22" s="1830">
        <v>929</v>
      </c>
      <c r="AB22" s="2024"/>
      <c r="AC22" s="2025"/>
      <c r="AD22" s="1830">
        <v>962</v>
      </c>
      <c r="AE22" s="2770"/>
      <c r="AF22" s="2781"/>
      <c r="AG22" s="2785">
        <f>ROUND(SUM(AA22-AD22),1)</f>
        <v>-33</v>
      </c>
      <c r="AH22" s="1484"/>
      <c r="AI22" s="1453">
        <f>ROUND(IF(AD22=0,0,AG22/ABS(AD22)),3)</f>
        <v>-3.4000000000000002E-2</v>
      </c>
    </row>
    <row r="23" spans="1:35" ht="14.25" customHeight="1">
      <c r="A23" s="2522" t="s">
        <v>1426</v>
      </c>
      <c r="B23" s="2529">
        <v>0</v>
      </c>
      <c r="C23" s="1471"/>
      <c r="D23" s="2529">
        <v>0.1</v>
      </c>
      <c r="E23" s="1471"/>
      <c r="F23" s="1830">
        <v>0</v>
      </c>
      <c r="G23" s="1471"/>
      <c r="H23" s="1391">
        <v>0.1</v>
      </c>
      <c r="I23" s="2801"/>
      <c r="J23" s="1391">
        <v>9.9999999999999978E-2</v>
      </c>
      <c r="K23" s="2801"/>
      <c r="L23" s="1391">
        <v>0.10000000000000006</v>
      </c>
      <c r="M23" s="2801"/>
      <c r="N23" s="1830">
        <v>0.1</v>
      </c>
      <c r="O23" s="2801"/>
      <c r="P23" s="1830">
        <v>0</v>
      </c>
      <c r="Q23" s="2801"/>
      <c r="R23" s="1830">
        <v>0.19999999999999993</v>
      </c>
      <c r="S23" s="2801"/>
      <c r="T23" s="1830">
        <v>0.30000000000000004</v>
      </c>
      <c r="U23" s="2801"/>
      <c r="V23" s="1830">
        <f>$AA23-$B23-$D23-$F23-$H23-$J23-$L23-$N23-$P23-$R23-$T23</f>
        <v>-9.999999999999995E-2</v>
      </c>
      <c r="W23" s="2801"/>
      <c r="X23" s="2529"/>
      <c r="Y23" s="3718"/>
      <c r="Z23" s="2801"/>
      <c r="AA23" s="1830">
        <v>0.9</v>
      </c>
      <c r="AB23" s="3719"/>
      <c r="AC23" s="3720"/>
      <c r="AD23" s="2086">
        <v>0</v>
      </c>
      <c r="AE23" s="3721"/>
      <c r="AF23" s="3722"/>
      <c r="AG23" s="2785">
        <f>ROUND(SUM(AA23-AD23),1)</f>
        <v>0.9</v>
      </c>
      <c r="AH23" s="1484"/>
      <c r="AI23" s="1690">
        <f>ROUND(IF(AD23=0,1,AG23/ABS(AD23)),3)</f>
        <v>1</v>
      </c>
    </row>
    <row r="24" spans="1:35" ht="14.25" customHeight="1">
      <c r="A24" s="2525" t="s">
        <v>1125</v>
      </c>
      <c r="B24" s="2027">
        <f>ROUND(SUM(B22:B23),1)</f>
        <v>82.9</v>
      </c>
      <c r="C24" s="1489"/>
      <c r="D24" s="2087">
        <f>ROUND(SUM(D22:D23),1)</f>
        <v>86.1</v>
      </c>
      <c r="E24" s="1489"/>
      <c r="F24" s="2087">
        <f>ROUND(SUM(F22:F23),1)</f>
        <v>86.7</v>
      </c>
      <c r="G24" s="1489"/>
      <c r="H24" s="2087">
        <f>ROUND(SUM(H22:H23),1)</f>
        <v>119</v>
      </c>
      <c r="I24" s="1487"/>
      <c r="J24" s="2087">
        <f>ROUND(SUM(J22:J23),1)</f>
        <v>78.900000000000006</v>
      </c>
      <c r="K24" s="1487"/>
      <c r="L24" s="2087">
        <f>ROUND(SUM(L22:L23),1)</f>
        <v>85.4</v>
      </c>
      <c r="M24" s="1487"/>
      <c r="N24" s="2087">
        <f>ROUND(SUM(N22:N23),1)</f>
        <v>73.3</v>
      </c>
      <c r="O24" s="1487"/>
      <c r="P24" s="2087">
        <f>ROUND(SUM(P22:P23),1)</f>
        <v>87.8</v>
      </c>
      <c r="Q24" s="1487"/>
      <c r="R24" s="2087">
        <f>ROUND(SUM(R22:R23),1)</f>
        <v>74.400000000000006</v>
      </c>
      <c r="S24" s="1487"/>
      <c r="T24" s="2087">
        <f>ROUND(SUM(T22:T23),1)</f>
        <v>83.2</v>
      </c>
      <c r="U24" s="1487"/>
      <c r="V24" s="2087">
        <f>ROUND(SUM(V22:V23),1)</f>
        <v>72.2</v>
      </c>
      <c r="W24" s="1487"/>
      <c r="X24" s="2087">
        <f>ROUND(SUM(X22:X23),1)</f>
        <v>0</v>
      </c>
      <c r="Y24" s="2784"/>
      <c r="Z24" s="1487"/>
      <c r="AA24" s="1488">
        <f>SUM(AA22:AA23)</f>
        <v>929.9</v>
      </c>
      <c r="AB24" s="2024"/>
      <c r="AC24" s="2025"/>
      <c r="AD24" s="1488">
        <f>SUM(AD22:AD23)</f>
        <v>962</v>
      </c>
      <c r="AE24" s="2770"/>
      <c r="AF24" s="2781"/>
      <c r="AG24" s="2788">
        <f>ROUND(SUM(AA24-AD24),1)</f>
        <v>-32.1</v>
      </c>
      <c r="AH24" s="2754"/>
      <c r="AI24" s="1483">
        <f>ROUND(IF(AD24=0,0,AG24/ABS(AD24)),3)</f>
        <v>-3.3000000000000002E-2</v>
      </c>
    </row>
    <row r="25" spans="1:35" ht="14.25" customHeight="1">
      <c r="A25" s="2525"/>
      <c r="B25" s="2027"/>
      <c r="C25" s="1489"/>
      <c r="D25" s="1472"/>
      <c r="E25" s="1489"/>
      <c r="F25" s="1472"/>
      <c r="G25" s="1472"/>
      <c r="H25" s="1472"/>
      <c r="I25" s="1484"/>
      <c r="J25" s="1472"/>
      <c r="K25" s="1484"/>
      <c r="L25" s="1472"/>
      <c r="M25" s="1484"/>
      <c r="N25" s="1472"/>
      <c r="O25" s="1484"/>
      <c r="P25" s="1472"/>
      <c r="Q25" s="1484"/>
      <c r="R25" s="1472"/>
      <c r="S25" s="1484"/>
      <c r="T25" s="1472"/>
      <c r="U25" s="1484"/>
      <c r="V25" s="1472"/>
      <c r="W25" s="1484"/>
      <c r="X25" s="1472"/>
      <c r="Y25" s="2784"/>
      <c r="Z25" s="1487"/>
      <c r="AA25" s="2027"/>
      <c r="AB25" s="2024"/>
      <c r="AC25" s="2025"/>
      <c r="AD25" s="3626"/>
      <c r="AE25" s="2770"/>
      <c r="AF25" s="2781"/>
      <c r="AG25" s="2782"/>
      <c r="AH25" s="1484"/>
      <c r="AI25" s="1484"/>
    </row>
    <row r="26" spans="1:35" ht="14.25" customHeight="1">
      <c r="A26" s="2525" t="s">
        <v>1126</v>
      </c>
      <c r="B26" s="2535">
        <f>ROUND(SUM(B16+B20+B24),1)</f>
        <v>5228.8</v>
      </c>
      <c r="C26" s="1471"/>
      <c r="D26" s="2535">
        <f>ROUND(SUM(D16+D20+D24),1)</f>
        <v>1879.4</v>
      </c>
      <c r="E26" s="1471"/>
      <c r="F26" s="2535">
        <f>ROUND(SUM(F16+F20+F24),1)</f>
        <v>3434.8</v>
      </c>
      <c r="G26" s="1471"/>
      <c r="H26" s="2535">
        <f>ROUND(SUM(H16+H20+H24),1)</f>
        <v>2364.1</v>
      </c>
      <c r="I26" s="1487"/>
      <c r="J26" s="2028">
        <f>ROUND(SUM(J16+J20+J24),1)</f>
        <v>2114.6999999999998</v>
      </c>
      <c r="K26" s="1487"/>
      <c r="L26" s="2028">
        <f>ROUND(SUM(L16+L20+L24),1)</f>
        <v>3262.6</v>
      </c>
      <c r="M26" s="1487"/>
      <c r="N26" s="2028">
        <f>ROUND(SUM(N16+N20+N24),1)</f>
        <v>1940.8</v>
      </c>
      <c r="O26" s="1487"/>
      <c r="P26" s="2028">
        <f>ROUND(SUM(P16+P20+P24),1)</f>
        <v>1906.5</v>
      </c>
      <c r="Q26" s="1487"/>
      <c r="R26" s="2028">
        <f>ROUND(SUM(R16+R20+R24),1)</f>
        <v>2960.2</v>
      </c>
      <c r="S26" s="1487"/>
      <c r="T26" s="2028">
        <f>ROUND(SUM(T16+T20+T24),1)</f>
        <v>5167.8</v>
      </c>
      <c r="U26" s="1487"/>
      <c r="V26" s="2028">
        <f>ROUND(SUM(V16+V20+V24),1)</f>
        <v>2442.8000000000002</v>
      </c>
      <c r="W26" s="1487"/>
      <c r="X26" s="2028">
        <f>ROUND(SUM(X16+X20+X24),1)</f>
        <v>0</v>
      </c>
      <c r="Y26" s="2784"/>
      <c r="Z26" s="1487"/>
      <c r="AA26" s="2028">
        <f>ROUND(SUM(AA16+AA20+AA24),1)</f>
        <v>32702.5</v>
      </c>
      <c r="AB26" s="2024"/>
      <c r="AC26" s="2025"/>
      <c r="AD26" s="2028">
        <f>ROUND(SUM(AD16+AD20+AD24),1)</f>
        <v>29655.200000000001</v>
      </c>
      <c r="AE26" s="2770"/>
      <c r="AF26" s="2781"/>
      <c r="AG26" s="2028">
        <f>ROUND(SUM(AG16+AG20+AG24),1)</f>
        <v>3047.3</v>
      </c>
      <c r="AH26" s="2754"/>
      <c r="AI26" s="1485">
        <f>ROUND(IF(AD26=0,0,AG26/ABS(AD26)),3)</f>
        <v>0.10299999999999999</v>
      </c>
    </row>
    <row r="27" spans="1:35" ht="14.25" customHeight="1">
      <c r="A27" s="2514"/>
      <c r="B27" s="1471"/>
      <c r="C27" s="1471"/>
      <c r="D27" s="1471"/>
      <c r="E27" s="1471"/>
      <c r="F27" s="1471"/>
      <c r="G27" s="1471"/>
      <c r="H27" s="1471"/>
      <c r="I27" s="1487"/>
      <c r="J27" s="2051"/>
      <c r="K27" s="1487"/>
      <c r="L27" s="2051"/>
      <c r="M27" s="1487"/>
      <c r="N27" s="2051"/>
      <c r="O27" s="1487"/>
      <c r="P27" s="2051"/>
      <c r="Q27" s="1487"/>
      <c r="R27" s="2051"/>
      <c r="S27" s="1487"/>
      <c r="T27" s="2051"/>
      <c r="U27" s="1487"/>
      <c r="V27" s="2051"/>
      <c r="W27" s="1487"/>
      <c r="X27" s="2051"/>
      <c r="Y27" s="2784"/>
      <c r="Z27" s="1487"/>
      <c r="AA27" s="1471"/>
      <c r="AB27" s="2024"/>
      <c r="AC27" s="2025"/>
      <c r="AD27" s="2045"/>
      <c r="AE27" s="2770"/>
      <c r="AF27" s="2781"/>
      <c r="AG27" s="2782"/>
      <c r="AH27" s="1484"/>
      <c r="AI27" s="1487"/>
    </row>
    <row r="28" spans="1:35" ht="14.25" customHeight="1">
      <c r="A28" s="2514" t="s">
        <v>1033</v>
      </c>
      <c r="B28" s="2029"/>
      <c r="C28" s="2043"/>
      <c r="D28" s="2043"/>
      <c r="E28" s="2043"/>
      <c r="F28" s="2043"/>
      <c r="G28" s="2043"/>
      <c r="H28" s="2043"/>
      <c r="I28" s="2023"/>
      <c r="J28" s="2023"/>
      <c r="K28" s="2023"/>
      <c r="L28" s="2023"/>
      <c r="M28" s="2023"/>
      <c r="N28" s="2023"/>
      <c r="O28" s="2023"/>
      <c r="P28" s="2023"/>
      <c r="Q28" s="2023"/>
      <c r="R28" s="2023"/>
      <c r="S28" s="2023"/>
      <c r="T28" s="2023"/>
      <c r="U28" s="2023"/>
      <c r="V28" s="2023"/>
      <c r="W28" s="2023"/>
      <c r="X28" s="2023"/>
      <c r="Y28" s="2030"/>
      <c r="Z28" s="2023"/>
      <c r="AA28" s="2029"/>
      <c r="AB28" s="2030"/>
      <c r="AC28" s="2023"/>
      <c r="AD28" s="2029"/>
      <c r="AE28" s="2789"/>
      <c r="AF28" s="2790"/>
      <c r="AG28" s="2785"/>
      <c r="AH28" s="1484"/>
      <c r="AI28" s="1486"/>
    </row>
    <row r="29" spans="1:35" ht="14.25" customHeight="1">
      <c r="A29" s="2538" t="s">
        <v>1155</v>
      </c>
      <c r="B29" s="2029"/>
      <c r="C29" s="2043"/>
      <c r="D29" s="2043"/>
      <c r="E29" s="2043"/>
      <c r="F29" s="2043"/>
      <c r="G29" s="2043"/>
      <c r="H29" s="2043"/>
      <c r="I29" s="2023"/>
      <c r="J29" s="2023"/>
      <c r="K29" s="2023"/>
      <c r="L29" s="2023"/>
      <c r="M29" s="2023"/>
      <c r="N29" s="2023"/>
      <c r="O29" s="2023"/>
      <c r="P29" s="2023"/>
      <c r="Q29" s="2023"/>
      <c r="R29" s="2023"/>
      <c r="S29" s="2023"/>
      <c r="T29" s="2023"/>
      <c r="U29" s="2023"/>
      <c r="V29" s="2023"/>
      <c r="W29" s="2023"/>
      <c r="X29" s="2023"/>
      <c r="Y29" s="2031"/>
      <c r="Z29" s="2023"/>
      <c r="AA29" s="2029"/>
      <c r="AB29" s="2031"/>
      <c r="AC29" s="2023"/>
      <c r="AD29" s="2029"/>
      <c r="AE29" s="2789"/>
      <c r="AF29" s="2790"/>
      <c r="AG29" s="2785"/>
      <c r="AH29" s="1484"/>
      <c r="AI29" s="1486"/>
    </row>
    <row r="30" spans="1:35" ht="14.25" customHeight="1">
      <c r="A30" s="2538" t="s">
        <v>1037</v>
      </c>
      <c r="B30" s="1391">
        <v>0</v>
      </c>
      <c r="C30" s="2043"/>
      <c r="D30" s="1391">
        <v>0</v>
      </c>
      <c r="E30" s="2043"/>
      <c r="F30" s="1391">
        <v>0</v>
      </c>
      <c r="G30" s="2043"/>
      <c r="H30" s="1391">
        <v>0</v>
      </c>
      <c r="I30" s="2678"/>
      <c r="J30" s="1391">
        <v>0</v>
      </c>
      <c r="K30" s="2678"/>
      <c r="L30" s="1391">
        <v>0</v>
      </c>
      <c r="M30" s="2678"/>
      <c r="N30" s="1830">
        <v>0</v>
      </c>
      <c r="O30" s="2678"/>
      <c r="P30" s="1830">
        <v>0</v>
      </c>
      <c r="Q30" s="2678"/>
      <c r="R30" s="1830">
        <v>0</v>
      </c>
      <c r="S30" s="2678"/>
      <c r="T30" s="1830">
        <v>0</v>
      </c>
      <c r="U30" s="2678"/>
      <c r="V30" s="1830">
        <f>$AA30-$B30-$D30-$F30-$H30-$J30-$L30-$N30-$P30-$R30-$T30</f>
        <v>0</v>
      </c>
      <c r="W30" s="2678"/>
      <c r="X30" s="1830"/>
      <c r="Y30" s="2784"/>
      <c r="Z30" s="1487"/>
      <c r="AA30" s="1830">
        <v>0</v>
      </c>
      <c r="AB30" s="2024"/>
      <c r="AC30" s="2025"/>
      <c r="AD30" s="1830">
        <v>0</v>
      </c>
      <c r="AE30" s="2789"/>
      <c r="AF30" s="2790"/>
      <c r="AG30" s="2785">
        <f>ROUND(SUM(AA30-AD30),1)</f>
        <v>0</v>
      </c>
      <c r="AH30" s="1484"/>
      <c r="AI30" s="1453">
        <f>ROUND(IF(AD30=0,0,AG30/ABS(AD30)),3)</f>
        <v>0</v>
      </c>
    </row>
    <row r="31" spans="1:35" ht="14.25" customHeight="1">
      <c r="A31" s="2538" t="s">
        <v>1160</v>
      </c>
      <c r="B31" s="1391" t="s">
        <v>15</v>
      </c>
      <c r="C31" s="2043"/>
      <c r="D31" s="1391"/>
      <c r="E31" s="2043"/>
      <c r="F31" s="1391"/>
      <c r="G31" s="2043"/>
      <c r="H31" s="1391"/>
      <c r="I31" s="2678"/>
      <c r="J31" s="1391"/>
      <c r="K31" s="2678"/>
      <c r="L31" s="1391"/>
      <c r="M31" s="2678"/>
      <c r="N31" s="1830"/>
      <c r="O31" s="2678"/>
      <c r="P31" s="1830"/>
      <c r="Q31" s="2678"/>
      <c r="R31" s="1830"/>
      <c r="S31" s="2678"/>
      <c r="T31" s="1830"/>
      <c r="U31" s="2678"/>
      <c r="V31" s="1830"/>
      <c r="W31" s="2678"/>
      <c r="X31" s="1830"/>
      <c r="Y31" s="2784"/>
      <c r="Z31" s="1487"/>
      <c r="AA31" s="1830"/>
      <c r="AB31" s="2024"/>
      <c r="AC31" s="2025"/>
      <c r="AD31" s="1830"/>
      <c r="AE31" s="2789"/>
      <c r="AF31" s="2790"/>
      <c r="AG31" s="2785"/>
      <c r="AH31" s="1484"/>
      <c r="AI31" s="1486"/>
    </row>
    <row r="32" spans="1:35" ht="14.25" customHeight="1">
      <c r="A32" s="2538" t="s">
        <v>1040</v>
      </c>
      <c r="B32" s="1391">
        <v>0</v>
      </c>
      <c r="C32" s="2043"/>
      <c r="D32" s="1391">
        <v>0</v>
      </c>
      <c r="E32" s="2043"/>
      <c r="F32" s="1391">
        <v>0</v>
      </c>
      <c r="G32" s="2043"/>
      <c r="H32" s="1391">
        <v>0</v>
      </c>
      <c r="I32" s="2678"/>
      <c r="J32" s="1391">
        <v>0</v>
      </c>
      <c r="K32" s="2678"/>
      <c r="L32" s="1391">
        <v>0</v>
      </c>
      <c r="M32" s="2678"/>
      <c r="N32" s="1830">
        <v>0</v>
      </c>
      <c r="O32" s="2678"/>
      <c r="P32" s="1830">
        <v>0</v>
      </c>
      <c r="Q32" s="2678"/>
      <c r="R32" s="1830">
        <v>0</v>
      </c>
      <c r="S32" s="2678"/>
      <c r="T32" s="1830">
        <v>0</v>
      </c>
      <c r="U32" s="2678"/>
      <c r="V32" s="1830">
        <f t="shared" ref="V32:V44" si="0">$AA32-$B32-$D32-$F32-$H32-$J32-$L32-$N32-$P32-$R32-$T32</f>
        <v>0</v>
      </c>
      <c r="W32" s="2678"/>
      <c r="X32" s="1830"/>
      <c r="Y32" s="2784"/>
      <c r="Z32" s="1487"/>
      <c r="AA32" s="1830">
        <v>0</v>
      </c>
      <c r="AB32" s="2024"/>
      <c r="AC32" s="2025"/>
      <c r="AD32" s="1830">
        <v>0</v>
      </c>
      <c r="AE32" s="2789"/>
      <c r="AF32" s="2790"/>
      <c r="AG32" s="2785">
        <f t="shared" ref="AG32:AG40" si="1">ROUND(SUM(AA32-AD32),1)</f>
        <v>0</v>
      </c>
      <c r="AH32" s="1484"/>
      <c r="AI32" s="1453">
        <f t="shared" ref="AI32:AI40" si="2">ROUND(IF(AD32=0,0,AG32/ABS(AD32)),3)</f>
        <v>0</v>
      </c>
    </row>
    <row r="33" spans="1:36" ht="14.25" customHeight="1">
      <c r="A33" s="2538" t="s">
        <v>1041</v>
      </c>
      <c r="B33" s="1391">
        <v>0</v>
      </c>
      <c r="C33" s="2043"/>
      <c r="D33" s="1391">
        <v>0</v>
      </c>
      <c r="E33" s="2043"/>
      <c r="F33" s="1391">
        <v>0</v>
      </c>
      <c r="G33" s="2043"/>
      <c r="H33" s="1391">
        <v>0</v>
      </c>
      <c r="I33" s="2678"/>
      <c r="J33" s="1391">
        <v>0</v>
      </c>
      <c r="K33" s="2678"/>
      <c r="L33" s="1391">
        <v>0</v>
      </c>
      <c r="M33" s="2678"/>
      <c r="N33" s="1830">
        <v>0</v>
      </c>
      <c r="O33" s="2678"/>
      <c r="P33" s="1830">
        <v>0</v>
      </c>
      <c r="Q33" s="2678"/>
      <c r="R33" s="1830">
        <v>0</v>
      </c>
      <c r="S33" s="2678"/>
      <c r="T33" s="1830">
        <v>0</v>
      </c>
      <c r="U33" s="2678"/>
      <c r="V33" s="1830">
        <f t="shared" si="0"/>
        <v>0</v>
      </c>
      <c r="W33" s="2678"/>
      <c r="X33" s="1830"/>
      <c r="Y33" s="2784"/>
      <c r="Z33" s="1487"/>
      <c r="AA33" s="1830">
        <v>0</v>
      </c>
      <c r="AB33" s="2024"/>
      <c r="AC33" s="2025"/>
      <c r="AD33" s="1830">
        <v>0</v>
      </c>
      <c r="AE33" s="2789"/>
      <c r="AF33" s="2790"/>
      <c r="AG33" s="2785">
        <f t="shared" si="1"/>
        <v>0</v>
      </c>
      <c r="AH33" s="1484"/>
      <c r="AI33" s="1453">
        <f t="shared" si="2"/>
        <v>0</v>
      </c>
    </row>
    <row r="34" spans="1:36" ht="14.25" customHeight="1">
      <c r="A34" s="2538" t="s">
        <v>1042</v>
      </c>
      <c r="B34" s="1391">
        <v>0</v>
      </c>
      <c r="C34" s="2043"/>
      <c r="D34" s="1391">
        <v>0</v>
      </c>
      <c r="E34" s="2043"/>
      <c r="F34" s="1391">
        <v>0</v>
      </c>
      <c r="G34" s="2043"/>
      <c r="H34" s="1391">
        <v>0</v>
      </c>
      <c r="I34" s="2678"/>
      <c r="J34" s="1391">
        <v>0</v>
      </c>
      <c r="K34" s="2678"/>
      <c r="L34" s="1391">
        <v>0</v>
      </c>
      <c r="M34" s="2678"/>
      <c r="N34" s="1830">
        <v>0</v>
      </c>
      <c r="O34" s="2678"/>
      <c r="P34" s="1830">
        <v>0</v>
      </c>
      <c r="Q34" s="2678"/>
      <c r="R34" s="1830">
        <v>0</v>
      </c>
      <c r="S34" s="2678"/>
      <c r="T34" s="1830">
        <v>0</v>
      </c>
      <c r="U34" s="2678"/>
      <c r="V34" s="1830">
        <f t="shared" si="0"/>
        <v>0</v>
      </c>
      <c r="W34" s="2678"/>
      <c r="X34" s="1830"/>
      <c r="Y34" s="2784"/>
      <c r="Z34" s="1487"/>
      <c r="AA34" s="1830">
        <v>0</v>
      </c>
      <c r="AB34" s="2024"/>
      <c r="AC34" s="2025"/>
      <c r="AD34" s="1830">
        <v>0</v>
      </c>
      <c r="AE34" s="2789"/>
      <c r="AF34" s="2790"/>
      <c r="AG34" s="2785">
        <f t="shared" si="1"/>
        <v>0</v>
      </c>
      <c r="AH34" s="1484"/>
      <c r="AI34" s="1453">
        <f t="shared" si="2"/>
        <v>0</v>
      </c>
    </row>
    <row r="35" spans="1:36" ht="14.25" customHeight="1">
      <c r="A35" s="2538" t="s">
        <v>1043</v>
      </c>
      <c r="B35" s="1391">
        <v>0</v>
      </c>
      <c r="C35" s="2043"/>
      <c r="D35" s="1391">
        <v>0</v>
      </c>
      <c r="E35" s="2043"/>
      <c r="F35" s="1391">
        <v>0</v>
      </c>
      <c r="G35" s="2043"/>
      <c r="H35" s="1391">
        <v>0</v>
      </c>
      <c r="I35" s="2678"/>
      <c r="J35" s="1391">
        <v>0</v>
      </c>
      <c r="K35" s="2678"/>
      <c r="L35" s="1391">
        <v>0</v>
      </c>
      <c r="M35" s="2678"/>
      <c r="N35" s="1830">
        <v>0</v>
      </c>
      <c r="O35" s="2678"/>
      <c r="P35" s="1830">
        <v>0</v>
      </c>
      <c r="Q35" s="2678"/>
      <c r="R35" s="1830">
        <v>0</v>
      </c>
      <c r="S35" s="2678"/>
      <c r="T35" s="1830">
        <v>0</v>
      </c>
      <c r="U35" s="2678"/>
      <c r="V35" s="1830">
        <f t="shared" si="0"/>
        <v>0</v>
      </c>
      <c r="W35" s="2678"/>
      <c r="X35" s="1830"/>
      <c r="Y35" s="2784"/>
      <c r="Z35" s="1487"/>
      <c r="AA35" s="1830">
        <v>0</v>
      </c>
      <c r="AB35" s="2024"/>
      <c r="AC35" s="2025"/>
      <c r="AD35" s="1830">
        <v>0</v>
      </c>
      <c r="AE35" s="2789"/>
      <c r="AF35" s="2790"/>
      <c r="AG35" s="2785">
        <f t="shared" si="1"/>
        <v>0</v>
      </c>
      <c r="AH35" s="1484"/>
      <c r="AI35" s="1453">
        <f t="shared" si="2"/>
        <v>0</v>
      </c>
    </row>
    <row r="36" spans="1:36" ht="14.25" customHeight="1">
      <c r="A36" s="2538" t="s">
        <v>1044</v>
      </c>
      <c r="B36" s="1391">
        <v>0</v>
      </c>
      <c r="C36" s="2043"/>
      <c r="D36" s="1391">
        <v>0</v>
      </c>
      <c r="E36" s="2043"/>
      <c r="F36" s="1391">
        <v>0</v>
      </c>
      <c r="G36" s="2043"/>
      <c r="H36" s="1391">
        <v>0</v>
      </c>
      <c r="I36" s="2678"/>
      <c r="J36" s="1391">
        <v>0</v>
      </c>
      <c r="K36" s="2678"/>
      <c r="L36" s="1391">
        <v>0</v>
      </c>
      <c r="M36" s="2678"/>
      <c r="N36" s="1830">
        <v>0</v>
      </c>
      <c r="O36" s="2678"/>
      <c r="P36" s="1830">
        <v>0</v>
      </c>
      <c r="Q36" s="2678"/>
      <c r="R36" s="1830">
        <v>0</v>
      </c>
      <c r="S36" s="2678"/>
      <c r="T36" s="1830">
        <v>0</v>
      </c>
      <c r="U36" s="2678"/>
      <c r="V36" s="1830">
        <f t="shared" si="0"/>
        <v>0</v>
      </c>
      <c r="W36" s="2678"/>
      <c r="X36" s="1830"/>
      <c r="Y36" s="2784"/>
      <c r="Z36" s="1487"/>
      <c r="AA36" s="1830">
        <v>0</v>
      </c>
      <c r="AB36" s="2024"/>
      <c r="AC36" s="2025"/>
      <c r="AD36" s="1830">
        <v>0</v>
      </c>
      <c r="AE36" s="2789"/>
      <c r="AF36" s="2790"/>
      <c r="AG36" s="2785">
        <f t="shared" si="1"/>
        <v>0</v>
      </c>
      <c r="AH36" s="1484"/>
      <c r="AI36" s="1453">
        <f t="shared" si="2"/>
        <v>0</v>
      </c>
    </row>
    <row r="37" spans="1:36" ht="14.25" customHeight="1">
      <c r="A37" s="2538" t="s">
        <v>1045</v>
      </c>
      <c r="B37" s="1391">
        <v>0</v>
      </c>
      <c r="C37" s="2043"/>
      <c r="D37" s="1391">
        <v>0</v>
      </c>
      <c r="E37" s="2043"/>
      <c r="F37" s="1391">
        <v>0</v>
      </c>
      <c r="G37" s="2043"/>
      <c r="H37" s="1391">
        <v>0</v>
      </c>
      <c r="I37" s="2678"/>
      <c r="J37" s="1391">
        <v>0</v>
      </c>
      <c r="K37" s="2678"/>
      <c r="L37" s="1391">
        <v>0</v>
      </c>
      <c r="M37" s="2678"/>
      <c r="N37" s="1830">
        <v>0</v>
      </c>
      <c r="O37" s="2678"/>
      <c r="P37" s="1830">
        <v>0</v>
      </c>
      <c r="Q37" s="2678"/>
      <c r="R37" s="1830">
        <v>0</v>
      </c>
      <c r="S37" s="2678"/>
      <c r="T37" s="1830">
        <v>0</v>
      </c>
      <c r="U37" s="2678"/>
      <c r="V37" s="1830">
        <f t="shared" si="0"/>
        <v>0</v>
      </c>
      <c r="W37" s="2678"/>
      <c r="X37" s="1830"/>
      <c r="Y37" s="2784"/>
      <c r="Z37" s="1487"/>
      <c r="AA37" s="1830">
        <v>0</v>
      </c>
      <c r="AB37" s="2024"/>
      <c r="AC37" s="2025"/>
      <c r="AD37" s="1830">
        <v>0</v>
      </c>
      <c r="AE37" s="2789"/>
      <c r="AF37" s="2790"/>
      <c r="AG37" s="2785">
        <f t="shared" si="1"/>
        <v>0</v>
      </c>
      <c r="AH37" s="1484"/>
      <c r="AI37" s="1453">
        <f t="shared" si="2"/>
        <v>0</v>
      </c>
    </row>
    <row r="38" spans="1:36" ht="14.25" customHeight="1">
      <c r="A38" s="2538" t="s">
        <v>1035</v>
      </c>
      <c r="B38" s="1391">
        <v>0.2</v>
      </c>
      <c r="C38" s="2043"/>
      <c r="D38" s="1391">
        <v>0</v>
      </c>
      <c r="E38" s="2043"/>
      <c r="F38" s="1391">
        <v>0.3</v>
      </c>
      <c r="G38" s="2043"/>
      <c r="H38" s="1391">
        <v>9.9999999999999978E-2</v>
      </c>
      <c r="I38" s="2678"/>
      <c r="J38" s="1391">
        <v>0.50000000000000011</v>
      </c>
      <c r="K38" s="2678"/>
      <c r="L38" s="1391">
        <v>0.19999999999999996</v>
      </c>
      <c r="M38" s="2678"/>
      <c r="N38" s="1830">
        <v>0</v>
      </c>
      <c r="O38" s="2678"/>
      <c r="P38" s="1830">
        <v>0.19999999999999996</v>
      </c>
      <c r="Q38" s="2678"/>
      <c r="R38" s="1830">
        <v>0</v>
      </c>
      <c r="S38" s="2678"/>
      <c r="T38" s="1830">
        <v>0</v>
      </c>
      <c r="U38" s="2678"/>
      <c r="V38" s="1830">
        <f t="shared" si="0"/>
        <v>1</v>
      </c>
      <c r="W38" s="2678"/>
      <c r="X38" s="1830"/>
      <c r="Y38" s="2784"/>
      <c r="Z38" s="1487"/>
      <c r="AA38" s="1830">
        <v>2.5</v>
      </c>
      <c r="AB38" s="2024"/>
      <c r="AC38" s="2025"/>
      <c r="AD38" s="1830">
        <v>2.5</v>
      </c>
      <c r="AE38" s="2789"/>
      <c r="AF38" s="2790"/>
      <c r="AG38" s="2785">
        <f t="shared" si="1"/>
        <v>0</v>
      </c>
      <c r="AH38" s="1484"/>
      <c r="AI38" s="1453">
        <f>ROUND(IF(AD38=0,1,AG38/ABS(AD38)),3)</f>
        <v>0</v>
      </c>
    </row>
    <row r="39" spans="1:36" ht="14.25" customHeight="1">
      <c r="A39" s="2538" t="s">
        <v>1053</v>
      </c>
      <c r="B39" s="1391">
        <v>0</v>
      </c>
      <c r="C39" s="2043"/>
      <c r="D39" s="1391">
        <v>0.5</v>
      </c>
      <c r="E39" s="2043"/>
      <c r="F39" s="1391">
        <v>0</v>
      </c>
      <c r="G39" s="2043"/>
      <c r="H39" s="1391">
        <v>0.8</v>
      </c>
      <c r="I39" s="2678"/>
      <c r="J39" s="1391">
        <v>0</v>
      </c>
      <c r="K39" s="2678"/>
      <c r="L39" s="1391">
        <v>0</v>
      </c>
      <c r="M39" s="2678"/>
      <c r="N39" s="1830">
        <v>0.39999999999999991</v>
      </c>
      <c r="O39" s="2678"/>
      <c r="P39" s="1830">
        <v>0.10000000000000009</v>
      </c>
      <c r="Q39" s="2678"/>
      <c r="R39" s="1830">
        <v>0</v>
      </c>
      <c r="S39" s="2678"/>
      <c r="T39" s="1830">
        <v>0</v>
      </c>
      <c r="U39" s="2678"/>
      <c r="V39" s="1830">
        <f t="shared" si="0"/>
        <v>1.0999999999999999</v>
      </c>
      <c r="W39" s="2678"/>
      <c r="X39" s="1830"/>
      <c r="Y39" s="2784"/>
      <c r="Z39" s="1487"/>
      <c r="AA39" s="1830">
        <v>2.9</v>
      </c>
      <c r="AB39" s="2024"/>
      <c r="AC39" s="2025"/>
      <c r="AD39" s="1830">
        <v>2.9</v>
      </c>
      <c r="AE39" s="2789"/>
      <c r="AF39" s="2790"/>
      <c r="AG39" s="2785">
        <f t="shared" si="1"/>
        <v>0</v>
      </c>
      <c r="AH39" s="1484"/>
      <c r="AI39" s="1453">
        <f>ROUND(IF(AD39=0,0,AG39/ABS(AD39)),3)</f>
        <v>0</v>
      </c>
    </row>
    <row r="40" spans="1:36" ht="14.25" customHeight="1">
      <c r="A40" s="2538" t="s">
        <v>1054</v>
      </c>
      <c r="B40" s="1391">
        <v>0</v>
      </c>
      <c r="C40" s="2043"/>
      <c r="D40" s="1391">
        <v>0</v>
      </c>
      <c r="E40" s="2043"/>
      <c r="F40" s="1391">
        <v>0</v>
      </c>
      <c r="G40" s="2043"/>
      <c r="H40" s="1391">
        <v>0</v>
      </c>
      <c r="I40" s="2678"/>
      <c r="J40" s="1391">
        <v>0</v>
      </c>
      <c r="K40" s="2678"/>
      <c r="L40" s="1391">
        <v>0</v>
      </c>
      <c r="M40" s="2678"/>
      <c r="N40" s="1830">
        <v>0</v>
      </c>
      <c r="O40" s="2678"/>
      <c r="P40" s="1830">
        <v>0</v>
      </c>
      <c r="Q40" s="2678"/>
      <c r="R40" s="1830">
        <v>0</v>
      </c>
      <c r="S40" s="2678"/>
      <c r="T40" s="1830">
        <v>0</v>
      </c>
      <c r="U40" s="2678"/>
      <c r="V40" s="1830">
        <f t="shared" si="0"/>
        <v>0</v>
      </c>
      <c r="W40" s="2678"/>
      <c r="X40" s="1830"/>
      <c r="Y40" s="2784"/>
      <c r="Z40" s="1487"/>
      <c r="AA40" s="1830">
        <v>0</v>
      </c>
      <c r="AB40" s="2024"/>
      <c r="AC40" s="2025"/>
      <c r="AD40" s="1830">
        <v>0</v>
      </c>
      <c r="AE40" s="2789"/>
      <c r="AF40" s="2790"/>
      <c r="AG40" s="2785">
        <f t="shared" si="1"/>
        <v>0</v>
      </c>
      <c r="AH40" s="1484"/>
      <c r="AI40" s="1453">
        <f t="shared" si="2"/>
        <v>0</v>
      </c>
    </row>
    <row r="41" spans="1:36" ht="14.25" customHeight="1">
      <c r="A41" s="2538" t="s">
        <v>1159</v>
      </c>
      <c r="B41" s="1391" t="s">
        <v>15</v>
      </c>
      <c r="C41" s="2043"/>
      <c r="D41" s="1391"/>
      <c r="E41" s="2043"/>
      <c r="F41" s="1391"/>
      <c r="G41" s="2043"/>
      <c r="H41" s="1391"/>
      <c r="I41" s="2678"/>
      <c r="J41" s="1391"/>
      <c r="K41" s="2678"/>
      <c r="L41" s="1391"/>
      <c r="M41" s="2678"/>
      <c r="N41" s="1830"/>
      <c r="O41" s="2678"/>
      <c r="P41" s="1830"/>
      <c r="Q41" s="2678"/>
      <c r="R41" s="1830"/>
      <c r="S41" s="2678"/>
      <c r="T41" s="1830"/>
      <c r="U41" s="2678"/>
      <c r="V41" s="1830"/>
      <c r="W41" s="2678"/>
      <c r="X41" s="1830"/>
      <c r="Y41" s="2784"/>
      <c r="Z41" s="1487"/>
      <c r="AA41" s="1830"/>
      <c r="AB41" s="2024"/>
      <c r="AC41" s="2025"/>
      <c r="AD41" s="1830"/>
      <c r="AE41" s="2789"/>
      <c r="AF41" s="2790"/>
      <c r="AG41" s="2785"/>
      <c r="AH41" s="1484"/>
      <c r="AI41" s="1486"/>
    </row>
    <row r="42" spans="1:36" ht="14.25" customHeight="1">
      <c r="A42" s="2538" t="s">
        <v>1230</v>
      </c>
      <c r="B42" s="1391">
        <v>42.4</v>
      </c>
      <c r="C42" s="2043"/>
      <c r="D42" s="1391">
        <v>36.000000000000007</v>
      </c>
      <c r="E42" s="2043"/>
      <c r="F42" s="1391">
        <v>37.499999999999993</v>
      </c>
      <c r="G42" s="2043"/>
      <c r="H42" s="1391">
        <v>89.199999999999989</v>
      </c>
      <c r="I42" s="2678"/>
      <c r="J42" s="1391">
        <v>42.200000000000017</v>
      </c>
      <c r="K42" s="2678"/>
      <c r="L42" s="1391">
        <v>15.699999999999989</v>
      </c>
      <c r="M42" s="2678"/>
      <c r="N42" s="1830">
        <v>31.100000000000023</v>
      </c>
      <c r="O42" s="2678"/>
      <c r="P42" s="1830">
        <v>24.900000000000006</v>
      </c>
      <c r="Q42" s="2678"/>
      <c r="R42" s="1830">
        <v>51.5</v>
      </c>
      <c r="S42" s="2678"/>
      <c r="T42" s="1830">
        <v>37.800000000000011</v>
      </c>
      <c r="U42" s="2678"/>
      <c r="V42" s="1830">
        <f t="shared" si="0"/>
        <v>30.599999999999966</v>
      </c>
      <c r="W42" s="2678"/>
      <c r="X42" s="1830"/>
      <c r="Y42" s="2784"/>
      <c r="Z42" s="1487"/>
      <c r="AA42" s="1830">
        <v>438.9</v>
      </c>
      <c r="AB42" s="2024"/>
      <c r="AC42" s="2025"/>
      <c r="AD42" s="1830">
        <v>378.29999999999995</v>
      </c>
      <c r="AE42" s="2789"/>
      <c r="AF42" s="2790"/>
      <c r="AG42" s="2785">
        <f>ROUND(SUM(AA42-AD42),1)</f>
        <v>60.6</v>
      </c>
      <c r="AH42" s="1484"/>
      <c r="AI42" s="1493">
        <f>ROUND(IF(AD42=0,0,AG42/ABS(AD42)),3)</f>
        <v>0.16</v>
      </c>
    </row>
    <row r="43" spans="1:36" ht="14.25" customHeight="1">
      <c r="A43" s="2538" t="s">
        <v>1063</v>
      </c>
      <c r="B43" s="1391">
        <v>0</v>
      </c>
      <c r="C43" s="2043"/>
      <c r="D43" s="1391">
        <v>0</v>
      </c>
      <c r="E43" s="2043"/>
      <c r="F43" s="1391">
        <v>0</v>
      </c>
      <c r="G43" s="2043"/>
      <c r="H43" s="1391">
        <v>0</v>
      </c>
      <c r="I43" s="2678"/>
      <c r="J43" s="1391">
        <v>0</v>
      </c>
      <c r="K43" s="2678"/>
      <c r="L43" s="1391">
        <v>0</v>
      </c>
      <c r="M43" s="2678"/>
      <c r="N43" s="1830">
        <v>0.1</v>
      </c>
      <c r="O43" s="2678"/>
      <c r="P43" s="1830">
        <v>0</v>
      </c>
      <c r="Q43" s="2678"/>
      <c r="R43" s="1830">
        <v>0</v>
      </c>
      <c r="S43" s="2678"/>
      <c r="T43" s="1830">
        <v>0</v>
      </c>
      <c r="U43" s="2678"/>
      <c r="V43" s="1830">
        <f t="shared" si="0"/>
        <v>0</v>
      </c>
      <c r="W43" s="2678"/>
      <c r="X43" s="1830"/>
      <c r="Y43" s="2791"/>
      <c r="Z43" s="1487"/>
      <c r="AA43" s="1830">
        <v>0.1</v>
      </c>
      <c r="AB43" s="2206"/>
      <c r="AC43" s="2025"/>
      <c r="AD43" s="1830">
        <v>0.1</v>
      </c>
      <c r="AE43" s="2789"/>
      <c r="AF43" s="2790"/>
      <c r="AG43" s="2785">
        <f>ROUND(SUM(AA43-AD43),1)</f>
        <v>0</v>
      </c>
      <c r="AH43" s="1484"/>
      <c r="AI43" s="1493">
        <f>ROUND(IF(AD43=0,0,AG43/ABS(AD43)),3)</f>
        <v>0</v>
      </c>
    </row>
    <row r="44" spans="1:36" ht="14.25" customHeight="1">
      <c r="A44" s="2538" t="s">
        <v>1064</v>
      </c>
      <c r="B44" s="1391">
        <v>0</v>
      </c>
      <c r="C44" s="2043"/>
      <c r="D44" s="1391">
        <v>0</v>
      </c>
      <c r="E44" s="2043"/>
      <c r="F44" s="1391">
        <v>0</v>
      </c>
      <c r="G44" s="2043"/>
      <c r="H44" s="1391">
        <v>0</v>
      </c>
      <c r="I44" s="2678"/>
      <c r="J44" s="1391">
        <v>0</v>
      </c>
      <c r="K44" s="2678"/>
      <c r="L44" s="1391">
        <v>0</v>
      </c>
      <c r="M44" s="2678"/>
      <c r="N44" s="1830">
        <v>0</v>
      </c>
      <c r="O44" s="2678"/>
      <c r="P44" s="1830">
        <v>0</v>
      </c>
      <c r="Q44" s="2678"/>
      <c r="R44" s="1830">
        <v>0</v>
      </c>
      <c r="S44" s="2678"/>
      <c r="T44" s="1830">
        <v>0</v>
      </c>
      <c r="U44" s="2678"/>
      <c r="V44" s="1830">
        <f t="shared" si="0"/>
        <v>0</v>
      </c>
      <c r="W44" s="2678"/>
      <c r="X44" s="1830"/>
      <c r="Y44" s="2784"/>
      <c r="Z44" s="1487"/>
      <c r="AA44" s="1830">
        <v>0</v>
      </c>
      <c r="AB44" s="2024"/>
      <c r="AC44" s="2025"/>
      <c r="AD44" s="1830">
        <v>0.1</v>
      </c>
      <c r="AE44" s="2789"/>
      <c r="AF44" s="2790"/>
      <c r="AG44" s="2785">
        <f>ROUND(SUM(AA44-AD44),1)</f>
        <v>-0.1</v>
      </c>
      <c r="AH44" s="1484"/>
      <c r="AI44" s="1453">
        <f>ROUND(IF(AD44=0,0,AG44/ABS(AD44)),3)</f>
        <v>-1</v>
      </c>
    </row>
    <row r="45" spans="1:36" s="2798" customFormat="1" ht="15.75">
      <c r="A45" s="2525" t="s">
        <v>1099</v>
      </c>
      <c r="B45" s="2087">
        <f>ROUND(SUM(B30:B44),1)</f>
        <v>42.6</v>
      </c>
      <c r="C45" s="2792"/>
      <c r="D45" s="2087">
        <f>ROUND(SUM(D30:D44),1)</f>
        <v>36.5</v>
      </c>
      <c r="E45" s="2792"/>
      <c r="F45" s="2087">
        <f>ROUND(SUM(F30:F44),1)</f>
        <v>37.799999999999997</v>
      </c>
      <c r="G45" s="2792"/>
      <c r="H45" s="2087">
        <f>ROUND(SUM(H30:H44),1)</f>
        <v>90.1</v>
      </c>
      <c r="I45" s="2793"/>
      <c r="J45" s="2078">
        <f>ROUND(SUM(J30:J44),1)</f>
        <v>42.7</v>
      </c>
      <c r="K45" s="2793"/>
      <c r="L45" s="2078">
        <f>ROUND(SUM(L30:L44),1)</f>
        <v>15.9</v>
      </c>
      <c r="M45" s="2793"/>
      <c r="N45" s="2078">
        <f>ROUND(SUM(N30:N44),1)</f>
        <v>31.6</v>
      </c>
      <c r="O45" s="2793"/>
      <c r="P45" s="2078">
        <f>ROUND(SUM(P30:P44),1)</f>
        <v>25.2</v>
      </c>
      <c r="Q45" s="2793"/>
      <c r="R45" s="2078">
        <f>ROUND(SUM(R30:R44),1)</f>
        <v>51.5</v>
      </c>
      <c r="S45" s="2793"/>
      <c r="T45" s="2078">
        <f>ROUND(SUM(T30:T44),1)</f>
        <v>37.799999999999997</v>
      </c>
      <c r="U45" s="2793"/>
      <c r="V45" s="2062">
        <f>ROUND(SUM(V30:V44),1)</f>
        <v>32.700000000000003</v>
      </c>
      <c r="W45" s="2793"/>
      <c r="X45" s="2062">
        <f>ROUND(SUM(X30:X44),1)</f>
        <v>0</v>
      </c>
      <c r="Y45" s="2794"/>
      <c r="Z45" s="2793"/>
      <c r="AA45" s="2062">
        <f>ROUND(SUM(AA30:AA44),1)</f>
        <v>444.4</v>
      </c>
      <c r="AB45" s="2794"/>
      <c r="AC45" s="2793"/>
      <c r="AD45" s="2062">
        <f>ROUND(SUM(AD30:AD44),1)</f>
        <v>383.9</v>
      </c>
      <c r="AE45" s="2795"/>
      <c r="AF45" s="2796"/>
      <c r="AG45" s="2078">
        <f>ROUND(SUM(AG30:AG44),1)</f>
        <v>60.5</v>
      </c>
      <c r="AH45" s="2754"/>
      <c r="AI45" s="2797">
        <f>ROUND(IF(AD45=0,0,AG45/ABS(AD45)),3)</f>
        <v>0.158</v>
      </c>
      <c r="AJ45" s="2750"/>
    </row>
    <row r="46" spans="1:36" s="2798" customFormat="1" ht="14.25" customHeight="1">
      <c r="A46" s="2525"/>
      <c r="B46" s="1472"/>
      <c r="C46" s="2792"/>
      <c r="D46" s="1472"/>
      <c r="E46" s="2792"/>
      <c r="F46" s="1472"/>
      <c r="G46" s="2792"/>
      <c r="H46" s="1472"/>
      <c r="I46" s="2793"/>
      <c r="J46" s="1472"/>
      <c r="K46" s="2793"/>
      <c r="L46" s="1472"/>
      <c r="M46" s="2793"/>
      <c r="N46" s="1472"/>
      <c r="O46" s="2793"/>
      <c r="P46" s="1472"/>
      <c r="Q46" s="2793"/>
      <c r="R46" s="1472"/>
      <c r="S46" s="2793"/>
      <c r="T46" s="1472"/>
      <c r="U46" s="2793"/>
      <c r="V46" s="1490"/>
      <c r="W46" s="2793"/>
      <c r="X46" s="1490"/>
      <c r="Y46" s="2799"/>
      <c r="Z46" s="2793"/>
      <c r="AA46" s="1490"/>
      <c r="AB46" s="2799"/>
      <c r="AC46" s="2793"/>
      <c r="AD46" s="1490"/>
      <c r="AE46" s="2795"/>
      <c r="AF46" s="2796"/>
      <c r="AG46" s="2800"/>
      <c r="AH46" s="2754"/>
      <c r="AI46" s="2778"/>
      <c r="AJ46" s="2750"/>
    </row>
    <row r="47" spans="1:36" ht="15">
      <c r="A47" s="2801" t="s">
        <v>941</v>
      </c>
      <c r="B47" s="1391">
        <v>0</v>
      </c>
      <c r="C47" s="2802"/>
      <c r="D47" s="1391">
        <v>0</v>
      </c>
      <c r="E47" s="2802"/>
      <c r="F47" s="1391">
        <v>0</v>
      </c>
      <c r="G47" s="2043"/>
      <c r="H47" s="1391">
        <v>1.6</v>
      </c>
      <c r="I47" s="2023"/>
      <c r="J47" s="1391">
        <v>35.199999999999996</v>
      </c>
      <c r="K47" s="2023"/>
      <c r="L47" s="1391">
        <v>0</v>
      </c>
      <c r="M47" s="2023"/>
      <c r="N47" s="1830">
        <v>0</v>
      </c>
      <c r="O47" s="2023"/>
      <c r="P47" s="1830">
        <v>0</v>
      </c>
      <c r="Q47" s="2023"/>
      <c r="R47" s="1830">
        <v>0</v>
      </c>
      <c r="S47" s="2023"/>
      <c r="T47" s="1830">
        <v>1.6000000000000014</v>
      </c>
      <c r="U47" s="2023"/>
      <c r="V47" s="1830">
        <f t="shared" ref="V47" si="3">$AA47-$B47-$D47-$F47-$H47-$J47-$L47-$N47-$P47-$R47-$T47</f>
        <v>35.39</v>
      </c>
      <c r="W47" s="2023"/>
      <c r="X47" s="1830"/>
      <c r="Y47" s="2803"/>
      <c r="Z47" s="2023"/>
      <c r="AA47" s="2804">
        <v>73.789999999999992</v>
      </c>
      <c r="AB47" s="2803"/>
      <c r="AC47" s="2023"/>
      <c r="AD47" s="2804">
        <v>73.599999999999994</v>
      </c>
      <c r="AE47" s="2789"/>
      <c r="AF47" s="2790"/>
      <c r="AG47" s="2805">
        <f>ROUND(SUM(AA47-AD47),1)</f>
        <v>0.2</v>
      </c>
      <c r="AH47" s="1484"/>
      <c r="AI47" s="1454">
        <f>ROUND(IF(AD47=0,0,AG47/ABS(AD47)),3)</f>
        <v>3.0000000000000001E-3</v>
      </c>
    </row>
    <row r="48" spans="1:36" ht="12" customHeight="1">
      <c r="A48" s="1487"/>
      <c r="B48" s="2806"/>
      <c r="C48" s="2043"/>
      <c r="D48" s="2806"/>
      <c r="E48" s="2043"/>
      <c r="F48" s="2806"/>
      <c r="G48" s="2043"/>
      <c r="H48" s="2806"/>
      <c r="I48" s="2023"/>
      <c r="J48" s="2807"/>
      <c r="K48" s="2023"/>
      <c r="L48" s="2807"/>
      <c r="M48" s="2023"/>
      <c r="N48" s="2807"/>
      <c r="O48" s="2023"/>
      <c r="P48" s="2807"/>
      <c r="Q48" s="2023"/>
      <c r="R48" s="2807"/>
      <c r="S48" s="2023"/>
      <c r="T48" s="2807"/>
      <c r="U48" s="2023"/>
      <c r="V48" s="2807"/>
      <c r="W48" s="2023"/>
      <c r="X48" s="2807"/>
      <c r="Y48" s="2803"/>
      <c r="Z48" s="2023"/>
      <c r="AA48" s="2043"/>
      <c r="AB48" s="2803"/>
      <c r="AC48" s="2023"/>
      <c r="AD48" s="2043"/>
      <c r="AE48" s="2789"/>
      <c r="AF48" s="2790"/>
      <c r="AG48" s="2785"/>
      <c r="AH48" s="1484"/>
      <c r="AI48" s="1487"/>
    </row>
    <row r="49" spans="1:36" ht="14.25" customHeight="1">
      <c r="A49" s="2525" t="s">
        <v>188</v>
      </c>
      <c r="B49" s="2808">
        <f>B26+B45+B47</f>
        <v>5271.4000000000005</v>
      </c>
      <c r="C49" s="2809"/>
      <c r="D49" s="2808">
        <f>ROUND(SUM(D26+D45+D47),1)</f>
        <v>1915.9</v>
      </c>
      <c r="E49" s="2810"/>
      <c r="F49" s="2808">
        <f>ROUND(SUM(F26+F45+F47),1)</f>
        <v>3472.6</v>
      </c>
      <c r="G49" s="2810"/>
      <c r="H49" s="2808">
        <f>ROUND(SUM(H26+H45+H47),1)</f>
        <v>2455.8000000000002</v>
      </c>
      <c r="I49" s="2811"/>
      <c r="J49" s="2812">
        <f>ROUND(SUM(J26+J45+J47),1)</f>
        <v>2192.6</v>
      </c>
      <c r="K49" s="2811"/>
      <c r="L49" s="2812">
        <f>ROUND(SUM(L26+L45+L47),1)</f>
        <v>3278.5</v>
      </c>
      <c r="M49" s="2811"/>
      <c r="N49" s="2812">
        <f>ROUND(SUM(N26+N45+N47),1)</f>
        <v>1972.4</v>
      </c>
      <c r="O49" s="2811"/>
      <c r="P49" s="2812">
        <f>ROUND(SUM(P26+P45+P47),1)</f>
        <v>1931.7</v>
      </c>
      <c r="Q49" s="2811"/>
      <c r="R49" s="2812">
        <f>ROUND(SUM(R26+R45+R47),1)</f>
        <v>3011.7</v>
      </c>
      <c r="S49" s="2811"/>
      <c r="T49" s="2812">
        <f>ROUND(SUM(T26+T45+T47),1)</f>
        <v>5207.2</v>
      </c>
      <c r="U49" s="2811"/>
      <c r="V49" s="2812">
        <f>ROUND(SUM(V26+V45+V47),1)</f>
        <v>2510.9</v>
      </c>
      <c r="W49" s="2811"/>
      <c r="X49" s="2812">
        <f>ROUND(SUM(X26+X45+X47),1)</f>
        <v>0</v>
      </c>
      <c r="Y49" s="2794"/>
      <c r="Z49" s="2793"/>
      <c r="AA49" s="2812">
        <f>ROUND(SUM(AA26+AA45+AA47),1)</f>
        <v>33220.699999999997</v>
      </c>
      <c r="AB49" s="2794"/>
      <c r="AC49" s="2793"/>
      <c r="AD49" s="2812">
        <f>ROUND(SUM(AD26+AD45+AD47),1)</f>
        <v>30112.7</v>
      </c>
      <c r="AE49" s="2795"/>
      <c r="AF49" s="2796"/>
      <c r="AG49" s="2812">
        <f>ROUND(SUM(AG26+AG45+AG47),1)</f>
        <v>3108</v>
      </c>
      <c r="AH49" s="2754"/>
      <c r="AI49" s="1485">
        <f>ROUND(IF(AD49=0,0,AG49/ABS(AD49)),3)</f>
        <v>0.10299999999999999</v>
      </c>
      <c r="AJ49" s="2813"/>
    </row>
    <row r="50" spans="1:36" ht="19.5" customHeight="1">
      <c r="A50" s="1487"/>
      <c r="B50" s="2043"/>
      <c r="C50" s="2043"/>
      <c r="D50" s="2043"/>
      <c r="E50" s="2043"/>
      <c r="F50" s="2043"/>
      <c r="G50" s="2043"/>
      <c r="H50" s="2043"/>
      <c r="I50" s="2023"/>
      <c r="J50" s="2023"/>
      <c r="K50" s="2023"/>
      <c r="L50" s="2023"/>
      <c r="M50" s="2023"/>
      <c r="N50" s="2023"/>
      <c r="O50" s="2023"/>
      <c r="P50" s="2023"/>
      <c r="Q50" s="2023"/>
      <c r="R50" s="2023"/>
      <c r="S50" s="2023"/>
      <c r="T50" s="2023"/>
      <c r="U50" s="2023"/>
      <c r="V50" s="2023"/>
      <c r="W50" s="2023"/>
      <c r="X50" s="2023"/>
      <c r="Y50" s="2803"/>
      <c r="Z50" s="2023"/>
      <c r="AA50" s="2043"/>
      <c r="AB50" s="2803"/>
      <c r="AC50" s="2023"/>
      <c r="AD50" s="2043"/>
      <c r="AE50" s="2789"/>
      <c r="AF50" s="2790"/>
      <c r="AG50" s="2785"/>
      <c r="AH50" s="1484"/>
      <c r="AI50" s="1487"/>
    </row>
    <row r="51" spans="1:36" ht="15.75">
      <c r="A51" s="2814" t="s">
        <v>189</v>
      </c>
      <c r="B51" s="2043"/>
      <c r="C51" s="2043"/>
      <c r="D51" s="2043"/>
      <c r="E51" s="2043"/>
      <c r="F51" s="2043"/>
      <c r="G51" s="2043"/>
      <c r="H51" s="2043"/>
      <c r="I51" s="2023"/>
      <c r="J51" s="2023"/>
      <c r="K51" s="2023"/>
      <c r="L51" s="2023"/>
      <c r="M51" s="2023"/>
      <c r="N51" s="2023"/>
      <c r="O51" s="2023"/>
      <c r="P51" s="2023"/>
      <c r="Q51" s="2023"/>
      <c r="R51" s="2023"/>
      <c r="S51" s="2023"/>
      <c r="T51" s="2023"/>
      <c r="U51" s="2023"/>
      <c r="V51" s="2023"/>
      <c r="W51" s="2023"/>
      <c r="X51" s="2023"/>
      <c r="Y51" s="2803"/>
      <c r="Z51" s="2023"/>
      <c r="AA51" s="2043"/>
      <c r="AB51" s="2803"/>
      <c r="AC51" s="2023"/>
      <c r="AD51" s="2043"/>
      <c r="AE51" s="2789"/>
      <c r="AF51" s="2790"/>
      <c r="AG51" s="2785"/>
      <c r="AH51" s="1484"/>
      <c r="AI51" s="1487"/>
    </row>
    <row r="52" spans="1:36" ht="14.25" customHeight="1">
      <c r="A52" s="2815" t="s">
        <v>153</v>
      </c>
      <c r="B52" s="2043"/>
      <c r="C52" s="2043"/>
      <c r="D52" s="2043"/>
      <c r="E52" s="2043"/>
      <c r="F52" s="2043"/>
      <c r="G52" s="2043"/>
      <c r="H52" s="2043"/>
      <c r="I52" s="2023"/>
      <c r="J52" s="2023"/>
      <c r="K52" s="2023"/>
      <c r="L52" s="2023"/>
      <c r="M52" s="2023"/>
      <c r="N52" s="2023"/>
      <c r="O52" s="2023"/>
      <c r="P52" s="2023"/>
      <c r="Q52" s="2023"/>
      <c r="R52" s="2023"/>
      <c r="S52" s="2023"/>
      <c r="T52" s="2023"/>
      <c r="U52" s="2023"/>
      <c r="V52" s="2023"/>
      <c r="W52" s="2023"/>
      <c r="X52" s="2023"/>
      <c r="Y52" s="2803"/>
      <c r="Z52" s="2023"/>
      <c r="AA52" s="2043"/>
      <c r="AB52" s="2803"/>
      <c r="AC52" s="2023"/>
      <c r="AD52" s="2043"/>
      <c r="AE52" s="2789"/>
      <c r="AF52" s="2790"/>
      <c r="AG52" s="2785"/>
      <c r="AH52" s="1484"/>
      <c r="AI52" s="1487"/>
    </row>
    <row r="53" spans="1:36" ht="14.25" customHeight="1">
      <c r="A53" s="2815" t="s">
        <v>38</v>
      </c>
      <c r="B53" s="1391">
        <v>0.70000000000000007</v>
      </c>
      <c r="C53" s="2043"/>
      <c r="D53" s="1391">
        <v>2.2999999999999998</v>
      </c>
      <c r="E53" s="2816"/>
      <c r="F53" s="1391">
        <v>2.5999999999999996</v>
      </c>
      <c r="G53" s="2043"/>
      <c r="H53" s="1391">
        <v>8.6</v>
      </c>
      <c r="I53" s="2023"/>
      <c r="J53" s="1391">
        <v>6.8000000000000007</v>
      </c>
      <c r="K53" s="2023"/>
      <c r="L53" s="1391">
        <v>1.4999999999999982</v>
      </c>
      <c r="M53" s="2023"/>
      <c r="N53" s="1830">
        <v>0.60000000000000142</v>
      </c>
      <c r="O53" s="2023"/>
      <c r="P53" s="1830">
        <v>2.2000000000000028</v>
      </c>
      <c r="Q53" s="2023"/>
      <c r="R53" s="1830">
        <v>1.5</v>
      </c>
      <c r="S53" s="2023"/>
      <c r="T53" s="1830">
        <v>0.19999999999999574</v>
      </c>
      <c r="U53" s="2023"/>
      <c r="V53" s="1830">
        <f t="shared" ref="V53:V55" si="4">$AA53-$B53-$D53-$F53-$H53-$J53-$L53-$N53-$P53-$R53-$T53</f>
        <v>1.6000000000000014</v>
      </c>
      <c r="W53" s="2023"/>
      <c r="X53" s="1830"/>
      <c r="Y53" s="2803"/>
      <c r="Z53" s="2023"/>
      <c r="AA53" s="2029">
        <v>28.6</v>
      </c>
      <c r="AB53" s="2803"/>
      <c r="AC53" s="2023"/>
      <c r="AD53" s="2029">
        <v>29.799999999999997</v>
      </c>
      <c r="AE53" s="2789"/>
      <c r="AF53" s="2790"/>
      <c r="AG53" s="2785">
        <f>ROUND(SUM(AA53-AD53),1)</f>
        <v>-1.2</v>
      </c>
      <c r="AH53" s="1484"/>
      <c r="AI53" s="1493">
        <f>ROUND(IF(AD53=0,0,AG53/ABS(AD53)),3)</f>
        <v>-0.04</v>
      </c>
    </row>
    <row r="54" spans="1:36" ht="14.25" customHeight="1">
      <c r="A54" s="2817" t="s">
        <v>1475</v>
      </c>
      <c r="B54" s="1391" t="s">
        <v>15</v>
      </c>
      <c r="C54" s="2043"/>
      <c r="D54" s="1391"/>
      <c r="E54" s="2043"/>
      <c r="F54" s="1391"/>
      <c r="G54" s="2043"/>
      <c r="H54" s="1391"/>
      <c r="I54" s="2023"/>
      <c r="J54" s="1391"/>
      <c r="K54" s="2023"/>
      <c r="L54" s="1391"/>
      <c r="M54" s="2023"/>
      <c r="N54" s="1830"/>
      <c r="O54" s="2023"/>
      <c r="P54" s="1830"/>
      <c r="Q54" s="2023"/>
      <c r="R54" s="1830"/>
      <c r="S54" s="2023"/>
      <c r="T54" s="1830"/>
      <c r="U54" s="2023"/>
      <c r="V54" s="1830"/>
      <c r="W54" s="2023"/>
      <c r="X54" s="1830"/>
      <c r="Y54" s="2803"/>
      <c r="Z54" s="2023"/>
      <c r="AA54" s="2043"/>
      <c r="AB54" s="2803"/>
      <c r="AC54" s="2023"/>
      <c r="AD54" s="2043"/>
      <c r="AE54" s="2789"/>
      <c r="AF54" s="2790"/>
      <c r="AG54" s="2785"/>
      <c r="AH54" s="1484"/>
      <c r="AI54" s="1487"/>
    </row>
    <row r="55" spans="1:36" ht="14.25" customHeight="1">
      <c r="A55" s="2818" t="s">
        <v>1165</v>
      </c>
      <c r="B55" s="1391">
        <v>72.400000000000006</v>
      </c>
      <c r="C55" s="2043"/>
      <c r="D55" s="1391">
        <v>121.1</v>
      </c>
      <c r="E55" s="2043"/>
      <c r="F55" s="1391">
        <v>230.29999999999998</v>
      </c>
      <c r="G55" s="2043"/>
      <c r="H55" s="1391">
        <v>45.099999999999994</v>
      </c>
      <c r="I55" s="2023"/>
      <c r="J55" s="1391">
        <v>74.5</v>
      </c>
      <c r="K55" s="2023"/>
      <c r="L55" s="1391">
        <v>433.20000000000005</v>
      </c>
      <c r="M55" s="2023"/>
      <c r="N55" s="1830">
        <v>48.499999999999886</v>
      </c>
      <c r="O55" s="2023"/>
      <c r="P55" s="1830">
        <v>74.899999999999977</v>
      </c>
      <c r="Q55" s="2023"/>
      <c r="R55" s="1830">
        <v>412.20000000000027</v>
      </c>
      <c r="S55" s="2023"/>
      <c r="T55" s="1830">
        <v>44.599999999999909</v>
      </c>
      <c r="U55" s="2023"/>
      <c r="V55" s="1830">
        <f t="shared" si="4"/>
        <v>719.89999999999964</v>
      </c>
      <c r="W55" s="2023"/>
      <c r="X55" s="1830"/>
      <c r="Y55" s="2803"/>
      <c r="Z55" s="2023"/>
      <c r="AA55" s="2819">
        <v>2276.6999999999998</v>
      </c>
      <c r="AB55" s="2803"/>
      <c r="AC55" s="2023"/>
      <c r="AD55" s="2819">
        <v>2498</v>
      </c>
      <c r="AE55" s="2789"/>
      <c r="AF55" s="2790"/>
      <c r="AG55" s="2820">
        <f>ROUND(SUM(AA55-AD55),1)</f>
        <v>-221.3</v>
      </c>
      <c r="AH55" s="1484"/>
      <c r="AI55" s="1454">
        <f>ROUND(IF(AD55=0,0,AG55/ABS(AD55)),3)</f>
        <v>-8.8999999999999996E-2</v>
      </c>
    </row>
    <row r="56" spans="1:36" ht="15">
      <c r="A56" s="1487"/>
      <c r="B56" s="2806"/>
      <c r="C56" s="2043"/>
      <c r="D56" s="2806"/>
      <c r="E56" s="2043"/>
      <c r="F56" s="2806"/>
      <c r="G56" s="2043"/>
      <c r="H56" s="2806"/>
      <c r="I56" s="2023"/>
      <c r="J56" s="2807"/>
      <c r="K56" s="2023"/>
      <c r="L56" s="2807"/>
      <c r="M56" s="2023"/>
      <c r="N56" s="2807"/>
      <c r="O56" s="2023"/>
      <c r="P56" s="2807"/>
      <c r="Q56" s="2023"/>
      <c r="R56" s="2807"/>
      <c r="S56" s="2023"/>
      <c r="T56" s="2807"/>
      <c r="U56" s="2023"/>
      <c r="V56" s="2807"/>
      <c r="W56" s="2023"/>
      <c r="X56" s="2807"/>
      <c r="Y56" s="2803"/>
      <c r="Z56" s="2023"/>
      <c r="AA56" s="2043"/>
      <c r="AB56" s="2803"/>
      <c r="AC56" s="2023"/>
      <c r="AD56" s="2043"/>
      <c r="AE56" s="2789"/>
      <c r="AF56" s="2790"/>
      <c r="AG56" s="2785"/>
      <c r="AH56" s="1484"/>
      <c r="AI56" s="1487"/>
    </row>
    <row r="57" spans="1:36" ht="14.25" customHeight="1">
      <c r="A57" s="2814" t="s">
        <v>190</v>
      </c>
      <c r="B57" s="2808">
        <f>ROUND(SUM(B53:B55),1)</f>
        <v>73.099999999999994</v>
      </c>
      <c r="C57" s="2809"/>
      <c r="D57" s="2808">
        <f>ROUND(SUM(D53:D55),1)</f>
        <v>123.4</v>
      </c>
      <c r="E57" s="2810"/>
      <c r="F57" s="2808">
        <f>ROUND(SUM(F53:F55),1)</f>
        <v>232.9</v>
      </c>
      <c r="G57" s="2810"/>
      <c r="H57" s="2808">
        <f>ROUND(SUM(H53:H55),1)</f>
        <v>53.7</v>
      </c>
      <c r="I57" s="2811"/>
      <c r="J57" s="2812">
        <f>ROUND(SUM(J53:J55),1)</f>
        <v>81.3</v>
      </c>
      <c r="K57" s="2811"/>
      <c r="L57" s="2812">
        <f>ROUND(SUM(L53:L55),1)</f>
        <v>434.7</v>
      </c>
      <c r="M57" s="2811"/>
      <c r="N57" s="2812">
        <f>ROUND(SUM(N53:N55),1)</f>
        <v>49.1</v>
      </c>
      <c r="O57" s="2811"/>
      <c r="P57" s="2812">
        <f>ROUND(SUM(P53:P55),1)</f>
        <v>77.099999999999994</v>
      </c>
      <c r="Q57" s="2811"/>
      <c r="R57" s="2812">
        <f>ROUND(SUM(R53:R55),1)</f>
        <v>413.7</v>
      </c>
      <c r="S57" s="2811"/>
      <c r="T57" s="2812">
        <f>ROUND(SUM(T53:T55),1)</f>
        <v>44.8</v>
      </c>
      <c r="U57" s="2811"/>
      <c r="V57" s="2812">
        <f>ROUND(SUM(V53:V55),1)</f>
        <v>721.5</v>
      </c>
      <c r="W57" s="2811"/>
      <c r="X57" s="2812">
        <f>ROUND(SUM(X53:X55),1)</f>
        <v>0</v>
      </c>
      <c r="Y57" s="2794"/>
      <c r="Z57" s="2793"/>
      <c r="AA57" s="2812">
        <f>ROUND(SUM(AA53:AA55),1)</f>
        <v>2305.3000000000002</v>
      </c>
      <c r="AB57" s="2794"/>
      <c r="AC57" s="2793"/>
      <c r="AD57" s="2812">
        <f>ROUND(SUM(AD53:AD55),1)</f>
        <v>2527.8000000000002</v>
      </c>
      <c r="AE57" s="2795"/>
      <c r="AF57" s="2796"/>
      <c r="AG57" s="2812">
        <f>ROUND(SUM(AG53:AG55),1)</f>
        <v>-222.5</v>
      </c>
      <c r="AH57" s="2754"/>
      <c r="AI57" s="1485">
        <f>ROUND(IF(AD57=0,0,AG57/ABS(AD57)),3)</f>
        <v>-8.7999999999999995E-2</v>
      </c>
      <c r="AJ57" s="2821"/>
    </row>
    <row r="58" spans="1:36" ht="12" customHeight="1">
      <c r="A58" s="1487"/>
      <c r="B58" s="2043"/>
      <c r="C58" s="2043"/>
      <c r="D58" s="2822"/>
      <c r="E58" s="2822"/>
      <c r="F58" s="2822"/>
      <c r="G58" s="2822"/>
      <c r="H58" s="2822"/>
      <c r="I58" s="2823"/>
      <c r="J58" s="2823"/>
      <c r="K58" s="2823"/>
      <c r="L58" s="2823"/>
      <c r="M58" s="2823"/>
      <c r="N58" s="2823"/>
      <c r="O58" s="2823"/>
      <c r="P58" s="2823"/>
      <c r="Q58" s="2823"/>
      <c r="R58" s="2823"/>
      <c r="S58" s="2823"/>
      <c r="T58" s="2823"/>
      <c r="U58" s="2823"/>
      <c r="V58" s="2823"/>
      <c r="W58" s="2823"/>
      <c r="X58" s="2823"/>
      <c r="Y58" s="2803"/>
      <c r="Z58" s="2023"/>
      <c r="AA58" s="2043"/>
      <c r="AB58" s="2803"/>
      <c r="AC58" s="2023"/>
      <c r="AD58" s="2043"/>
      <c r="AE58" s="2789"/>
      <c r="AF58" s="2790"/>
      <c r="AG58" s="2785"/>
      <c r="AH58" s="1484"/>
      <c r="AI58" s="1487"/>
    </row>
    <row r="59" spans="1:36" ht="14.25" customHeight="1">
      <c r="A59" s="2814" t="s">
        <v>44</v>
      </c>
      <c r="B59" s="2043"/>
      <c r="C59" s="2043"/>
      <c r="D59" s="2822"/>
      <c r="E59" s="2822"/>
      <c r="F59" s="2822"/>
      <c r="G59" s="2822"/>
      <c r="H59" s="2822"/>
      <c r="I59" s="2823"/>
      <c r="J59" s="2823"/>
      <c r="K59" s="2823"/>
      <c r="L59" s="2823"/>
      <c r="M59" s="2823"/>
      <c r="N59" s="2823"/>
      <c r="O59" s="2823"/>
      <c r="P59" s="2823"/>
      <c r="Q59" s="2823"/>
      <c r="R59" s="2823"/>
      <c r="S59" s="2823"/>
      <c r="T59" s="2823"/>
      <c r="U59" s="2823"/>
      <c r="V59" s="2823"/>
      <c r="W59" s="2823"/>
      <c r="X59" s="2823"/>
      <c r="Y59" s="2803"/>
      <c r="Z59" s="2023"/>
      <c r="AA59" s="2043"/>
      <c r="AB59" s="2803"/>
      <c r="AC59" s="2023"/>
      <c r="AD59" s="2043"/>
      <c r="AE59" s="2789"/>
      <c r="AF59" s="2790"/>
      <c r="AG59" s="2785"/>
      <c r="AH59" s="1484"/>
      <c r="AI59" s="1487"/>
    </row>
    <row r="60" spans="1:36" ht="14.25" customHeight="1">
      <c r="A60" s="2525" t="s">
        <v>191</v>
      </c>
      <c r="B60" s="2808">
        <f>ROUND(SUM(B49-B57),1)</f>
        <v>5198.3</v>
      </c>
      <c r="C60" s="2809"/>
      <c r="D60" s="2808">
        <f>ROUND(SUM(D49-D57),1)</f>
        <v>1792.5</v>
      </c>
      <c r="E60" s="2824"/>
      <c r="F60" s="2808">
        <f>ROUND(SUM(F49-F57),1)</f>
        <v>3239.7</v>
      </c>
      <c r="G60" s="2810"/>
      <c r="H60" s="2808">
        <f>ROUND(SUM(H49-H57),1)</f>
        <v>2402.1</v>
      </c>
      <c r="I60" s="2811"/>
      <c r="J60" s="2812">
        <f>ROUND(SUM(J49-J57),1)</f>
        <v>2111.3000000000002</v>
      </c>
      <c r="K60" s="2811"/>
      <c r="L60" s="2812">
        <f>ROUND(SUM(L49-L57),1)</f>
        <v>2843.8</v>
      </c>
      <c r="M60" s="2811"/>
      <c r="N60" s="2812">
        <f>ROUND(SUM(N49-N57),1)</f>
        <v>1923.3</v>
      </c>
      <c r="O60" s="2811"/>
      <c r="P60" s="2812">
        <f>ROUND(SUM(P49-P57),1)</f>
        <v>1854.6</v>
      </c>
      <c r="Q60" s="2811"/>
      <c r="R60" s="2812">
        <f>ROUND(SUM(R49-R57),1)</f>
        <v>2598</v>
      </c>
      <c r="S60" s="2811"/>
      <c r="T60" s="2812">
        <f>ROUND(SUM(T49-T57),1)</f>
        <v>5162.3999999999996</v>
      </c>
      <c r="U60" s="2811"/>
      <c r="V60" s="2812">
        <f>ROUND(SUM(V49-V57),1)</f>
        <v>1789.4</v>
      </c>
      <c r="W60" s="2811"/>
      <c r="X60" s="2812">
        <f>ROUND(SUM(X49-X57),1)</f>
        <v>0</v>
      </c>
      <c r="Y60" s="2794"/>
      <c r="Z60" s="2793"/>
      <c r="AA60" s="2812">
        <f>ROUND(SUM(AA49-AA57),1)</f>
        <v>30915.4</v>
      </c>
      <c r="AB60" s="2794"/>
      <c r="AC60" s="2793"/>
      <c r="AD60" s="2812">
        <f>ROUND(SUM(AD49-AD57),1)</f>
        <v>27584.9</v>
      </c>
      <c r="AE60" s="2795"/>
      <c r="AF60" s="2796"/>
      <c r="AG60" s="2812">
        <f>ROUND(SUM(+AG49-AG57),1)</f>
        <v>3330.5</v>
      </c>
      <c r="AH60" s="2754"/>
      <c r="AI60" s="1485">
        <f>ROUND(IF(AD60=0,0,AG60/ABS(AD60)),3)</f>
        <v>0.121</v>
      </c>
      <c r="AJ60" s="2813"/>
    </row>
    <row r="61" spans="1:36" ht="19.5" customHeight="1">
      <c r="A61" s="1487"/>
      <c r="B61" s="2802"/>
      <c r="C61" s="2043"/>
      <c r="D61" s="2043"/>
      <c r="E61" s="2043"/>
      <c r="F61" s="2043"/>
      <c r="G61" s="2043"/>
      <c r="H61" s="2043"/>
      <c r="I61" s="2023"/>
      <c r="J61" s="2023"/>
      <c r="K61" s="2023"/>
      <c r="L61" s="2023"/>
      <c r="M61" s="2023"/>
      <c r="N61" s="2023"/>
      <c r="O61" s="2023"/>
      <c r="P61" s="2023"/>
      <c r="Q61" s="2023"/>
      <c r="R61" s="2023"/>
      <c r="S61" s="2023"/>
      <c r="T61" s="2023"/>
      <c r="U61" s="2023"/>
      <c r="V61" s="2023"/>
      <c r="W61" s="2023"/>
      <c r="X61" s="2023"/>
      <c r="Y61" s="2803"/>
      <c r="Z61" s="2023"/>
      <c r="AA61" s="2802"/>
      <c r="AB61" s="2803"/>
      <c r="AC61" s="2023"/>
      <c r="AD61" s="2802"/>
      <c r="AE61" s="2789"/>
      <c r="AF61" s="2790"/>
      <c r="AG61" s="2785"/>
      <c r="AH61" s="1484"/>
      <c r="AI61" s="1487"/>
    </row>
    <row r="62" spans="1:36" ht="19.5" customHeight="1">
      <c r="A62" s="1487"/>
      <c r="B62" s="2043"/>
      <c r="C62" s="2043"/>
      <c r="D62" s="2043"/>
      <c r="E62" s="2043"/>
      <c r="F62" s="2043"/>
      <c r="G62" s="2043"/>
      <c r="H62" s="2043"/>
      <c r="I62" s="2023"/>
      <c r="J62" s="2023"/>
      <c r="K62" s="2023"/>
      <c r="L62" s="2023"/>
      <c r="M62" s="2023"/>
      <c r="N62" s="2023"/>
      <c r="O62" s="2023"/>
      <c r="P62" s="2023"/>
      <c r="Q62" s="2023"/>
      <c r="R62" s="2023"/>
      <c r="S62" s="2023"/>
      <c r="T62" s="2023"/>
      <c r="U62" s="2023"/>
      <c r="V62" s="2023"/>
      <c r="W62" s="2023"/>
      <c r="X62" s="2023"/>
      <c r="Y62" s="2803"/>
      <c r="Z62" s="2023"/>
      <c r="AA62" s="2043"/>
      <c r="AB62" s="2803"/>
      <c r="AC62" s="2023"/>
      <c r="AD62" s="2043"/>
      <c r="AE62" s="2789"/>
      <c r="AF62" s="2790"/>
      <c r="AG62" s="2785"/>
      <c r="AH62" s="1484"/>
      <c r="AI62" s="1487"/>
    </row>
    <row r="63" spans="1:36" ht="14.25" customHeight="1">
      <c r="A63" s="2814" t="s">
        <v>46</v>
      </c>
      <c r="B63" s="2043"/>
      <c r="C63" s="2043"/>
      <c r="D63" s="2043"/>
      <c r="E63" s="2043"/>
      <c r="F63" s="2043"/>
      <c r="G63" s="2043"/>
      <c r="H63" s="2043"/>
      <c r="I63" s="2023"/>
      <c r="J63" s="2023"/>
      <c r="K63" s="2023"/>
      <c r="L63" s="2023"/>
      <c r="M63" s="2023"/>
      <c r="N63" s="2023"/>
      <c r="O63" s="2023"/>
      <c r="P63" s="2023"/>
      <c r="Q63" s="2023"/>
      <c r="R63" s="2023"/>
      <c r="S63" s="2023"/>
      <c r="T63" s="2023"/>
      <c r="U63" s="2023"/>
      <c r="V63" s="2023"/>
      <c r="W63" s="2023"/>
      <c r="X63" s="2023"/>
      <c r="Y63" s="2803"/>
      <c r="Z63" s="2023"/>
      <c r="AA63" s="2043"/>
      <c r="AB63" s="2803"/>
      <c r="AC63" s="2023"/>
      <c r="AD63" s="2043"/>
      <c r="AE63" s="2789"/>
      <c r="AF63" s="2790"/>
      <c r="AG63" s="2785"/>
      <c r="AH63" s="1484"/>
      <c r="AI63" s="1487"/>
    </row>
    <row r="64" spans="1:36" ht="14.25" customHeight="1">
      <c r="A64" s="2815" t="s">
        <v>182</v>
      </c>
      <c r="B64" s="1391">
        <v>219.3</v>
      </c>
      <c r="C64" s="2043"/>
      <c r="D64" s="1391">
        <v>206.59999999999997</v>
      </c>
      <c r="E64" s="2043"/>
      <c r="F64" s="1391">
        <v>86.5</v>
      </c>
      <c r="G64" s="2043"/>
      <c r="H64" s="1391">
        <v>281.90000000000003</v>
      </c>
      <c r="I64" s="2023"/>
      <c r="J64" s="1391">
        <v>186.09999999999997</v>
      </c>
      <c r="K64" s="2023"/>
      <c r="L64" s="1391">
        <v>270.90000000000009</v>
      </c>
      <c r="M64" s="2023"/>
      <c r="N64" s="1830">
        <v>318.20000000000005</v>
      </c>
      <c r="O64" s="2023"/>
      <c r="P64" s="1830">
        <v>93.5</v>
      </c>
      <c r="Q64" s="2023"/>
      <c r="R64" s="1830">
        <v>376.79999999999995</v>
      </c>
      <c r="S64" s="2023"/>
      <c r="T64" s="1830">
        <v>453.5</v>
      </c>
      <c r="U64" s="2023"/>
      <c r="V64" s="1830">
        <f t="shared" ref="V64:V65" si="5">$AA64-$B64-$D64-$F64-$H64-$J64-$L64-$N64-$P64-$R64-$T64</f>
        <v>219</v>
      </c>
      <c r="W64" s="2023"/>
      <c r="X64" s="1830"/>
      <c r="Y64" s="2803"/>
      <c r="Z64" s="2023"/>
      <c r="AA64" s="2029">
        <v>2712.3</v>
      </c>
      <c r="AB64" s="2803"/>
      <c r="AC64" s="2023"/>
      <c r="AD64" s="2029">
        <v>2554.6999999999998</v>
      </c>
      <c r="AE64" s="2789"/>
      <c r="AF64" s="2790"/>
      <c r="AG64" s="2785">
        <f>ROUND(SUM(AA64-AD64),1)</f>
        <v>157.6</v>
      </c>
      <c r="AH64" s="1484"/>
      <c r="AI64" s="1453">
        <f>ROUND(IF(AD64=0,0,AG64/ABS(AD64)),3)</f>
        <v>6.2E-2</v>
      </c>
    </row>
    <row r="65" spans="1:38" ht="14.25" customHeight="1">
      <c r="A65" s="2815" t="s">
        <v>192</v>
      </c>
      <c r="B65" s="1391">
        <v>-5167.6000000000004</v>
      </c>
      <c r="C65" s="2043"/>
      <c r="D65" s="1391">
        <v>-1630.1000000000004</v>
      </c>
      <c r="E65" s="2043"/>
      <c r="F65" s="1391">
        <v>-3648.5</v>
      </c>
      <c r="G65" s="2043"/>
      <c r="H65" s="1391">
        <v>-2430.7999999999993</v>
      </c>
      <c r="I65" s="2023"/>
      <c r="J65" s="1391">
        <v>-2167.7999999999993</v>
      </c>
      <c r="K65" s="2023"/>
      <c r="L65" s="1391">
        <v>-3552</v>
      </c>
      <c r="M65" s="2023"/>
      <c r="N65" s="1830">
        <v>-1944.1000000000022</v>
      </c>
      <c r="O65" s="2023"/>
      <c r="P65" s="1830">
        <v>-1590.1999999999989</v>
      </c>
      <c r="Q65" s="2023"/>
      <c r="R65" s="1830">
        <v>-2952.0000000000018</v>
      </c>
      <c r="S65" s="2023"/>
      <c r="T65" s="1830">
        <v>-4019.5</v>
      </c>
      <c r="U65" s="2023"/>
      <c r="V65" s="1830">
        <f t="shared" si="5"/>
        <v>-1579.3000000000029</v>
      </c>
      <c r="W65" s="2023"/>
      <c r="X65" s="1830"/>
      <c r="Y65" s="2803"/>
      <c r="Z65" s="2023"/>
      <c r="AA65" s="2825">
        <v>-30681.9</v>
      </c>
      <c r="AB65" s="2803"/>
      <c r="AC65" s="2023"/>
      <c r="AD65" s="2825">
        <v>-26588.9</v>
      </c>
      <c r="AE65" s="2789"/>
      <c r="AF65" s="2790"/>
      <c r="AG65" s="2820">
        <f>ROUND(SUM(-(AA65-AD65)),1)</f>
        <v>4093</v>
      </c>
      <c r="AH65" s="1484"/>
      <c r="AI65" s="1454">
        <f>ROUND(IF(AD65=0,0,AG65/ABS(AD65)),3)</f>
        <v>0.154</v>
      </c>
    </row>
    <row r="66" spans="1:38" ht="15">
      <c r="A66" s="1487"/>
      <c r="B66" s="2807"/>
      <c r="C66" s="2023"/>
      <c r="D66" s="2826"/>
      <c r="E66" s="2023"/>
      <c r="F66" s="2826"/>
      <c r="G66" s="2023"/>
      <c r="H66" s="2826"/>
      <c r="I66" s="2023"/>
      <c r="J66" s="2826"/>
      <c r="K66" s="2023"/>
      <c r="L66" s="2826"/>
      <c r="M66" s="2023"/>
      <c r="N66" s="2826"/>
      <c r="O66" s="2023"/>
      <c r="P66" s="2826"/>
      <c r="Q66" s="2023"/>
      <c r="R66" s="2826"/>
      <c r="S66" s="2023"/>
      <c r="T66" s="2826"/>
      <c r="U66" s="2023"/>
      <c r="V66" s="2826"/>
      <c r="W66" s="2023"/>
      <c r="X66" s="2826"/>
      <c r="Y66" s="2803"/>
      <c r="Z66" s="2023"/>
      <c r="AA66" s="2043"/>
      <c r="AB66" s="2803"/>
      <c r="AC66" s="2023"/>
      <c r="AD66" s="2043"/>
      <c r="AE66" s="2789"/>
      <c r="AF66" s="2790"/>
      <c r="AG66" s="2785"/>
      <c r="AH66" s="1484"/>
      <c r="AI66" s="1487"/>
    </row>
    <row r="67" spans="1:38" ht="14.25" customHeight="1">
      <c r="A67" s="2814" t="s">
        <v>962</v>
      </c>
      <c r="B67" s="2028">
        <f>ROUND(SUM(B64:B65),1)</f>
        <v>-4948.3</v>
      </c>
      <c r="C67" s="2793"/>
      <c r="D67" s="2028">
        <f>ROUND(SUM(D64:D65),1)</f>
        <v>-1423.5</v>
      </c>
      <c r="E67" s="2811"/>
      <c r="F67" s="2028">
        <f>ROUND(SUM(F64:F65),1)</f>
        <v>-3562</v>
      </c>
      <c r="G67" s="2811"/>
      <c r="H67" s="2028">
        <f>ROUND(SUM(H64:H65),1)</f>
        <v>-2148.9</v>
      </c>
      <c r="I67" s="2811"/>
      <c r="J67" s="2028">
        <f>ROUND(SUM(J64:J65),1)</f>
        <v>-1981.7</v>
      </c>
      <c r="K67" s="2811"/>
      <c r="L67" s="2028">
        <f>ROUND(SUM(L64:L65),1)</f>
        <v>-3281.1</v>
      </c>
      <c r="M67" s="2811"/>
      <c r="N67" s="2028">
        <f>ROUND(SUM(N64:N65),1)</f>
        <v>-1625.9</v>
      </c>
      <c r="O67" s="2811"/>
      <c r="P67" s="2028">
        <f>ROUND(SUM(P64:P65),1)</f>
        <v>-1496.7</v>
      </c>
      <c r="Q67" s="2811"/>
      <c r="R67" s="2028">
        <f>ROUND(SUM(R64:R65),1)</f>
        <v>-2575.1999999999998</v>
      </c>
      <c r="S67" s="2811"/>
      <c r="T67" s="2028">
        <f>ROUND(SUM(T64:T65),1)</f>
        <v>-3566</v>
      </c>
      <c r="U67" s="2811"/>
      <c r="V67" s="2028">
        <f>ROUND(SUM(V64:V65),1)</f>
        <v>-1360.3</v>
      </c>
      <c r="W67" s="2811"/>
      <c r="X67" s="2028">
        <f>ROUND(SUM(X64:X65),1)</f>
        <v>0</v>
      </c>
      <c r="Y67" s="2794"/>
      <c r="Z67" s="2793"/>
      <c r="AA67" s="2028">
        <f>ROUND(SUM(AA64:AA65),1)</f>
        <v>-27969.599999999999</v>
      </c>
      <c r="AB67" s="2794"/>
      <c r="AC67" s="2793"/>
      <c r="AD67" s="2028">
        <f>ROUND(SUM(AD64:AD65),1)</f>
        <v>-24034.2</v>
      </c>
      <c r="AE67" s="2795"/>
      <c r="AF67" s="2796"/>
      <c r="AG67" s="2028">
        <f>ROUND(SUM(AG64-AG65),1)</f>
        <v>-3935.4</v>
      </c>
      <c r="AH67" s="2754"/>
      <c r="AI67" s="1485">
        <f>ROUND(IF(AD67=0,0,AG67/ABS(AD67)),3)</f>
        <v>-0.16400000000000001</v>
      </c>
      <c r="AJ67" s="2813"/>
    </row>
    <row r="68" spans="1:38" ht="19.5" customHeight="1">
      <c r="A68" s="1487"/>
      <c r="B68" s="2023"/>
      <c r="C68" s="2023"/>
      <c r="D68" s="2827"/>
      <c r="E68" s="2023"/>
      <c r="F68" s="2827"/>
      <c r="G68" s="2023"/>
      <c r="H68" s="2827"/>
      <c r="I68" s="2023"/>
      <c r="J68" s="2827"/>
      <c r="K68" s="2023"/>
      <c r="L68" s="2827"/>
      <c r="M68" s="2023"/>
      <c r="N68" s="2827"/>
      <c r="O68" s="2023"/>
      <c r="P68" s="2827"/>
      <c r="Q68" s="2023"/>
      <c r="R68" s="2827"/>
      <c r="S68" s="2023"/>
      <c r="T68" s="2827"/>
      <c r="U68" s="2023"/>
      <c r="V68" s="2827"/>
      <c r="W68" s="2023"/>
      <c r="X68" s="2827"/>
      <c r="Y68" s="2803"/>
      <c r="Z68" s="2023"/>
      <c r="AA68" s="2043"/>
      <c r="AB68" s="2803"/>
      <c r="AC68" s="2023"/>
      <c r="AD68" s="2043"/>
      <c r="AE68" s="2789"/>
      <c r="AF68" s="2790"/>
      <c r="AG68" s="2785"/>
      <c r="AH68" s="1484"/>
      <c r="AI68" s="1487"/>
    </row>
    <row r="69" spans="1:38" ht="19.5" customHeight="1">
      <c r="A69" s="1487"/>
      <c r="B69" s="2023"/>
      <c r="C69" s="2023"/>
      <c r="D69" s="2827"/>
      <c r="E69" s="2023"/>
      <c r="F69" s="2827"/>
      <c r="G69" s="2023"/>
      <c r="H69" s="2827"/>
      <c r="I69" s="2023"/>
      <c r="J69" s="2827"/>
      <c r="K69" s="2023"/>
      <c r="L69" s="2827"/>
      <c r="M69" s="2023"/>
      <c r="N69" s="2827"/>
      <c r="O69" s="2023"/>
      <c r="P69" s="2827"/>
      <c r="Q69" s="2023"/>
      <c r="R69" s="2827"/>
      <c r="S69" s="2023"/>
      <c r="T69" s="2827"/>
      <c r="U69" s="2023"/>
      <c r="V69" s="2827"/>
      <c r="W69" s="2023"/>
      <c r="X69" s="2827"/>
      <c r="Y69" s="2803"/>
      <c r="Z69" s="2023"/>
      <c r="AA69" s="2043"/>
      <c r="AB69" s="2803"/>
      <c r="AC69" s="2023"/>
      <c r="AD69" s="2043"/>
      <c r="AE69" s="2789"/>
      <c r="AF69" s="2790"/>
      <c r="AG69" s="2785"/>
      <c r="AH69" s="1484"/>
      <c r="AI69" s="1487"/>
    </row>
    <row r="70" spans="1:38" ht="14.25" customHeight="1">
      <c r="A70" s="2525" t="s">
        <v>193</v>
      </c>
      <c r="B70" s="2023"/>
      <c r="C70" s="2023"/>
      <c r="D70" s="2823"/>
      <c r="E70" s="2023"/>
      <c r="F70" s="2823"/>
      <c r="G70" s="2023"/>
      <c r="H70" s="2823"/>
      <c r="I70" s="2023"/>
      <c r="J70" s="2823"/>
      <c r="K70" s="2023"/>
      <c r="L70" s="2823"/>
      <c r="M70" s="2023"/>
      <c r="N70" s="2823"/>
      <c r="O70" s="2023"/>
      <c r="P70" s="2823"/>
      <c r="Q70" s="2023"/>
      <c r="R70" s="2823"/>
      <c r="S70" s="2023"/>
      <c r="T70" s="2823"/>
      <c r="U70" s="2023"/>
      <c r="V70" s="2823"/>
      <c r="W70" s="2023"/>
      <c r="X70" s="2823"/>
      <c r="Y70" s="2803"/>
      <c r="Z70" s="2023"/>
      <c r="AA70" s="2043"/>
      <c r="AB70" s="2803"/>
      <c r="AC70" s="2023"/>
      <c r="AD70" s="2043"/>
      <c r="AE70" s="2789"/>
      <c r="AF70" s="2790"/>
      <c r="AG70" s="2785"/>
      <c r="AH70" s="1484"/>
      <c r="AI70" s="1487"/>
    </row>
    <row r="71" spans="1:38" ht="14.25" customHeight="1">
      <c r="A71" s="2525" t="s">
        <v>194</v>
      </c>
      <c r="B71" s="2023"/>
      <c r="C71" s="2023"/>
      <c r="D71" s="2823"/>
      <c r="E71" s="2023"/>
      <c r="F71" s="2823"/>
      <c r="G71" s="2023"/>
      <c r="H71" s="2823"/>
      <c r="I71" s="2023"/>
      <c r="J71" s="2823"/>
      <c r="K71" s="2023"/>
      <c r="L71" s="2823"/>
      <c r="M71" s="2023"/>
      <c r="N71" s="2823"/>
      <c r="O71" s="2023"/>
      <c r="P71" s="2823"/>
      <c r="Q71" s="2023"/>
      <c r="R71" s="2823"/>
      <c r="S71" s="2023"/>
      <c r="T71" s="2823"/>
      <c r="U71" s="2023"/>
      <c r="V71" s="2823"/>
      <c r="W71" s="2023"/>
      <c r="X71" s="2823"/>
      <c r="Y71" s="2803"/>
      <c r="Z71" s="2023"/>
      <c r="AA71" s="2043"/>
      <c r="AB71" s="2803"/>
      <c r="AC71" s="2023"/>
      <c r="AD71" s="2043"/>
      <c r="AE71" s="2789"/>
      <c r="AF71" s="2790"/>
      <c r="AG71" s="2785"/>
      <c r="AH71" s="1484"/>
      <c r="AI71" s="1487"/>
    </row>
    <row r="72" spans="1:38" ht="14.25" customHeight="1">
      <c r="A72" s="2525" t="s">
        <v>1246</v>
      </c>
      <c r="B72" s="2812">
        <f>ROUND(SUM(+B60+B67),1)</f>
        <v>250</v>
      </c>
      <c r="C72" s="2793"/>
      <c r="D72" s="2812">
        <f>ROUND(SUM(+D60+D67),1)</f>
        <v>369</v>
      </c>
      <c r="E72" s="2793"/>
      <c r="F72" s="2812">
        <f>ROUND(SUM(+F60+F67),1)</f>
        <v>-322.3</v>
      </c>
      <c r="G72" s="2793"/>
      <c r="H72" s="2812">
        <f>ROUND(SUM(+H60+H67),1)</f>
        <v>253.2</v>
      </c>
      <c r="I72" s="2793"/>
      <c r="J72" s="2812">
        <f>ROUND(SUM(+J60+J67),1)</f>
        <v>129.6</v>
      </c>
      <c r="K72" s="2793"/>
      <c r="L72" s="2812">
        <f>ROUND(SUM(+L60+L67),1)</f>
        <v>-437.3</v>
      </c>
      <c r="M72" s="2793"/>
      <c r="N72" s="2812">
        <f>ROUND(SUM(+N60+N67),1)</f>
        <v>297.39999999999998</v>
      </c>
      <c r="O72" s="2793"/>
      <c r="P72" s="2812">
        <f>ROUND(SUM(+P60+P67),1)</f>
        <v>357.9</v>
      </c>
      <c r="Q72" s="2793"/>
      <c r="R72" s="2812">
        <f>ROUND(SUM(+R60+R67),1)</f>
        <v>22.8</v>
      </c>
      <c r="S72" s="2793"/>
      <c r="T72" s="2812">
        <f>ROUND(SUM(+T60+T67),1)</f>
        <v>1596.4</v>
      </c>
      <c r="U72" s="2793"/>
      <c r="V72" s="2812">
        <f>ROUND(SUM(+V60+V67),1)</f>
        <v>429.1</v>
      </c>
      <c r="W72" s="2793"/>
      <c r="X72" s="2812">
        <f>ROUND(SUM(+X60+X67),1)</f>
        <v>0</v>
      </c>
      <c r="Y72" s="2794"/>
      <c r="Z72" s="2793"/>
      <c r="AA72" s="2812">
        <f>ROUND(SUM(+AA60+AA67),1)</f>
        <v>2945.8</v>
      </c>
      <c r="AB72" s="2794"/>
      <c r="AC72" s="2793"/>
      <c r="AD72" s="2812">
        <f>ROUND(SUM(+AD60+AD67),1)</f>
        <v>3550.7</v>
      </c>
      <c r="AE72" s="2795"/>
      <c r="AF72" s="2796"/>
      <c r="AG72" s="2812">
        <f>ROUND(SUM(+AG60+AG67),1)</f>
        <v>-604.9</v>
      </c>
      <c r="AH72" s="2754"/>
      <c r="AI72" s="1494">
        <f>ROUND(IF(AD72=0,0,AG72/ABS(AD72)),3)</f>
        <v>-0.17</v>
      </c>
      <c r="AJ72" s="2813"/>
    </row>
    <row r="73" spans="1:38" ht="15">
      <c r="A73" s="1487"/>
      <c r="B73" s="2025"/>
      <c r="C73" s="2025"/>
      <c r="D73" s="2828"/>
      <c r="E73" s="2025"/>
      <c r="F73" s="2829"/>
      <c r="G73" s="2025"/>
      <c r="H73" s="2829"/>
      <c r="I73" s="2025"/>
      <c r="J73" s="2829"/>
      <c r="K73" s="2025"/>
      <c r="L73" s="2830"/>
      <c r="M73" s="2025"/>
      <c r="N73" s="2829"/>
      <c r="O73" s="2025"/>
      <c r="P73" s="2829"/>
      <c r="Q73" s="2025"/>
      <c r="R73" s="2829"/>
      <c r="S73" s="2025"/>
      <c r="T73" s="2829"/>
      <c r="U73" s="2025"/>
      <c r="V73" s="2829"/>
      <c r="W73" s="2025"/>
      <c r="X73" s="2829"/>
      <c r="Y73" s="2780"/>
      <c r="Z73" s="2025"/>
      <c r="AA73" s="2025" t="s">
        <v>15</v>
      </c>
      <c r="AB73" s="2780"/>
      <c r="AC73" s="2025"/>
      <c r="AD73" s="3627"/>
      <c r="AE73" s="2767"/>
      <c r="AF73" s="2781"/>
      <c r="AG73" s="2782"/>
      <c r="AH73" s="1484"/>
      <c r="AI73" s="1487"/>
    </row>
    <row r="74" spans="1:38" ht="15">
      <c r="A74" s="1487"/>
      <c r="B74" s="1487"/>
      <c r="C74" s="1487"/>
      <c r="D74" s="2766"/>
      <c r="E74" s="1487"/>
      <c r="F74" s="2782"/>
      <c r="G74" s="1487"/>
      <c r="H74" s="1484"/>
      <c r="I74" s="1487"/>
      <c r="J74" s="1484"/>
      <c r="K74" s="1487"/>
      <c r="L74" s="2831"/>
      <c r="M74" s="1487"/>
      <c r="N74" s="1484"/>
      <c r="O74" s="1487"/>
      <c r="P74" s="1484"/>
      <c r="Q74" s="1487"/>
      <c r="R74" s="1484"/>
      <c r="S74" s="1487"/>
      <c r="T74" s="2782"/>
      <c r="U74" s="2025"/>
      <c r="V74" s="2782"/>
      <c r="W74" s="2025"/>
      <c r="X74" s="2782"/>
      <c r="Y74" s="2779"/>
      <c r="Z74" s="1487"/>
      <c r="AA74" s="2025"/>
      <c r="AB74" s="2780"/>
      <c r="AC74" s="2025"/>
      <c r="AD74" s="2678"/>
      <c r="AE74" s="2770"/>
      <c r="AF74" s="2781"/>
      <c r="AG74" s="2782"/>
      <c r="AH74" s="1484"/>
      <c r="AI74" s="1487"/>
    </row>
    <row r="75" spans="1:38" ht="19.5" customHeight="1" thickBot="1">
      <c r="A75" s="2525" t="s">
        <v>142</v>
      </c>
      <c r="B75" s="2832">
        <f>ROUND(SUM(B12+B72),1)</f>
        <v>314.8</v>
      </c>
      <c r="C75" s="2505"/>
      <c r="D75" s="2832">
        <f>ROUND(SUM(D12+D72),1)</f>
        <v>683.8</v>
      </c>
      <c r="E75" s="2505"/>
      <c r="F75" s="2832">
        <f>ROUND(SUM(F12+F72),1)</f>
        <v>361.5</v>
      </c>
      <c r="G75" s="2505"/>
      <c r="H75" s="2832">
        <f>ROUND(SUM(H12+H72),1)</f>
        <v>614.70000000000005</v>
      </c>
      <c r="I75" s="2505"/>
      <c r="J75" s="2832">
        <f>ROUND(SUM(J12+J72),1)</f>
        <v>744.3</v>
      </c>
      <c r="K75" s="2505"/>
      <c r="L75" s="2832">
        <f>ROUND(SUM(L12+L72),1)</f>
        <v>307</v>
      </c>
      <c r="M75" s="2505"/>
      <c r="N75" s="2832">
        <f>ROUND(SUM(N12+N72),1)</f>
        <v>604.4</v>
      </c>
      <c r="O75" s="2505"/>
      <c r="P75" s="2832">
        <f>ROUND(SUM(P12+P72),1)</f>
        <v>962.3</v>
      </c>
      <c r="Q75" s="2505"/>
      <c r="R75" s="2832">
        <f>ROUND(SUM(R12+R72),1)</f>
        <v>985.1</v>
      </c>
      <c r="S75" s="2505"/>
      <c r="T75" s="2832">
        <f>ROUND(SUM(T12+T72),1)</f>
        <v>2581.5</v>
      </c>
      <c r="U75" s="2505"/>
      <c r="V75" s="2832">
        <f>ROUND(SUM(V12+V72),1)</f>
        <v>3010.6</v>
      </c>
      <c r="W75" s="2505"/>
      <c r="X75" s="2832">
        <f>ROUND(SUM(X12+X72),1)</f>
        <v>0</v>
      </c>
      <c r="Y75" s="2774"/>
      <c r="Z75" s="2505"/>
      <c r="AA75" s="2832">
        <f>ROUND(SUM(AA12+AA72),1)</f>
        <v>3010.6</v>
      </c>
      <c r="AB75" s="2774"/>
      <c r="AC75" s="2505"/>
      <c r="AD75" s="2832">
        <f>ROUND(SUM(AD12+AD72),1)</f>
        <v>3703.8</v>
      </c>
      <c r="AE75" s="2833"/>
      <c r="AF75" s="2776"/>
      <c r="AG75" s="2832">
        <f>ROUND(SUM(+AG12+AG72),1)</f>
        <v>-693.2</v>
      </c>
      <c r="AH75" s="2754"/>
      <c r="AI75" s="2375">
        <f>ROUND(IF(AD75=0,0,AG75/ABS(AD75)),3)</f>
        <v>-0.187</v>
      </c>
      <c r="AJ75" s="2834"/>
      <c r="AK75" s="2798"/>
      <c r="AL75" s="2798"/>
    </row>
    <row r="76" spans="1:38" ht="14.25" customHeight="1" thickTop="1">
      <c r="A76" s="2798"/>
      <c r="B76" s="2835"/>
      <c r="C76" s="2836"/>
      <c r="D76" s="2835"/>
      <c r="F76" s="2835"/>
      <c r="H76" s="2837"/>
      <c r="J76" s="2837"/>
      <c r="L76" s="2837"/>
      <c r="N76" s="2837"/>
      <c r="P76" s="2837"/>
      <c r="R76" s="2837"/>
      <c r="T76" s="2837"/>
      <c r="U76" s="2744"/>
      <c r="V76" s="2837"/>
      <c r="W76" s="2744"/>
      <c r="X76" s="2837"/>
      <c r="Y76" s="2835"/>
      <c r="Z76" s="2836"/>
      <c r="AA76" s="2835"/>
      <c r="AB76" s="2835"/>
      <c r="AC76" s="2836"/>
      <c r="AD76" s="2835"/>
      <c r="AE76" s="2838"/>
      <c r="AF76" s="2835"/>
      <c r="AG76" s="2835"/>
      <c r="AH76" s="2839"/>
      <c r="AI76" s="2840"/>
    </row>
    <row r="77" spans="1:38">
      <c r="L77" s="2744"/>
      <c r="T77" s="2841"/>
      <c r="U77" s="2841"/>
      <c r="V77" s="2841"/>
      <c r="W77" s="2841"/>
      <c r="X77" s="2841"/>
      <c r="AD77" s="2842"/>
    </row>
    <row r="78" spans="1:38" ht="12" customHeight="1">
      <c r="A78" s="1487"/>
      <c r="L78" s="2744"/>
      <c r="R78" s="2843"/>
      <c r="T78" s="2836"/>
      <c r="V78" s="2836"/>
      <c r="X78" s="2836"/>
    </row>
    <row r="79" spans="1:38">
      <c r="B79" s="2842"/>
      <c r="L79" s="2744"/>
      <c r="R79" s="2843"/>
      <c r="T79" s="2836"/>
      <c r="V79" s="2836"/>
      <c r="X79" s="2836"/>
    </row>
    <row r="80" spans="1:38">
      <c r="A80" s="2844"/>
      <c r="L80" s="2744"/>
    </row>
    <row r="81" spans="1:35">
      <c r="A81" s="2845"/>
      <c r="B81" s="2842"/>
      <c r="L81" s="2744"/>
      <c r="R81" s="2846"/>
    </row>
    <row r="82" spans="1:35">
      <c r="A82" s="2847"/>
      <c r="B82" s="2842"/>
      <c r="L82" s="2744"/>
    </row>
    <row r="83" spans="1:35">
      <c r="A83" s="2848"/>
      <c r="L83" s="2744"/>
      <c r="AI83" s="2836"/>
    </row>
    <row r="84" spans="1:35">
      <c r="L84" s="2744"/>
    </row>
    <row r="85" spans="1:35">
      <c r="L85" s="2744"/>
    </row>
    <row r="86" spans="1:35">
      <c r="L86" s="2744"/>
    </row>
    <row r="87" spans="1:35">
      <c r="L87" s="2744"/>
    </row>
    <row r="88" spans="1:35">
      <c r="L88" s="2744"/>
    </row>
    <row r="89" spans="1:35">
      <c r="L89" s="2744"/>
    </row>
    <row r="90" spans="1:35">
      <c r="L90" s="2744"/>
    </row>
    <row r="91" spans="1:35">
      <c r="L91" s="2744"/>
    </row>
    <row r="92" spans="1:35">
      <c r="L92" s="2744"/>
    </row>
    <row r="93" spans="1:35">
      <c r="L93" s="2744"/>
    </row>
    <row r="94" spans="1:35">
      <c r="L94" s="2744"/>
    </row>
    <row r="95" spans="1:35">
      <c r="L95" s="2744"/>
    </row>
    <row r="96" spans="1:35">
      <c r="L96" s="2744"/>
    </row>
    <row r="97" spans="12:12">
      <c r="L97" s="2744"/>
    </row>
    <row r="98" spans="12:12">
      <c r="L98" s="2744"/>
    </row>
    <row r="99" spans="12:12">
      <c r="L99" s="2744"/>
    </row>
    <row r="100" spans="12:12">
      <c r="L100" s="2744"/>
    </row>
    <row r="101" spans="12:12">
      <c r="L101" s="2744"/>
    </row>
    <row r="102" spans="12:12">
      <c r="L102" s="2744"/>
    </row>
    <row r="103" spans="12:12">
      <c r="L103" s="2744"/>
    </row>
    <row r="104" spans="12:12">
      <c r="L104" s="2744"/>
    </row>
    <row r="105" spans="12:12">
      <c r="L105" s="2744"/>
    </row>
    <row r="106" spans="12:12">
      <c r="L106" s="2744"/>
    </row>
    <row r="107" spans="12:12">
      <c r="L107" s="2744"/>
    </row>
    <row r="108" spans="12:12">
      <c r="L108" s="2744"/>
    </row>
    <row r="109" spans="12:12">
      <c r="L109" s="2744"/>
    </row>
    <row r="110" spans="12:12">
      <c r="L110" s="2744"/>
    </row>
    <row r="111" spans="12:12">
      <c r="L111" s="2744"/>
    </row>
    <row r="112" spans="12:12">
      <c r="L112" s="2744"/>
    </row>
    <row r="113" spans="12:12">
      <c r="L113" s="2744"/>
    </row>
    <row r="114" spans="12:12">
      <c r="L114" s="2744"/>
    </row>
    <row r="115" spans="12:12">
      <c r="L115" s="2744"/>
    </row>
    <row r="116" spans="12:12">
      <c r="L116" s="2744"/>
    </row>
    <row r="117" spans="12:12">
      <c r="L117" s="2744"/>
    </row>
    <row r="118" spans="12:12">
      <c r="L118" s="2744"/>
    </row>
    <row r="119" spans="12:12">
      <c r="L119" s="2744"/>
    </row>
    <row r="120" spans="12:12">
      <c r="L120" s="2744"/>
    </row>
    <row r="121" spans="12:12">
      <c r="L121" s="2744"/>
    </row>
    <row r="122" spans="12:12">
      <c r="L122" s="2744"/>
    </row>
    <row r="123" spans="12:12">
      <c r="L123" s="2744"/>
    </row>
    <row r="124" spans="12:12">
      <c r="L124" s="2744"/>
    </row>
    <row r="125" spans="12:12">
      <c r="L125" s="2744"/>
    </row>
    <row r="126" spans="12:12">
      <c r="L126" s="2744"/>
    </row>
    <row r="127" spans="12:12">
      <c r="L127" s="2744"/>
    </row>
    <row r="128" spans="12:12">
      <c r="L128" s="2744"/>
    </row>
    <row r="129" spans="12:12">
      <c r="L129" s="2744"/>
    </row>
    <row r="130" spans="12:12">
      <c r="L130" s="2744"/>
    </row>
    <row r="131" spans="12:12">
      <c r="L131" s="2744"/>
    </row>
    <row r="132" spans="12:12">
      <c r="L132" s="2744"/>
    </row>
    <row r="133" spans="12:12">
      <c r="L133" s="2744"/>
    </row>
    <row r="134" spans="12:12">
      <c r="L134" s="2744"/>
    </row>
    <row r="135" spans="12:12">
      <c r="L135" s="2744"/>
    </row>
    <row r="136" spans="12:12">
      <c r="L136" s="2744"/>
    </row>
    <row r="137" spans="12:12">
      <c r="L137" s="2744"/>
    </row>
    <row r="138" spans="12:12">
      <c r="L138" s="2744"/>
    </row>
    <row r="139" spans="12:12">
      <c r="L139" s="2744"/>
    </row>
    <row r="140" spans="12:12">
      <c r="L140" s="2744"/>
    </row>
    <row r="141" spans="12:12">
      <c r="L141" s="2744"/>
    </row>
    <row r="142" spans="12:12">
      <c r="L142" s="2744"/>
    </row>
    <row r="143" spans="12:12">
      <c r="L143" s="2744"/>
    </row>
    <row r="144" spans="12:12">
      <c r="L144" s="2744"/>
    </row>
    <row r="145" spans="12:12">
      <c r="L145" s="2744"/>
    </row>
    <row r="146" spans="12:12">
      <c r="L146" s="2744"/>
    </row>
    <row r="147" spans="12:12">
      <c r="L147" s="2744"/>
    </row>
    <row r="148" spans="12:12">
      <c r="L148" s="2744"/>
    </row>
    <row r="149" spans="12:12">
      <c r="L149" s="2744"/>
    </row>
    <row r="150" spans="12:12">
      <c r="L150" s="2744"/>
    </row>
    <row r="151" spans="12:12">
      <c r="L151" s="2744"/>
    </row>
    <row r="152" spans="12:12">
      <c r="L152" s="2744"/>
    </row>
    <row r="153" spans="12:12">
      <c r="L153" s="2744"/>
    </row>
    <row r="154" spans="12:12">
      <c r="L154" s="2744"/>
    </row>
    <row r="155" spans="12:12">
      <c r="L155" s="2744"/>
    </row>
    <row r="156" spans="12:12">
      <c r="L156" s="2744"/>
    </row>
    <row r="157" spans="12:12">
      <c r="L157" s="2744"/>
    </row>
    <row r="158" spans="12:12">
      <c r="L158" s="2744"/>
    </row>
    <row r="159" spans="12:12">
      <c r="L159" s="2744"/>
    </row>
    <row r="160" spans="12:12">
      <c r="L160" s="2744"/>
    </row>
    <row r="161" spans="12:12">
      <c r="L161" s="2744"/>
    </row>
    <row r="162" spans="12:12">
      <c r="L162" s="2744"/>
    </row>
    <row r="163" spans="12:12">
      <c r="L163" s="2744"/>
    </row>
    <row r="164" spans="12:12">
      <c r="L164" s="2744"/>
    </row>
    <row r="165" spans="12:12">
      <c r="L165" s="2744"/>
    </row>
    <row r="166" spans="12:12">
      <c r="L166" s="2744"/>
    </row>
    <row r="167" spans="12:12">
      <c r="L167" s="2744"/>
    </row>
    <row r="168" spans="12:12">
      <c r="L168" s="2744"/>
    </row>
    <row r="169" spans="12:12">
      <c r="L169" s="2744"/>
    </row>
    <row r="170" spans="12:12">
      <c r="L170" s="2744"/>
    </row>
    <row r="171" spans="12:12">
      <c r="L171" s="2744"/>
    </row>
    <row r="172" spans="12:12">
      <c r="L172" s="2744"/>
    </row>
    <row r="173" spans="12:12">
      <c r="L173" s="2744"/>
    </row>
    <row r="174" spans="12:12">
      <c r="L174" s="2744"/>
    </row>
    <row r="175" spans="12:12">
      <c r="L175" s="2744"/>
    </row>
    <row r="176" spans="12:12">
      <c r="L176" s="2744"/>
    </row>
    <row r="177" spans="12:12">
      <c r="L177" s="2744"/>
    </row>
    <row r="178" spans="12:12">
      <c r="L178" s="2744"/>
    </row>
    <row r="179" spans="12:12">
      <c r="L179" s="2744"/>
    </row>
    <row r="180" spans="12:12">
      <c r="L180" s="2744"/>
    </row>
    <row r="181" spans="12:12">
      <c r="L181" s="2744"/>
    </row>
    <row r="182" spans="12:12">
      <c r="L182" s="2744"/>
    </row>
    <row r="183" spans="12:12">
      <c r="L183" s="2744"/>
    </row>
    <row r="184" spans="12:12">
      <c r="L184" s="2744"/>
    </row>
    <row r="185" spans="12:12">
      <c r="L185" s="2744"/>
    </row>
    <row r="186" spans="12:12">
      <c r="L186" s="2744"/>
    </row>
    <row r="187" spans="12:12">
      <c r="L187" s="2744"/>
    </row>
    <row r="188" spans="12:12">
      <c r="L188" s="2744"/>
    </row>
    <row r="189" spans="12:12">
      <c r="L189" s="2744"/>
    </row>
    <row r="190" spans="12:12">
      <c r="L190" s="2744"/>
    </row>
    <row r="191" spans="12:12">
      <c r="L191" s="2744"/>
    </row>
    <row r="192" spans="12:12">
      <c r="L192" s="2744"/>
    </row>
    <row r="193" spans="12:12">
      <c r="L193" s="2744"/>
    </row>
    <row r="194" spans="12:12">
      <c r="L194" s="2744"/>
    </row>
    <row r="195" spans="12:12">
      <c r="L195" s="2744"/>
    </row>
    <row r="196" spans="12:12">
      <c r="L196" s="2744"/>
    </row>
    <row r="197" spans="12:12">
      <c r="L197" s="2744"/>
    </row>
    <row r="198" spans="12:12">
      <c r="L198" s="2744"/>
    </row>
    <row r="199" spans="12:12">
      <c r="L199" s="2744"/>
    </row>
    <row r="200" spans="12:12">
      <c r="L200" s="2744"/>
    </row>
    <row r="201" spans="12:12">
      <c r="L201" s="2744"/>
    </row>
    <row r="202" spans="12:12">
      <c r="L202" s="2744"/>
    </row>
    <row r="203" spans="12:12">
      <c r="L203" s="2744"/>
    </row>
    <row r="204" spans="12:12">
      <c r="L204" s="2744"/>
    </row>
    <row r="205" spans="12:12">
      <c r="L205" s="2744"/>
    </row>
    <row r="206" spans="12:12">
      <c r="L206" s="2744"/>
    </row>
    <row r="207" spans="12:12">
      <c r="L207" s="2744"/>
    </row>
    <row r="208" spans="12:12">
      <c r="L208" s="2744"/>
    </row>
    <row r="209" spans="12:12">
      <c r="L209" s="2744"/>
    </row>
    <row r="210" spans="12:12">
      <c r="L210" s="2744"/>
    </row>
    <row r="211" spans="12:12">
      <c r="L211" s="2744"/>
    </row>
    <row r="212" spans="12:12">
      <c r="L212" s="2744"/>
    </row>
    <row r="213" spans="12:12">
      <c r="L213" s="2744"/>
    </row>
    <row r="214" spans="12:12">
      <c r="L214" s="2744"/>
    </row>
    <row r="215" spans="12:12">
      <c r="L215" s="2744"/>
    </row>
    <row r="216" spans="12:12">
      <c r="L216" s="2744"/>
    </row>
    <row r="217" spans="12:12">
      <c r="L217" s="2744"/>
    </row>
    <row r="218" spans="12:12">
      <c r="L218" s="2744"/>
    </row>
    <row r="219" spans="12:12">
      <c r="L219" s="2744"/>
    </row>
    <row r="220" spans="12:12">
      <c r="L220" s="2744"/>
    </row>
    <row r="221" spans="12:12">
      <c r="L221" s="2744"/>
    </row>
    <row r="222" spans="12:12">
      <c r="L222" s="2744"/>
    </row>
    <row r="223" spans="12:12">
      <c r="L223" s="2744"/>
    </row>
    <row r="224" spans="12:12">
      <c r="L224" s="2744"/>
    </row>
    <row r="225" spans="12:12">
      <c r="L225" s="2744"/>
    </row>
    <row r="226" spans="12:12">
      <c r="L226" s="2744"/>
    </row>
    <row r="227" spans="12:12">
      <c r="L227" s="2744"/>
    </row>
    <row r="228" spans="12:12">
      <c r="L228" s="2744"/>
    </row>
    <row r="229" spans="12:12">
      <c r="L229" s="2744"/>
    </row>
    <row r="230" spans="12:12">
      <c r="L230" s="2744"/>
    </row>
    <row r="231" spans="12:12">
      <c r="L231" s="2744"/>
    </row>
    <row r="232" spans="12:12">
      <c r="L232" s="2744"/>
    </row>
    <row r="233" spans="12:12">
      <c r="L233" s="2744"/>
    </row>
    <row r="234" spans="12:12">
      <c r="L234" s="2744"/>
    </row>
    <row r="235" spans="12:12">
      <c r="L235" s="2744"/>
    </row>
    <row r="236" spans="12:12">
      <c r="L236" s="2744"/>
    </row>
    <row r="237" spans="12:12">
      <c r="L237" s="2744"/>
    </row>
    <row r="238" spans="12:12">
      <c r="L238" s="2744"/>
    </row>
    <row r="239" spans="12:12">
      <c r="L239" s="2744"/>
    </row>
    <row r="240" spans="12:12">
      <c r="L240" s="2744"/>
    </row>
    <row r="241" spans="12:12">
      <c r="L241" s="2744"/>
    </row>
    <row r="242" spans="12:12">
      <c r="L242" s="2744"/>
    </row>
    <row r="243" spans="12:12">
      <c r="L243" s="2744"/>
    </row>
    <row r="244" spans="12:12">
      <c r="L244" s="2744"/>
    </row>
    <row r="245" spans="12:12">
      <c r="L245" s="2744"/>
    </row>
    <row r="246" spans="12:12">
      <c r="L246" s="2744"/>
    </row>
    <row r="247" spans="12:12">
      <c r="L247" s="2744"/>
    </row>
    <row r="248" spans="12:12">
      <c r="L248" s="2744"/>
    </row>
    <row r="249" spans="12:12">
      <c r="L249" s="2744"/>
    </row>
    <row r="250" spans="12:12">
      <c r="L250" s="2744"/>
    </row>
    <row r="251" spans="12:12">
      <c r="L251" s="2744"/>
    </row>
    <row r="252" spans="12:12">
      <c r="L252" s="2744"/>
    </row>
    <row r="253" spans="12:12">
      <c r="L253" s="2744"/>
    </row>
    <row r="254" spans="12:12">
      <c r="L254" s="2744"/>
    </row>
    <row r="255" spans="12:12">
      <c r="L255" s="2744"/>
    </row>
    <row r="256" spans="12:12">
      <c r="L256" s="2744"/>
    </row>
    <row r="257" spans="12:12">
      <c r="L257" s="2744"/>
    </row>
    <row r="258" spans="12:12">
      <c r="L258" s="2744"/>
    </row>
    <row r="259" spans="12:12">
      <c r="L259" s="2744"/>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zoomScaleNormal="85" workbookViewId="0"/>
  </sheetViews>
  <sheetFormatPr defaultColWidth="8.88671875" defaultRowHeight="15"/>
  <cols>
    <col min="1" max="1" width="2.5546875" style="101" customWidth="1"/>
    <col min="2" max="2" width="15.88671875" style="101" customWidth="1"/>
    <col min="3" max="3" width="25.109375" style="101" customWidth="1"/>
    <col min="4" max="4" width="2" style="101" customWidth="1"/>
    <col min="5" max="5" width="12.5546875" style="101" customWidth="1"/>
    <col min="6" max="6" width="1.88671875" style="101" customWidth="1"/>
    <col min="7" max="7" width="10.88671875" style="101" customWidth="1"/>
    <col min="8" max="8" width="1.88671875" style="101" customWidth="1"/>
    <col min="9" max="9" width="10.88671875" style="101" customWidth="1"/>
    <col min="10" max="10" width="1.88671875" style="101" customWidth="1"/>
    <col min="11" max="11" width="10" style="101" customWidth="1"/>
    <col min="12" max="12" width="1.109375" style="101" customWidth="1"/>
    <col min="13" max="13" width="10.5546875" style="101" customWidth="1"/>
    <col min="14" max="14" width="1.88671875" style="101" customWidth="1"/>
    <col min="15" max="15" width="12.44140625" style="101" customWidth="1"/>
    <col min="16" max="16" width="1.88671875" style="101" customWidth="1"/>
    <col min="17" max="17" width="12.109375" style="101" customWidth="1"/>
    <col min="18" max="18" width="1.88671875" style="101" customWidth="1"/>
    <col min="19" max="19" width="12.109375" style="101" customWidth="1"/>
    <col min="20" max="20" width="1.88671875" style="101" customWidth="1"/>
    <col min="21" max="21" width="10.88671875" style="101" customWidth="1"/>
    <col min="22" max="22" width="1.88671875" style="101" customWidth="1"/>
    <col min="23" max="23" width="13.88671875" style="101" customWidth="1"/>
    <col min="24" max="24" width="1.88671875" style="101" customWidth="1"/>
    <col min="25" max="25" width="12.88671875" style="101" customWidth="1"/>
    <col min="26" max="26" width="1.88671875" style="101" customWidth="1"/>
    <col min="27" max="27" width="11.88671875" style="101" bestFit="1" customWidth="1"/>
    <col min="28" max="28" width="1.44140625" style="101" customWidth="1"/>
    <col min="29" max="29" width="11.109375" style="101" customWidth="1"/>
    <col min="30" max="31" width="1.88671875" style="101" customWidth="1"/>
    <col min="32" max="32" width="12.88671875" style="101" customWidth="1"/>
    <col min="33" max="34" width="1.109375" style="101" customWidth="1"/>
    <col min="35" max="35" width="12.88671875" style="1104" customWidth="1"/>
    <col min="36" max="37" width="1" style="101" customWidth="1"/>
    <col min="38" max="38" width="13.109375" style="101" bestFit="1" customWidth="1"/>
    <col min="39" max="39" width="1.109375" style="101" customWidth="1"/>
    <col min="40" max="40" width="12.109375" style="101" customWidth="1"/>
    <col min="41" max="16384" width="8.88671875" style="101"/>
  </cols>
  <sheetData>
    <row r="1" spans="1:42">
      <c r="B1" s="653" t="s">
        <v>979</v>
      </c>
    </row>
    <row r="2" spans="1:42">
      <c r="B2" s="836"/>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06"/>
      <c r="AJ3" s="318"/>
      <c r="AK3" s="318"/>
      <c r="AN3" s="397" t="s">
        <v>195</v>
      </c>
    </row>
    <row r="4" spans="1:42" ht="19.5" customHeight="1">
      <c r="A4" s="316"/>
      <c r="B4" s="322" t="s">
        <v>1008</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06"/>
      <c r="AJ5" s="318"/>
      <c r="AK5" s="318"/>
      <c r="AN5" s="270"/>
    </row>
    <row r="6" spans="1:42" ht="19.5" customHeight="1">
      <c r="A6" s="316"/>
      <c r="B6" s="1569" t="str">
        <f>'Cashflow Governmental'!A6</f>
        <v xml:space="preserve">FISCAL YEAR 2019-2020   </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11"/>
      <c r="AJ6" s="321"/>
      <c r="AK6" s="321"/>
    </row>
    <row r="7" spans="1:42" ht="19.5" customHeight="1">
      <c r="A7" s="316"/>
      <c r="B7" s="322" t="s">
        <v>1420</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11"/>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66"/>
      <c r="F11" s="767"/>
      <c r="G11" s="767"/>
      <c r="H11" s="767"/>
      <c r="I11" s="767"/>
      <c r="J11" s="767"/>
      <c r="K11" s="767"/>
      <c r="L11" s="767"/>
      <c r="M11" s="767"/>
      <c r="N11" s="767"/>
      <c r="O11" s="767"/>
      <c r="P11" s="767"/>
      <c r="Q11" s="767"/>
      <c r="R11" s="767"/>
      <c r="S11" s="767"/>
      <c r="T11" s="767"/>
      <c r="U11" s="767"/>
      <c r="V11" s="767"/>
      <c r="W11" s="767"/>
      <c r="X11" s="767"/>
      <c r="Y11" s="767"/>
      <c r="Z11" s="767"/>
      <c r="AA11" s="767"/>
      <c r="AB11" s="767"/>
      <c r="AC11" s="764" t="s">
        <v>1285</v>
      </c>
      <c r="AD11" s="767"/>
      <c r="AE11" s="768"/>
      <c r="AF11" s="3932" t="s">
        <v>1594</v>
      </c>
      <c r="AG11" s="3933"/>
      <c r="AH11" s="3933"/>
      <c r="AI11" s="3933"/>
      <c r="AJ11" s="3933"/>
      <c r="AK11" s="3933"/>
      <c r="AL11" s="3933"/>
      <c r="AM11" s="3933"/>
      <c r="AN11" s="3933"/>
    </row>
    <row r="12" spans="1:42" ht="15.75" customHeight="1">
      <c r="A12" s="325"/>
      <c r="B12" s="325"/>
      <c r="C12" s="325"/>
      <c r="D12" s="325"/>
      <c r="E12" s="756" t="str">
        <f>'Cashflow Governmental'!C13</f>
        <v>2019</v>
      </c>
      <c r="F12" s="769"/>
      <c r="G12" s="769"/>
      <c r="H12" s="769"/>
      <c r="I12" s="769"/>
      <c r="J12" s="769"/>
      <c r="K12" s="769"/>
      <c r="L12" s="769"/>
      <c r="M12" s="769"/>
      <c r="N12" s="769"/>
      <c r="O12" s="769"/>
      <c r="P12" s="769"/>
      <c r="Q12" s="769"/>
      <c r="R12" s="769"/>
      <c r="S12" s="769"/>
      <c r="T12" s="769"/>
      <c r="U12" s="769"/>
      <c r="V12" s="769"/>
      <c r="W12" s="756" t="str">
        <f>'Cashflow Governmental'!U13</f>
        <v>2020</v>
      </c>
      <c r="X12" s="769"/>
      <c r="Y12" s="769"/>
      <c r="Z12" s="769"/>
      <c r="AA12" s="769"/>
      <c r="AB12" s="769"/>
      <c r="AC12" s="764" t="s">
        <v>1286</v>
      </c>
      <c r="AD12" s="769"/>
      <c r="AE12" s="769"/>
      <c r="AF12" s="770"/>
      <c r="AG12" s="770"/>
      <c r="AH12" s="770"/>
      <c r="AI12" s="1113"/>
      <c r="AJ12" s="770"/>
      <c r="AK12" s="770"/>
      <c r="AL12" s="760" t="s">
        <v>8</v>
      </c>
      <c r="AM12" s="760"/>
      <c r="AN12" s="757" t="s">
        <v>9</v>
      </c>
      <c r="AO12" s="773"/>
    </row>
    <row r="13" spans="1:42" ht="15.75" customHeight="1">
      <c r="A13" s="31"/>
      <c r="B13" s="31"/>
      <c r="C13" s="31"/>
      <c r="D13" s="31"/>
      <c r="E13" s="1132" t="s">
        <v>125</v>
      </c>
      <c r="F13" s="254"/>
      <c r="G13" s="1132" t="s">
        <v>126</v>
      </c>
      <c r="H13" s="254"/>
      <c r="I13" s="1132" t="s">
        <v>127</v>
      </c>
      <c r="J13" s="254"/>
      <c r="K13" s="1132" t="s">
        <v>128</v>
      </c>
      <c r="L13" s="254"/>
      <c r="M13" s="1978" t="s">
        <v>129</v>
      </c>
      <c r="N13" s="254"/>
      <c r="O13" s="1132" t="s">
        <v>144</v>
      </c>
      <c r="P13" s="254"/>
      <c r="Q13" s="1132" t="s">
        <v>145</v>
      </c>
      <c r="R13" s="254"/>
      <c r="S13" s="1132" t="s">
        <v>132</v>
      </c>
      <c r="T13" s="254"/>
      <c r="U13" s="1132" t="s">
        <v>133</v>
      </c>
      <c r="V13" s="254"/>
      <c r="W13" s="1132" t="s">
        <v>134</v>
      </c>
      <c r="X13" s="254"/>
      <c r="Y13" s="1132" t="s">
        <v>135</v>
      </c>
      <c r="Z13" s="254"/>
      <c r="AA13" s="1132" t="s">
        <v>186</v>
      </c>
      <c r="AB13" s="764"/>
      <c r="AC13" s="1994" t="s">
        <v>1287</v>
      </c>
      <c r="AD13" s="254"/>
      <c r="AE13" s="254"/>
      <c r="AF13" s="1132">
        <f>'Cashflow Governmental'!AB14</f>
        <v>2020</v>
      </c>
      <c r="AG13" s="254"/>
      <c r="AH13" s="254"/>
      <c r="AI13" s="771">
        <f>'Cashflow Governmental'!AE14</f>
        <v>2019</v>
      </c>
      <c r="AJ13" s="772"/>
      <c r="AK13" s="772"/>
      <c r="AL13" s="765" t="s">
        <v>12</v>
      </c>
      <c r="AM13" s="759"/>
      <c r="AN13" s="765" t="s">
        <v>13</v>
      </c>
      <c r="AO13" s="1134"/>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1247</v>
      </c>
      <c r="C15" s="29"/>
      <c r="D15" s="31"/>
      <c r="E15" s="308">
        <f>'Exhibit I State'!E14+'Exhibit I Federal'!E14</f>
        <v>-1137.9000000000001</v>
      </c>
      <c r="F15" s="94"/>
      <c r="G15" s="94">
        <f>E103</f>
        <v>-1018.2</v>
      </c>
      <c r="H15" s="94"/>
      <c r="I15" s="94">
        <f>G103</f>
        <v>-1249.2</v>
      </c>
      <c r="J15" s="94"/>
      <c r="K15" s="94">
        <f>I103</f>
        <v>-1212.5</v>
      </c>
      <c r="L15" s="94"/>
      <c r="M15" s="94">
        <f>K103</f>
        <v>-1334.5</v>
      </c>
      <c r="N15" s="94"/>
      <c r="O15" s="94">
        <f>M103</f>
        <v>-1351.4</v>
      </c>
      <c r="P15" s="94"/>
      <c r="Q15" s="94">
        <f>O103</f>
        <v>-1288.0999999999999</v>
      </c>
      <c r="R15" s="94"/>
      <c r="S15" s="94">
        <f>Q103</f>
        <v>-946.2</v>
      </c>
      <c r="T15" s="94"/>
      <c r="U15" s="94">
        <f>S103</f>
        <v>-1042.3</v>
      </c>
      <c r="V15" s="94"/>
      <c r="W15" s="94">
        <f>U103</f>
        <v>-1127.3</v>
      </c>
      <c r="X15" s="94"/>
      <c r="Y15" s="94">
        <f>W103</f>
        <v>-946.9</v>
      </c>
      <c r="Z15" s="94"/>
      <c r="AA15" s="94"/>
      <c r="AB15" s="94"/>
      <c r="AC15" s="94"/>
      <c r="AD15" s="94"/>
      <c r="AE15" s="95"/>
      <c r="AF15" s="135">
        <f>E15</f>
        <v>-1137.9000000000001</v>
      </c>
      <c r="AG15" s="218"/>
      <c r="AH15" s="219"/>
      <c r="AI15" s="3616">
        <f>'Exhibit I State'!AG14+'Exhibit I Federal'!AG14</f>
        <v>-1151.1999999999998</v>
      </c>
      <c r="AJ15" s="94"/>
      <c r="AK15" s="329"/>
      <c r="AL15" s="328">
        <f>+AF15-AI15</f>
        <v>13.299999999999727</v>
      </c>
      <c r="AM15" s="330"/>
      <c r="AN15" s="1458">
        <f>ROUND(IF(AI15=0,0,-AL15/(AI15)),3)</f>
        <v>1.2E-2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ht="15.75">
      <c r="A17" s="31"/>
      <c r="B17" s="29" t="s">
        <v>196</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ht="15.75">
      <c r="A18" s="31"/>
      <c r="B18" s="261" t="s">
        <v>1097</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76"/>
      <c r="AH18" s="59"/>
      <c r="AI18" s="140"/>
      <c r="AJ18" s="165"/>
      <c r="AK18" s="326"/>
      <c r="AL18" s="327"/>
      <c r="AM18" s="327"/>
      <c r="AN18" s="327"/>
    </row>
    <row r="19" spans="1:46" ht="15.75">
      <c r="A19" s="31"/>
      <c r="B19" s="1062" t="s">
        <v>1161</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76"/>
      <c r="AH19" s="59"/>
      <c r="AI19" s="140"/>
      <c r="AJ19" s="165"/>
      <c r="AK19" s="326"/>
      <c r="AL19" s="327"/>
      <c r="AM19" s="327"/>
      <c r="AN19" s="327"/>
    </row>
    <row r="20" spans="1:46">
      <c r="A20" s="31"/>
      <c r="B20" s="680" t="s">
        <v>1113</v>
      </c>
      <c r="C20" s="31"/>
      <c r="D20" s="31"/>
      <c r="E20" s="1391">
        <f>+'Exhibit I State'!E19</f>
        <v>3.5</v>
      </c>
      <c r="F20" s="1448"/>
      <c r="G20" s="1391">
        <f>+'Exhibit I State'!G19</f>
        <v>0.29999999999999982</v>
      </c>
      <c r="H20" s="1448"/>
      <c r="I20" s="1391">
        <f>+'Exhibit I State'!I19</f>
        <v>19.5</v>
      </c>
      <c r="J20" s="1471"/>
      <c r="K20" s="1391">
        <f>+'Exhibit I State'!K19</f>
        <v>9.9999999999997868E-2</v>
      </c>
      <c r="L20" s="1487"/>
      <c r="M20" s="1391">
        <f>+'Exhibit I State'!M19</f>
        <v>0.10000000000000142</v>
      </c>
      <c r="N20" s="1487"/>
      <c r="O20" s="1391">
        <f>+'Exhibit I State'!O19</f>
        <v>33.70000000000001</v>
      </c>
      <c r="P20" s="304"/>
      <c r="Q20" s="1391">
        <f>+'Exhibit I State'!Q19</f>
        <v>-7.3000000000000078</v>
      </c>
      <c r="R20" s="304"/>
      <c r="S20" s="1391">
        <f>+'Exhibit I State'!S19</f>
        <v>0.10000000000000142</v>
      </c>
      <c r="T20" s="304"/>
      <c r="U20" s="1391">
        <f>+'Exhibit I State'!U19</f>
        <v>20.599999999999998</v>
      </c>
      <c r="V20" s="304"/>
      <c r="W20" s="1391">
        <f>+'Exhibit I State'!W19</f>
        <v>0</v>
      </c>
      <c r="X20" s="304"/>
      <c r="Y20" s="1391">
        <f>+'Exhibit I State'!Y19</f>
        <v>0.10000000000000853</v>
      </c>
      <c r="Z20" s="304"/>
      <c r="AA20" s="1391"/>
      <c r="AB20" s="1391"/>
      <c r="AC20" s="1391">
        <v>0</v>
      </c>
      <c r="AD20" s="1064"/>
      <c r="AE20" s="304"/>
      <c r="AF20" s="118">
        <f>ROUND(SUM(E20:AC20),1)</f>
        <v>70.7</v>
      </c>
      <c r="AG20" s="1065"/>
      <c r="AH20" s="305"/>
      <c r="AI20" s="3617">
        <f>+'Exhibit I State'!AG19</f>
        <v>67.900000000000006</v>
      </c>
      <c r="AJ20" s="306"/>
      <c r="AK20" s="310"/>
      <c r="AL20" s="313">
        <f>ROUND(SUM(AF20-AI20),1)</f>
        <v>2.8</v>
      </c>
      <c r="AM20" s="307"/>
      <c r="AN20" s="1509">
        <f>ROUND(IF(AI20=0,0,AL20/ABS(AI20)),3)</f>
        <v>4.1000000000000002E-2</v>
      </c>
      <c r="AO20" s="554"/>
    </row>
    <row r="21" spans="1:46">
      <c r="A21" s="31"/>
      <c r="B21" s="680" t="s">
        <v>1115</v>
      </c>
      <c r="C21" s="31"/>
      <c r="D21" s="31"/>
      <c r="E21" s="1391">
        <f>+'Exhibit I State'!E20</f>
        <v>36.4</v>
      </c>
      <c r="F21" s="1448"/>
      <c r="G21" s="1391">
        <f>+'Exhibit I State'!G20</f>
        <v>34.800000000000004</v>
      </c>
      <c r="H21" s="1448"/>
      <c r="I21" s="1391">
        <f>+'Exhibit I State'!I20</f>
        <v>36.6</v>
      </c>
      <c r="J21" s="1471"/>
      <c r="K21" s="1391">
        <f>+'Exhibit I State'!K20</f>
        <v>30.39999999999997</v>
      </c>
      <c r="L21" s="1487"/>
      <c r="M21" s="1391">
        <f>+'Exhibit I State'!M20</f>
        <v>37.800000000000018</v>
      </c>
      <c r="N21" s="1487"/>
      <c r="O21" s="1391">
        <f>+'Exhibit I State'!O20</f>
        <v>34.099999999999987</v>
      </c>
      <c r="P21" s="304"/>
      <c r="Q21" s="1391">
        <f>+'Exhibit I State'!Q20</f>
        <v>37.300000000000018</v>
      </c>
      <c r="R21" s="304"/>
      <c r="S21" s="1391">
        <f>+'Exhibit I State'!S20</f>
        <v>32.9</v>
      </c>
      <c r="T21" s="304"/>
      <c r="U21" s="1391">
        <f>+'Exhibit I State'!U20</f>
        <v>31.400000000000013</v>
      </c>
      <c r="V21" s="304"/>
      <c r="W21" s="1391">
        <f>+'Exhibit I State'!W20</f>
        <v>33.499999999999993</v>
      </c>
      <c r="X21" s="304"/>
      <c r="Y21" s="1391">
        <f>+'Exhibit I State'!Y20</f>
        <v>28.099999999999994</v>
      </c>
      <c r="Z21" s="304"/>
      <c r="AA21" s="1391"/>
      <c r="AB21" s="1391"/>
      <c r="AC21" s="1391">
        <v>0</v>
      </c>
      <c r="AD21" s="1064"/>
      <c r="AE21" s="304"/>
      <c r="AF21" s="66">
        <f>ROUND(SUM(E21:AC21),1)</f>
        <v>373.3</v>
      </c>
      <c r="AG21" s="1065"/>
      <c r="AH21" s="305"/>
      <c r="AI21" s="3617">
        <f>+'Exhibit I State'!AG20</f>
        <v>384.3</v>
      </c>
      <c r="AJ21" s="306"/>
      <c r="AK21" s="310"/>
      <c r="AL21" s="313">
        <f>ROUND(SUM(AF21-AI21),1)</f>
        <v>-11</v>
      </c>
      <c r="AM21" s="307"/>
      <c r="AN21" s="8">
        <f>ROUND(IF(AI21=0,0,AL21/ABS(AI21)),3)</f>
        <v>-2.9000000000000001E-2</v>
      </c>
      <c r="AO21" s="554"/>
    </row>
    <row r="22" spans="1:46">
      <c r="A22" s="31"/>
      <c r="B22" s="680" t="s">
        <v>1117</v>
      </c>
      <c r="C22" s="31"/>
      <c r="D22" s="31"/>
      <c r="E22" s="1391">
        <f>+'Exhibit I State'!E21</f>
        <v>14.2</v>
      </c>
      <c r="F22" s="1448"/>
      <c r="G22" s="1391">
        <f>+'Exhibit I State'!G21</f>
        <v>10.600000000000001</v>
      </c>
      <c r="H22" s="1448"/>
      <c r="I22" s="1391">
        <f>+'Exhibit I State'!I21</f>
        <v>9.8000000000000007</v>
      </c>
      <c r="J22" s="1471"/>
      <c r="K22" s="1391">
        <f>+'Exhibit I State'!K21</f>
        <v>14.500000000000004</v>
      </c>
      <c r="L22" s="1487"/>
      <c r="M22" s="1391">
        <f>+'Exhibit I State'!M21</f>
        <v>10.699999999999989</v>
      </c>
      <c r="N22" s="1487"/>
      <c r="O22" s="1391">
        <f>+'Exhibit I State'!O21</f>
        <v>10.999999999999996</v>
      </c>
      <c r="P22" s="304"/>
      <c r="Q22" s="1391">
        <f>+'Exhibit I State'!Q21</f>
        <v>14.3</v>
      </c>
      <c r="R22" s="304"/>
      <c r="S22" s="1391">
        <f>+'Exhibit I State'!S21</f>
        <v>10.900000000000006</v>
      </c>
      <c r="T22" s="304"/>
      <c r="U22" s="1391">
        <f>+'Exhibit I State'!U21</f>
        <v>13.800000000000008</v>
      </c>
      <c r="V22" s="304"/>
      <c r="W22" s="1391">
        <f>+'Exhibit I State'!W21</f>
        <v>12.199999999999992</v>
      </c>
      <c r="X22" s="304"/>
      <c r="Y22" s="1391">
        <f>+'Exhibit I State'!Y21</f>
        <v>8.9000000000000057</v>
      </c>
      <c r="Z22" s="304"/>
      <c r="AA22" s="1391"/>
      <c r="AB22" s="1391"/>
      <c r="AC22" s="1391">
        <v>0</v>
      </c>
      <c r="AD22" s="1064"/>
      <c r="AE22" s="304"/>
      <c r="AF22" s="66">
        <f>ROUND(SUM(E22:AC22),1)</f>
        <v>130.9</v>
      </c>
      <c r="AG22" s="1065"/>
      <c r="AH22" s="305"/>
      <c r="AI22" s="3617">
        <f>+'Exhibit I State'!AG21</f>
        <v>138.80000000000001</v>
      </c>
      <c r="AJ22" s="306"/>
      <c r="AK22" s="310"/>
      <c r="AL22" s="313">
        <f>ROUND(SUM(AF22-AI22),1)</f>
        <v>-7.9</v>
      </c>
      <c r="AM22" s="307"/>
      <c r="AN22" s="1493">
        <f>ROUND(IF(AI22=0,0,AL22/ABS(AI22)),3)</f>
        <v>-5.7000000000000002E-2</v>
      </c>
      <c r="AO22" s="554"/>
    </row>
    <row r="23" spans="1:46" ht="15.75">
      <c r="A23" s="31"/>
      <c r="B23" s="312" t="s">
        <v>1205</v>
      </c>
      <c r="C23" s="31"/>
      <c r="D23" s="31"/>
      <c r="E23" s="1488">
        <f>ROUND(SUM(E20:E22),1)</f>
        <v>54.1</v>
      </c>
      <c r="F23" s="1489"/>
      <c r="G23" s="1488">
        <f>ROUND(SUM(G20:G22),1)</f>
        <v>45.7</v>
      </c>
      <c r="H23" s="1489"/>
      <c r="I23" s="1488">
        <f>ROUND(SUM(I20:I22),1)</f>
        <v>65.900000000000006</v>
      </c>
      <c r="J23" s="1489"/>
      <c r="K23" s="1488">
        <f>ROUND(SUM(K20:K22),1)</f>
        <v>45</v>
      </c>
      <c r="L23" s="1487"/>
      <c r="M23" s="1488">
        <f>ROUND(SUM(M20:M22),1)</f>
        <v>48.6</v>
      </c>
      <c r="N23" s="1487"/>
      <c r="O23" s="1488">
        <f>ROUND(SUM(O20:O22),1)</f>
        <v>78.8</v>
      </c>
      <c r="P23" s="304"/>
      <c r="Q23" s="1488">
        <f>ROUND(SUM(Q20:Q22),1)</f>
        <v>44.3</v>
      </c>
      <c r="R23" s="304"/>
      <c r="S23" s="1488">
        <f>ROUND(SUM(S20:S22),1)</f>
        <v>43.9</v>
      </c>
      <c r="T23" s="304"/>
      <c r="U23" s="1488">
        <f>ROUND(SUM(U20:U22),1)</f>
        <v>65.8</v>
      </c>
      <c r="V23" s="304"/>
      <c r="W23" s="1488">
        <f>ROUND(SUM(W20:W22),1)</f>
        <v>45.7</v>
      </c>
      <c r="X23" s="304"/>
      <c r="Y23" s="1488">
        <f>ROUND(SUM(Y20:Y22),1)</f>
        <v>37.1</v>
      </c>
      <c r="Z23" s="304"/>
      <c r="AA23" s="1488">
        <f>ROUND(SUM(AA20:AA22),1)</f>
        <v>0</v>
      </c>
      <c r="AB23" s="1490"/>
      <c r="AC23" s="1488">
        <f>ROUND(SUM(AC20:AC22),1)</f>
        <v>0</v>
      </c>
      <c r="AD23" s="1064"/>
      <c r="AE23" s="304"/>
      <c r="AF23" s="258">
        <f>ROUND(SUM(AF20:AF22),1)</f>
        <v>574.9</v>
      </c>
      <c r="AG23" s="1065"/>
      <c r="AH23" s="305"/>
      <c r="AI23" s="1574">
        <f>ROUND(SUM(AI20:AI22),1)</f>
        <v>591</v>
      </c>
      <c r="AJ23" s="306"/>
      <c r="AK23" s="310"/>
      <c r="AL23" s="1133">
        <f>ROUND(SUM(AF23-AI23),1)</f>
        <v>-16.100000000000001</v>
      </c>
      <c r="AM23" s="309"/>
      <c r="AN23" s="13">
        <f>ROUND(IF(AI23=0,0,AL23/ABS(AI23)),3)</f>
        <v>-2.7E-2</v>
      </c>
      <c r="AO23" s="554"/>
    </row>
    <row r="24" spans="1:46" ht="15.75">
      <c r="A24" s="31"/>
      <c r="B24" s="1062" t="s">
        <v>1162</v>
      </c>
      <c r="C24" s="31"/>
      <c r="D24" s="31"/>
      <c r="E24" s="1490"/>
      <c r="F24" s="1489"/>
      <c r="G24" s="1490"/>
      <c r="H24" s="1489"/>
      <c r="I24" s="1490"/>
      <c r="J24" s="1489"/>
      <c r="K24" s="1490"/>
      <c r="L24" s="1487"/>
      <c r="M24" s="1490"/>
      <c r="N24" s="1487"/>
      <c r="O24" s="1490"/>
      <c r="P24" s="304"/>
      <c r="Q24" s="1490"/>
      <c r="R24" s="304"/>
      <c r="S24" s="1490"/>
      <c r="T24" s="304"/>
      <c r="U24" s="1490"/>
      <c r="V24" s="304"/>
      <c r="W24" s="1490"/>
      <c r="X24" s="304"/>
      <c r="Y24" s="1490"/>
      <c r="Z24" s="304"/>
      <c r="AA24" s="1490"/>
      <c r="AB24" s="1490"/>
      <c r="AC24" s="1490"/>
      <c r="AD24" s="1064"/>
      <c r="AE24" s="304"/>
      <c r="AF24" s="76"/>
      <c r="AG24" s="1065"/>
      <c r="AH24" s="305"/>
      <c r="AI24" s="115"/>
      <c r="AJ24" s="306"/>
      <c r="AK24" s="310"/>
      <c r="AL24" s="1067"/>
      <c r="AM24" s="309"/>
      <c r="AN24" s="24"/>
      <c r="AO24" s="554"/>
    </row>
    <row r="25" spans="1:46" ht="15.75">
      <c r="A25" s="31"/>
      <c r="B25" s="680" t="s">
        <v>1120</v>
      </c>
      <c r="C25" s="31"/>
      <c r="D25" s="31"/>
      <c r="E25" s="1391">
        <f>+'Exhibit I State'!E24</f>
        <v>0</v>
      </c>
      <c r="F25" s="1489"/>
      <c r="G25" s="1391">
        <f>+'Exhibit I State'!G24</f>
        <v>0</v>
      </c>
      <c r="H25" s="1489"/>
      <c r="I25" s="1391">
        <f>+'Exhibit I State'!I24</f>
        <v>0</v>
      </c>
      <c r="J25" s="1489"/>
      <c r="K25" s="1391">
        <f>+'Exhibit I State'!K24</f>
        <v>0</v>
      </c>
      <c r="L25" s="1487"/>
      <c r="M25" s="1391">
        <f>+'Exhibit I State'!M24</f>
        <v>0</v>
      </c>
      <c r="N25" s="1487"/>
      <c r="O25" s="1391">
        <f>+'Exhibit I State'!O24</f>
        <v>0</v>
      </c>
      <c r="P25" s="304"/>
      <c r="Q25" s="1391">
        <f>+'Exhibit I State'!Q24</f>
        <v>0</v>
      </c>
      <c r="R25" s="304"/>
      <c r="S25" s="1391">
        <f>+'Exhibit I State'!S24</f>
        <v>0</v>
      </c>
      <c r="T25" s="304"/>
      <c r="U25" s="1391">
        <f>+'Exhibit I State'!U24</f>
        <v>0</v>
      </c>
      <c r="V25" s="304"/>
      <c r="W25" s="1391">
        <f>+'Exhibit I State'!W24</f>
        <v>0</v>
      </c>
      <c r="X25" s="304"/>
      <c r="Y25" s="1391">
        <f>+'Exhibit I State'!Y24</f>
        <v>0</v>
      </c>
      <c r="Z25" s="304"/>
      <c r="AA25" s="1391"/>
      <c r="AB25" s="1391"/>
      <c r="AC25" s="1391">
        <v>0</v>
      </c>
      <c r="AD25" s="1064"/>
      <c r="AE25" s="304"/>
      <c r="AF25" s="954">
        <v>0</v>
      </c>
      <c r="AG25" s="1065"/>
      <c r="AH25" s="305"/>
      <c r="AI25" s="3617">
        <f>+'Exhibit I State'!AG24</f>
        <v>0</v>
      </c>
      <c r="AJ25" s="306"/>
      <c r="AK25" s="310"/>
      <c r="AL25" s="313">
        <f>ROUND(SUM(AF25-AI25),1)</f>
        <v>0</v>
      </c>
      <c r="AM25" s="307"/>
      <c r="AN25" s="1486">
        <f>ROUND(IF(AI25=0,0,AL25/ABS(AI25)),3)</f>
        <v>0</v>
      </c>
      <c r="AO25" s="554"/>
      <c r="AP25" s="302"/>
      <c r="AQ25" s="302"/>
      <c r="AR25" s="302"/>
      <c r="AS25" s="302"/>
      <c r="AT25" s="302"/>
    </row>
    <row r="26" spans="1:46" ht="15.75">
      <c r="A26" s="31"/>
      <c r="B26" s="680" t="s">
        <v>1121</v>
      </c>
      <c r="C26" s="31"/>
      <c r="D26" s="31"/>
      <c r="E26" s="1391">
        <f>+'Exhibit I State'!E25</f>
        <v>3.3</v>
      </c>
      <c r="F26" s="1448"/>
      <c r="G26" s="1391">
        <f>+'Exhibit I State'!G25</f>
        <v>-0.1</v>
      </c>
      <c r="H26" s="1448"/>
      <c r="I26" s="1391">
        <f>+'Exhibit I State'!I25</f>
        <v>1.9</v>
      </c>
      <c r="J26" s="1489"/>
      <c r="K26" s="1391">
        <f>+'Exhibit I State'!K25</f>
        <v>0</v>
      </c>
      <c r="L26" s="1487"/>
      <c r="M26" s="1391">
        <f>+'Exhibit I State'!M25</f>
        <v>0</v>
      </c>
      <c r="N26" s="1487"/>
      <c r="O26" s="1391">
        <f>+'Exhibit I State'!O25</f>
        <v>3.0999999999999992</v>
      </c>
      <c r="P26" s="304"/>
      <c r="Q26" s="1391">
        <f>+'Exhibit I State'!Q25</f>
        <v>0.10000000000000142</v>
      </c>
      <c r="R26" s="304"/>
      <c r="S26" s="1391">
        <f>+'Exhibit I State'!S25</f>
        <v>9.9999999999999645E-2</v>
      </c>
      <c r="T26" s="304"/>
      <c r="U26" s="1391">
        <f>+'Exhibit I State'!U25</f>
        <v>2.6999999999999997</v>
      </c>
      <c r="V26" s="304"/>
      <c r="W26" s="1391">
        <f>+'Exhibit I State'!W25</f>
        <v>0</v>
      </c>
      <c r="X26" s="304"/>
      <c r="Y26" s="1391">
        <f>+'Exhibit I State'!Y25</f>
        <v>0</v>
      </c>
      <c r="Z26" s="304"/>
      <c r="AA26" s="1391"/>
      <c r="AB26" s="1391"/>
      <c r="AC26" s="1391">
        <v>0</v>
      </c>
      <c r="AD26" s="1064"/>
      <c r="AE26" s="304"/>
      <c r="AF26" s="66">
        <f>ROUND(SUM(E26:AC26),1)</f>
        <v>11.1</v>
      </c>
      <c r="AG26" s="1065"/>
      <c r="AH26" s="305"/>
      <c r="AI26" s="3617">
        <f>+'Exhibit I State'!AG25</f>
        <v>10.6</v>
      </c>
      <c r="AJ26" s="306"/>
      <c r="AK26" s="310"/>
      <c r="AL26" s="313">
        <f>ROUND(SUM(AF26-AI26),1)</f>
        <v>0.5</v>
      </c>
      <c r="AM26" s="307"/>
      <c r="AN26" s="1466">
        <f>ROUND(IF(AI26=0,1,AL26/ABS(AI26)),3)</f>
        <v>4.7E-2</v>
      </c>
      <c r="AO26" s="554"/>
      <c r="AP26" s="302"/>
      <c r="AQ26" s="302"/>
      <c r="AR26" s="302"/>
      <c r="AS26" s="302"/>
      <c r="AT26" s="302"/>
    </row>
    <row r="27" spans="1:46" ht="15.75">
      <c r="A27" s="31"/>
      <c r="B27" s="680" t="s">
        <v>1124</v>
      </c>
      <c r="C27" s="31"/>
      <c r="D27" s="31"/>
      <c r="E27" s="1391">
        <f>+'Exhibit I State'!E26</f>
        <v>56.3</v>
      </c>
      <c r="F27" s="1448"/>
      <c r="G27" s="1391">
        <f>+'Exhibit I State'!G26</f>
        <v>55.8</v>
      </c>
      <c r="H27" s="1448"/>
      <c r="I27" s="1391">
        <f>+'Exhibit I State'!I26</f>
        <v>58.400000000000006</v>
      </c>
      <c r="J27" s="1489"/>
      <c r="K27" s="1391">
        <f>+'Exhibit I State'!K26</f>
        <v>52.499999999999986</v>
      </c>
      <c r="L27" s="1487"/>
      <c r="M27" s="1391">
        <f>+'Exhibit I State'!M26</f>
        <v>59.999999999999986</v>
      </c>
      <c r="N27" s="1487"/>
      <c r="O27" s="1391">
        <f>+'Exhibit I State'!O26</f>
        <v>56.800000000000011</v>
      </c>
      <c r="P27" s="304"/>
      <c r="Q27" s="1391">
        <f>+'Exhibit I State'!Q26</f>
        <v>60.2</v>
      </c>
      <c r="R27" s="304"/>
      <c r="S27" s="1391">
        <f>+'Exhibit I State'!S26</f>
        <v>52.199999999999918</v>
      </c>
      <c r="T27" s="304"/>
      <c r="U27" s="1391">
        <f>+'Exhibit I State'!U26</f>
        <v>51.5</v>
      </c>
      <c r="V27" s="304"/>
      <c r="W27" s="1391">
        <f>+'Exhibit I State'!W26</f>
        <v>54.900000000000105</v>
      </c>
      <c r="X27" s="304"/>
      <c r="Y27" s="1391">
        <f>+'Exhibit I State'!Y26</f>
        <v>44.999999999999986</v>
      </c>
      <c r="Z27" s="304"/>
      <c r="AA27" s="1391"/>
      <c r="AB27" s="1391"/>
      <c r="AC27" s="1391">
        <v>0</v>
      </c>
      <c r="AD27" s="1064"/>
      <c r="AE27" s="304"/>
      <c r="AF27" s="66">
        <f>ROUND(SUM(E27:AC27),1)</f>
        <v>603.6</v>
      </c>
      <c r="AG27" s="1065"/>
      <c r="AH27" s="305"/>
      <c r="AI27" s="3617">
        <f>+'Exhibit I State'!AG26</f>
        <v>599.20000000000005</v>
      </c>
      <c r="AJ27" s="306"/>
      <c r="AK27" s="310"/>
      <c r="AL27" s="313">
        <f>ROUND(SUM(AF27-AI27),1)</f>
        <v>4.4000000000000004</v>
      </c>
      <c r="AM27" s="307"/>
      <c r="AN27" s="1453">
        <f>ROUND(IF(AI27=0,0,AL27/ABS(AI27)),3)</f>
        <v>7.0000000000000001E-3</v>
      </c>
      <c r="AO27" s="554"/>
      <c r="AP27" s="302"/>
      <c r="AQ27" s="302"/>
      <c r="AR27" s="302"/>
      <c r="AS27" s="302"/>
      <c r="AT27" s="302"/>
    </row>
    <row r="28" spans="1:46" ht="15.75">
      <c r="A28" s="31"/>
      <c r="B28" s="312" t="s">
        <v>1206</v>
      </c>
      <c r="C28" s="31"/>
      <c r="D28" s="31"/>
      <c r="E28" s="1488">
        <f>ROUND(SUM(E25:E27),1)</f>
        <v>59.6</v>
      </c>
      <c r="F28" s="1448"/>
      <c r="G28" s="1488">
        <f>ROUND(SUM(G25:G27),1)</f>
        <v>55.7</v>
      </c>
      <c r="H28" s="1448"/>
      <c r="I28" s="1488">
        <f>ROUND(SUM(I25:I27),1)</f>
        <v>60.3</v>
      </c>
      <c r="J28" s="1489"/>
      <c r="K28" s="1488">
        <f>ROUND(SUM(K25:K27),1)</f>
        <v>52.5</v>
      </c>
      <c r="L28" s="1487"/>
      <c r="M28" s="1488">
        <f>ROUND(SUM(M25:M27),1)</f>
        <v>60</v>
      </c>
      <c r="N28" s="1487"/>
      <c r="O28" s="1488">
        <f>ROUND(SUM(O25:O27),1)</f>
        <v>59.9</v>
      </c>
      <c r="P28" s="304"/>
      <c r="Q28" s="1488">
        <f>ROUND(SUM(Q25:Q27),1)</f>
        <v>60.3</v>
      </c>
      <c r="R28" s="304"/>
      <c r="S28" s="1488">
        <f>ROUND(SUM(S25:S27),1)</f>
        <v>52.3</v>
      </c>
      <c r="T28" s="304"/>
      <c r="U28" s="1488">
        <f>ROUND(SUM(U25:U27),1)</f>
        <v>54.2</v>
      </c>
      <c r="V28" s="304"/>
      <c r="W28" s="1488">
        <f>ROUND(SUM(W25:W27),1)</f>
        <v>54.9</v>
      </c>
      <c r="X28" s="304"/>
      <c r="Y28" s="1488">
        <f>ROUND(SUM(Y25:Y27),1)</f>
        <v>45</v>
      </c>
      <c r="Z28" s="304"/>
      <c r="AA28" s="1488">
        <f>ROUND(SUM(AA25:AA27),1)</f>
        <v>0</v>
      </c>
      <c r="AB28" s="1490"/>
      <c r="AC28" s="1488">
        <f>ROUND(SUM(AC25:AC27),1)</f>
        <v>0</v>
      </c>
      <c r="AD28" s="1064"/>
      <c r="AE28" s="304"/>
      <c r="AF28" s="686">
        <f>ROUND(SUM(AF25:AF27),1)</f>
        <v>614.70000000000005</v>
      </c>
      <c r="AG28" s="1065"/>
      <c r="AH28" s="305"/>
      <c r="AI28" s="1574">
        <f>ROUND(SUM(AI25:AI27),1)</f>
        <v>609.79999999999995</v>
      </c>
      <c r="AJ28" s="306"/>
      <c r="AK28" s="310"/>
      <c r="AL28" s="686">
        <f>ROUND(SUM(AL25:AL27),1)</f>
        <v>4.9000000000000004</v>
      </c>
      <c r="AM28" s="307"/>
      <c r="AN28" s="1483">
        <f>ROUND(IF(AI28=0,0,AL28/ABS(AI28)),3)</f>
        <v>8.0000000000000002E-3</v>
      </c>
      <c r="AO28" s="554"/>
      <c r="AP28" s="302"/>
      <c r="AQ28" s="302"/>
      <c r="AR28" s="302"/>
      <c r="AS28" s="302"/>
      <c r="AT28" s="302"/>
    </row>
    <row r="29" spans="1:46" ht="15.75">
      <c r="A29" s="31"/>
      <c r="B29" s="1062" t="s">
        <v>1163</v>
      </c>
      <c r="C29" s="31"/>
      <c r="D29" s="31"/>
      <c r="E29" s="1885"/>
      <c r="F29" s="1885"/>
      <c r="G29" s="1885"/>
      <c r="H29" s="1885"/>
      <c r="I29" s="1885"/>
      <c r="J29" s="1885"/>
      <c r="K29" s="1885"/>
      <c r="L29" s="1491"/>
      <c r="M29" s="1491"/>
      <c r="N29" s="1491"/>
      <c r="O29" s="1491"/>
      <c r="P29" s="165"/>
      <c r="Q29" s="1491"/>
      <c r="R29" s="165"/>
      <c r="S29" s="1491"/>
      <c r="T29" s="165"/>
      <c r="U29" s="1491"/>
      <c r="V29" s="165"/>
      <c r="W29" s="1491"/>
      <c r="X29" s="165"/>
      <c r="Y29" s="1491"/>
      <c r="Z29" s="165"/>
      <c r="AA29" s="1491"/>
      <c r="AB29" s="1491"/>
      <c r="AC29" s="1491"/>
      <c r="AD29" s="165"/>
      <c r="AE29" s="252"/>
      <c r="AF29" s="165"/>
      <c r="AG29" s="1076"/>
      <c r="AH29" s="59"/>
      <c r="AI29" s="140"/>
      <c r="AJ29" s="165"/>
      <c r="AK29" s="326"/>
      <c r="AL29" s="327"/>
      <c r="AM29" s="327"/>
      <c r="AN29" s="1492"/>
    </row>
    <row r="30" spans="1:46" ht="15.75">
      <c r="A30" s="31"/>
      <c r="B30" s="680" t="s">
        <v>1130</v>
      </c>
      <c r="C30" s="31"/>
      <c r="D30" s="31"/>
      <c r="E30" s="1391">
        <f>+'Exhibit I State'!E29</f>
        <v>0</v>
      </c>
      <c r="F30" s="1448"/>
      <c r="G30" s="1391">
        <f>+'Exhibit I State'!G29</f>
        <v>0</v>
      </c>
      <c r="H30" s="1448"/>
      <c r="I30" s="1391">
        <f>+'Exhibit I State'!I29</f>
        <v>11.9</v>
      </c>
      <c r="J30" s="1489"/>
      <c r="K30" s="1391">
        <f>+'Exhibit I State'!K29</f>
        <v>11.9</v>
      </c>
      <c r="L30" s="1487"/>
      <c r="M30" s="1391">
        <f>+'Exhibit I State'!M29</f>
        <v>11.900000000000004</v>
      </c>
      <c r="N30" s="1487"/>
      <c r="O30" s="1391">
        <f>+'Exhibit I State'!O29</f>
        <v>11.9</v>
      </c>
      <c r="P30" s="304"/>
      <c r="Q30" s="1391">
        <f>+'Exhibit I State'!Q29</f>
        <v>11.999999999999998</v>
      </c>
      <c r="R30" s="304"/>
      <c r="S30" s="1391">
        <f>+'Exhibit I State'!S29</f>
        <v>11.9</v>
      </c>
      <c r="T30" s="304"/>
      <c r="U30" s="1391">
        <f>+'Exhibit I State'!U29</f>
        <v>11.899999999999997</v>
      </c>
      <c r="V30" s="304"/>
      <c r="W30" s="1391">
        <f>+'Exhibit I State'!W29</f>
        <v>11.899999999999986</v>
      </c>
      <c r="X30" s="304"/>
      <c r="Y30" s="1391">
        <f>+'Exhibit I State'!Y29</f>
        <v>11.900000000000004</v>
      </c>
      <c r="Z30" s="304"/>
      <c r="AA30" s="1391"/>
      <c r="AB30" s="1391"/>
      <c r="AC30" s="1391">
        <v>0</v>
      </c>
      <c r="AD30" s="1064"/>
      <c r="AE30" s="304"/>
      <c r="AF30" s="66">
        <f>ROUND(SUM(E30:AC30),1)</f>
        <v>107.2</v>
      </c>
      <c r="AG30" s="1065"/>
      <c r="AH30" s="305"/>
      <c r="AI30" s="3617">
        <f>+'Exhibit I State'!AG29</f>
        <v>107.2</v>
      </c>
      <c r="AJ30" s="306"/>
      <c r="AK30" s="310"/>
      <c r="AL30" s="313">
        <f>ROUND(SUM(AF30-AI30),1)</f>
        <v>0</v>
      </c>
      <c r="AM30" s="307"/>
      <c r="AN30" s="1453">
        <f>ROUND(IF(AI30=0,0,AL30/ABS(AI30)),3)</f>
        <v>0</v>
      </c>
      <c r="AO30" s="554"/>
      <c r="AP30" s="302"/>
      <c r="AQ30" s="302"/>
      <c r="AR30" s="302"/>
    </row>
    <row r="31" spans="1:46" ht="15.75">
      <c r="A31" s="31"/>
      <c r="B31" s="312" t="s">
        <v>1207</v>
      </c>
      <c r="C31" s="31"/>
      <c r="D31" s="31"/>
      <c r="E31" s="258">
        <f>ROUND(SUM(E30:E30),1)</f>
        <v>0</v>
      </c>
      <c r="F31" s="933"/>
      <c r="G31" s="258">
        <f>ROUND(SUM(G30:G30),1)</f>
        <v>0</v>
      </c>
      <c r="H31" s="933"/>
      <c r="I31" s="258">
        <f>ROUND(SUM(I30:I30),1)</f>
        <v>11.9</v>
      </c>
      <c r="J31" s="933"/>
      <c r="K31" s="258">
        <f>ROUND(SUM(K30:K30),1)</f>
        <v>11.9</v>
      </c>
      <c r="L31" s="304"/>
      <c r="M31" s="61">
        <f>ROUND(SUM(M30:M30),1)</f>
        <v>11.9</v>
      </c>
      <c r="N31" s="304"/>
      <c r="O31" s="61">
        <f>ROUND(SUM(O30:O30),1)</f>
        <v>11.9</v>
      </c>
      <c r="P31" s="304"/>
      <c r="Q31" s="61">
        <f>ROUND(SUM(Q30:Q30),1)</f>
        <v>12</v>
      </c>
      <c r="R31" s="304"/>
      <c r="S31" s="61">
        <f>ROUND(SUM(S30:S30),1)</f>
        <v>11.9</v>
      </c>
      <c r="T31" s="304"/>
      <c r="U31" s="61">
        <f>ROUND(SUM(U30:U30),1)</f>
        <v>11.9</v>
      </c>
      <c r="V31" s="304"/>
      <c r="W31" s="61">
        <f>ROUND(SUM(W30:W30),1)</f>
        <v>11.9</v>
      </c>
      <c r="X31" s="304"/>
      <c r="Y31" s="61">
        <f>ROUND(SUM(Y30:Y30),1)</f>
        <v>11.9</v>
      </c>
      <c r="Z31" s="304"/>
      <c r="AA31" s="61">
        <f>ROUND(SUM(AA30:AA30),1)</f>
        <v>0</v>
      </c>
      <c r="AB31" s="1567"/>
      <c r="AC31" s="61">
        <f>ROUND(SUM(AC30:AC30),1)</f>
        <v>0</v>
      </c>
      <c r="AD31" s="1064"/>
      <c r="AE31" s="304"/>
      <c r="AF31" s="61">
        <f>ROUND(SUM(AF30:AF30),1)</f>
        <v>107.2</v>
      </c>
      <c r="AG31" s="1065"/>
      <c r="AH31" s="305"/>
      <c r="AI31" s="3572">
        <f>ROUND(SUM(AI30:AI30),1)</f>
        <v>107.2</v>
      </c>
      <c r="AJ31" s="306"/>
      <c r="AK31" s="310"/>
      <c r="AL31" s="1133">
        <f>ROUND(SUM(AF31-AI31),1)</f>
        <v>0</v>
      </c>
      <c r="AM31" s="309"/>
      <c r="AN31" s="1470">
        <f>ROUND(IF(AI31=0,0,AL31/ABS(AI31)),3)</f>
        <v>0</v>
      </c>
      <c r="AO31" s="554"/>
      <c r="AP31" s="302"/>
      <c r="AQ31" s="302"/>
      <c r="AR31" s="302"/>
    </row>
    <row r="32" spans="1:46" ht="15.75">
      <c r="A32" s="31"/>
      <c r="B32" s="312"/>
      <c r="C32" s="31"/>
      <c r="D32" s="31"/>
      <c r="E32" s="258"/>
      <c r="F32" s="933"/>
      <c r="G32" s="258"/>
      <c r="H32" s="933"/>
      <c r="I32" s="258"/>
      <c r="J32" s="933"/>
      <c r="K32" s="258"/>
      <c r="L32" s="304"/>
      <c r="M32" s="258"/>
      <c r="N32" s="304"/>
      <c r="O32" s="258"/>
      <c r="P32" s="304"/>
      <c r="Q32" s="258"/>
      <c r="R32" s="304"/>
      <c r="S32" s="258"/>
      <c r="T32" s="304"/>
      <c r="U32" s="258"/>
      <c r="V32" s="304"/>
      <c r="W32" s="258"/>
      <c r="X32" s="304"/>
      <c r="Y32" s="258"/>
      <c r="Z32" s="304"/>
      <c r="AA32" s="258"/>
      <c r="AB32" s="1567"/>
      <c r="AC32" s="258"/>
      <c r="AD32" s="1064"/>
      <c r="AE32" s="304"/>
      <c r="AF32" s="258"/>
      <c r="AG32" s="1065"/>
      <c r="AH32" s="305"/>
      <c r="AI32" s="305"/>
      <c r="AJ32" s="306"/>
      <c r="AK32" s="310"/>
      <c r="AL32" s="311"/>
      <c r="AM32" s="307"/>
      <c r="AN32" s="1482"/>
      <c r="AO32" s="554"/>
      <c r="AP32" s="302"/>
      <c r="AQ32" s="302"/>
      <c r="AR32" s="302"/>
    </row>
    <row r="33" spans="1:44" ht="15.75">
      <c r="A33" s="31"/>
      <c r="B33" s="312" t="s">
        <v>1126</v>
      </c>
      <c r="C33" s="31"/>
      <c r="D33" s="31"/>
      <c r="E33" s="1886">
        <f>ROUND(SUM(E11+E28+E23+E31),1)</f>
        <v>113.7</v>
      </c>
      <c r="F33" s="1566"/>
      <c r="G33" s="1886">
        <f>ROUND(SUM(G11+G28+G23+G31),1)</f>
        <v>101.4</v>
      </c>
      <c r="H33" s="1566"/>
      <c r="I33" s="1886">
        <f>ROUND(SUM(I11+I28+I23+I31),1)</f>
        <v>138.1</v>
      </c>
      <c r="J33" s="1566"/>
      <c r="K33" s="1886">
        <f>ROUND(SUM(K11+K28+K23+K31),1)</f>
        <v>109.4</v>
      </c>
      <c r="L33" s="304"/>
      <c r="M33" s="1066">
        <f>ROUND(SUM(M11+M28+M23+M31),1)</f>
        <v>120.5</v>
      </c>
      <c r="N33" s="304"/>
      <c r="O33" s="1066">
        <f>ROUND(SUM(O11+O28+O23+O31),1)</f>
        <v>150.6</v>
      </c>
      <c r="P33" s="304"/>
      <c r="Q33" s="1066">
        <f>ROUND(SUM(Q11+Q28+Q23+Q31),1)</f>
        <v>116.6</v>
      </c>
      <c r="R33" s="304"/>
      <c r="S33" s="1066">
        <f>ROUND(SUM(S11+S28+S23+S31),1)</f>
        <v>108.1</v>
      </c>
      <c r="T33" s="304"/>
      <c r="U33" s="1066">
        <f>ROUND(SUM(U11+U28+U23+U31),1)</f>
        <v>131.9</v>
      </c>
      <c r="V33" s="304"/>
      <c r="W33" s="1066">
        <f>ROUND(SUM(W11+W28+W23+W31),1)</f>
        <v>112.5</v>
      </c>
      <c r="X33" s="304"/>
      <c r="Y33" s="1066">
        <f>ROUND(SUM(Y11+Y28+Y23+Y31),1)</f>
        <v>94</v>
      </c>
      <c r="Z33" s="304"/>
      <c r="AA33" s="1066">
        <f>ROUND(SUM(AA11+AA28+AA23+AA31),1)</f>
        <v>0</v>
      </c>
      <c r="AB33" s="1068"/>
      <c r="AC33" s="1066">
        <f>ROUND(SUM(AC15+AC28+AC23+AC31),1)</f>
        <v>0</v>
      </c>
      <c r="AD33" s="1064"/>
      <c r="AE33" s="304"/>
      <c r="AF33" s="1066">
        <f>ROUND(SUM(AF28+AF23+AF31),1)</f>
        <v>1296.8</v>
      </c>
      <c r="AG33" s="1065"/>
      <c r="AH33" s="305"/>
      <c r="AI33" s="1066">
        <f>ROUND(SUM(AI28+AI23+AI31),1)</f>
        <v>1308</v>
      </c>
      <c r="AJ33" s="306"/>
      <c r="AK33" s="310"/>
      <c r="AL33" s="1133">
        <f>ROUND(SUM(AF33-AI33),1)</f>
        <v>-11.2</v>
      </c>
      <c r="AM33" s="309"/>
      <c r="AN33" s="1470">
        <f>ROUND(IF(AI33=0,0,AL33/ABS(AI33)),3)</f>
        <v>-8.9999999999999993E-3</v>
      </c>
      <c r="AO33" s="554"/>
      <c r="AP33" s="302"/>
      <c r="AQ33" s="302"/>
      <c r="AR33" s="302"/>
    </row>
    <row r="34" spans="1:44" ht="15.75">
      <c r="A34" s="31"/>
      <c r="B34" s="312"/>
      <c r="C34" s="31"/>
      <c r="D34" s="31"/>
      <c r="E34" s="1887"/>
      <c r="F34" s="1566"/>
      <c r="G34" s="1887"/>
      <c r="H34" s="1566"/>
      <c r="I34" s="1887"/>
      <c r="J34" s="1566"/>
      <c r="K34" s="1887"/>
      <c r="L34" s="304"/>
      <c r="M34" s="1068"/>
      <c r="N34" s="304"/>
      <c r="O34" s="1068"/>
      <c r="P34" s="304"/>
      <c r="Q34" s="1068"/>
      <c r="R34" s="304"/>
      <c r="S34" s="1068"/>
      <c r="T34" s="304"/>
      <c r="U34" s="1068"/>
      <c r="V34" s="304"/>
      <c r="W34" s="1068"/>
      <c r="X34" s="304"/>
      <c r="Y34" s="1068"/>
      <c r="Z34" s="304"/>
      <c r="AA34" s="1068"/>
      <c r="AB34" s="1068"/>
      <c r="AC34" s="1068"/>
      <c r="AD34" s="1404"/>
      <c r="AE34" s="304"/>
      <c r="AF34" s="1068"/>
      <c r="AG34" s="1065"/>
      <c r="AH34" s="305"/>
      <c r="AI34" s="1068"/>
      <c r="AJ34" s="306"/>
      <c r="AK34" s="310"/>
      <c r="AL34" s="1067"/>
      <c r="AM34" s="309"/>
      <c r="AN34" s="1458"/>
      <c r="AO34" s="554"/>
      <c r="AP34" s="302"/>
      <c r="AQ34" s="302"/>
      <c r="AR34" s="302"/>
    </row>
    <row r="35" spans="1:44" ht="15.75">
      <c r="A35" s="31"/>
      <c r="B35" s="261" t="s">
        <v>1033</v>
      </c>
      <c r="C35" s="31"/>
      <c r="D35" s="31"/>
      <c r="E35" s="668"/>
      <c r="F35" s="1566"/>
      <c r="G35" s="668"/>
      <c r="H35" s="1566"/>
      <c r="I35" s="668"/>
      <c r="J35" s="1566"/>
      <c r="K35" s="668"/>
      <c r="L35" s="66"/>
      <c r="M35" s="170"/>
      <c r="N35" s="66"/>
      <c r="O35" s="170"/>
      <c r="P35" s="66"/>
      <c r="Q35" s="170"/>
      <c r="R35" s="66"/>
      <c r="S35" s="170"/>
      <c r="T35" s="66"/>
      <c r="U35" s="170"/>
      <c r="V35" s="66"/>
      <c r="W35" s="170"/>
      <c r="X35" s="66"/>
      <c r="Y35" s="170"/>
      <c r="Z35" s="66"/>
      <c r="AA35" s="170"/>
      <c r="AB35" s="170"/>
      <c r="AC35" s="170"/>
      <c r="AD35" s="66"/>
      <c r="AE35" s="57"/>
      <c r="AF35" s="278"/>
      <c r="AG35" s="988"/>
      <c r="AH35" s="60"/>
      <c r="AI35" s="3618"/>
      <c r="AJ35" s="77"/>
      <c r="AK35" s="335"/>
      <c r="AL35" s="58"/>
      <c r="AM35" s="333"/>
      <c r="AN35" s="1453"/>
      <c r="AO35" s="327"/>
    </row>
    <row r="36" spans="1:44" ht="15.75">
      <c r="A36" s="31"/>
      <c r="B36" s="903" t="s">
        <v>1154</v>
      </c>
      <c r="C36" s="31"/>
      <c r="D36" s="31"/>
      <c r="E36" s="668"/>
      <c r="F36" s="1566"/>
      <c r="G36" s="668"/>
      <c r="H36" s="1566"/>
      <c r="I36" s="668"/>
      <c r="J36" s="1566"/>
      <c r="K36" s="668"/>
      <c r="L36" s="66"/>
      <c r="M36" s="170"/>
      <c r="N36" s="66"/>
      <c r="O36" s="170"/>
      <c r="P36" s="66"/>
      <c r="Q36" s="170"/>
      <c r="R36" s="66"/>
      <c r="S36" s="170"/>
      <c r="T36" s="66"/>
      <c r="U36" s="170"/>
      <c r="V36" s="66"/>
      <c r="W36" s="170"/>
      <c r="X36" s="66"/>
      <c r="Y36" s="170"/>
      <c r="Z36" s="66"/>
      <c r="AA36" s="170"/>
      <c r="AB36" s="170"/>
      <c r="AC36" s="170"/>
      <c r="AD36" s="66"/>
      <c r="AE36" s="57"/>
      <c r="AF36" s="278"/>
      <c r="AG36" s="988"/>
      <c r="AH36" s="60"/>
      <c r="AI36" s="3618"/>
      <c r="AJ36" s="77"/>
      <c r="AK36" s="335"/>
      <c r="AL36" s="58"/>
      <c r="AM36" s="333"/>
      <c r="AN36" s="1453"/>
      <c r="AO36" s="327"/>
    </row>
    <row r="37" spans="1:44" ht="15.75">
      <c r="A37" s="31"/>
      <c r="B37" s="903" t="s">
        <v>1067</v>
      </c>
      <c r="C37" s="31"/>
      <c r="D37" s="31"/>
      <c r="E37" s="668">
        <f>+'Exhibit I State'!E36+'Exhibit I Federal'!E19</f>
        <v>0</v>
      </c>
      <c r="F37" s="1566"/>
      <c r="G37" s="668">
        <f>+'Exhibit I State'!G36+'Exhibit I Federal'!G19</f>
        <v>0</v>
      </c>
      <c r="H37" s="1566"/>
      <c r="I37" s="668">
        <f>+'Exhibit I State'!I36+'Exhibit I Federal'!I19</f>
        <v>23</v>
      </c>
      <c r="J37" s="1566"/>
      <c r="K37" s="668">
        <f>+'Exhibit I State'!K36+'Exhibit I Federal'!K19</f>
        <v>0</v>
      </c>
      <c r="L37" s="66"/>
      <c r="M37" s="668">
        <f>+'Exhibit I State'!M36+'Exhibit I Federal'!M19</f>
        <v>0</v>
      </c>
      <c r="N37" s="66"/>
      <c r="O37" s="668">
        <f>+'Exhibit I State'!O36+'Exhibit I Federal'!O19</f>
        <v>0</v>
      </c>
      <c r="P37" s="66"/>
      <c r="Q37" s="668">
        <f>+'Exhibit I State'!Q36+'Exhibit I Federal'!Q19</f>
        <v>0</v>
      </c>
      <c r="R37" s="66"/>
      <c r="S37" s="668">
        <f>+'Exhibit I State'!S36+'Exhibit I Federal'!S19</f>
        <v>0</v>
      </c>
      <c r="T37" s="66"/>
      <c r="U37" s="668">
        <f>+'Exhibit I State'!U36+'Exhibit I Federal'!U19</f>
        <v>0</v>
      </c>
      <c r="V37" s="66"/>
      <c r="W37" s="668">
        <f>+'Exhibit I State'!W36+'Exhibit I Federal'!W19</f>
        <v>0</v>
      </c>
      <c r="X37" s="66"/>
      <c r="Y37" s="668">
        <f>+'Exhibit I State'!Y36+'Exhibit I Federal'!Y19</f>
        <v>0</v>
      </c>
      <c r="Z37" s="66"/>
      <c r="AA37" s="668"/>
      <c r="AB37" s="170"/>
      <c r="AC37" s="170">
        <v>0</v>
      </c>
      <c r="AD37" s="66"/>
      <c r="AE37" s="57"/>
      <c r="AF37" s="278">
        <f>ROUND(SUM(E37:AC37),1)</f>
        <v>23</v>
      </c>
      <c r="AG37" s="988"/>
      <c r="AH37" s="60"/>
      <c r="AI37" s="3618">
        <f>+'Exhibit I State'!AG36+'Exhibit I Federal'!AG19</f>
        <v>23</v>
      </c>
      <c r="AJ37" s="77"/>
      <c r="AK37" s="335"/>
      <c r="AL37" s="58">
        <f t="shared" ref="AL37:AL60" si="0">ROUND(SUM(+AF37-AI37),1)</f>
        <v>0</v>
      </c>
      <c r="AM37" s="333"/>
      <c r="AN37" s="1453">
        <f>ROUND(IF(AI37=0,0,AL37/ABS(AI37)),3)</f>
        <v>0</v>
      </c>
      <c r="AO37" s="327"/>
    </row>
    <row r="38" spans="1:44" ht="15.75">
      <c r="A38" s="31"/>
      <c r="B38" s="903" t="s">
        <v>1155</v>
      </c>
      <c r="C38" s="31"/>
      <c r="D38" s="31"/>
      <c r="E38" s="668"/>
      <c r="F38" s="1566"/>
      <c r="G38" s="668"/>
      <c r="H38" s="1566"/>
      <c r="I38" s="668"/>
      <c r="J38" s="1566"/>
      <c r="K38" s="668"/>
      <c r="L38" s="66"/>
      <c r="M38" s="668"/>
      <c r="N38" s="66"/>
      <c r="O38" s="668"/>
      <c r="P38" s="66"/>
      <c r="Q38" s="668"/>
      <c r="R38" s="66"/>
      <c r="S38" s="668"/>
      <c r="T38" s="66"/>
      <c r="U38" s="668"/>
      <c r="V38" s="66"/>
      <c r="W38" s="668"/>
      <c r="X38" s="66"/>
      <c r="Y38" s="668"/>
      <c r="Z38" s="66"/>
      <c r="AA38" s="668"/>
      <c r="AB38" s="170"/>
      <c r="AC38" s="170"/>
      <c r="AD38" s="66"/>
      <c r="AE38" s="57"/>
      <c r="AF38" s="278"/>
      <c r="AG38" s="988"/>
      <c r="AH38" s="60"/>
      <c r="AI38" s="3618"/>
      <c r="AJ38" s="77"/>
      <c r="AK38" s="335"/>
      <c r="AL38" s="58"/>
      <c r="AM38" s="333"/>
      <c r="AN38" s="1453"/>
      <c r="AO38" s="327"/>
    </row>
    <row r="39" spans="1:44" ht="15.75">
      <c r="A39" s="31"/>
      <c r="B39" s="903" t="s">
        <v>1068</v>
      </c>
      <c r="C39" s="31"/>
      <c r="D39" s="31"/>
      <c r="E39" s="668">
        <f>+'Exhibit I State'!E38+'Exhibit I Federal'!E21</f>
        <v>10.1</v>
      </c>
      <c r="F39" s="1566"/>
      <c r="G39" s="668">
        <f>+'Exhibit I State'!G38+'Exhibit I Federal'!G21</f>
        <v>9.2999999999999989</v>
      </c>
      <c r="H39" s="1566"/>
      <c r="I39" s="668">
        <f>+'Exhibit I State'!I38+'Exhibit I Federal'!I21</f>
        <v>8.7000000000000011</v>
      </c>
      <c r="J39" s="1566"/>
      <c r="K39" s="668">
        <f>+'Exhibit I State'!K38+'Exhibit I Federal'!K21</f>
        <v>8.1999999999999975</v>
      </c>
      <c r="L39" s="66"/>
      <c r="M39" s="668">
        <f>+'Exhibit I State'!M38+'Exhibit I Federal'!M21</f>
        <v>8.6</v>
      </c>
      <c r="N39" s="66"/>
      <c r="O39" s="668">
        <f>+'Exhibit I State'!O38+'Exhibit I Federal'!O21</f>
        <v>8.300000000000006</v>
      </c>
      <c r="P39" s="66"/>
      <c r="Q39" s="668">
        <f>+'Exhibit I State'!Q38+'Exhibit I Federal'!Q21</f>
        <v>8.2999999999999954</v>
      </c>
      <c r="R39" s="66"/>
      <c r="S39" s="668">
        <f>+'Exhibit I State'!S38+'Exhibit I Federal'!S21</f>
        <v>8.0000000000000018</v>
      </c>
      <c r="T39" s="66"/>
      <c r="U39" s="668">
        <f>+'Exhibit I State'!U38+'Exhibit I Federal'!U21</f>
        <v>7.6000000000000014</v>
      </c>
      <c r="V39" s="66"/>
      <c r="W39" s="668">
        <f>+'Exhibit I State'!W38+'Exhibit I Federal'!W21</f>
        <v>8.3000000000000096</v>
      </c>
      <c r="X39" s="66"/>
      <c r="Y39" s="668">
        <f>+'Exhibit I State'!Y38+'Exhibit I Federal'!Y21</f>
        <v>8.3999999999999932</v>
      </c>
      <c r="Z39" s="66"/>
      <c r="AA39" s="668"/>
      <c r="AB39" s="170"/>
      <c r="AC39" s="170">
        <v>0</v>
      </c>
      <c r="AD39" s="66"/>
      <c r="AE39" s="57"/>
      <c r="AF39" s="1094">
        <f>ROUND(SUM(E39:AC39),1)</f>
        <v>93.8</v>
      </c>
      <c r="AG39" s="988"/>
      <c r="AH39" s="60"/>
      <c r="AI39" s="3618">
        <f>+'Exhibit I State'!AG38+'Exhibit I Federal'!AG21</f>
        <v>92.3</v>
      </c>
      <c r="AJ39" s="77"/>
      <c r="AK39" s="335"/>
      <c r="AL39" s="58">
        <f t="shared" si="0"/>
        <v>1.5</v>
      </c>
      <c r="AM39" s="333"/>
      <c r="AN39" s="1453">
        <f>ROUND(IF(AI39=0,0,AL39/ABS(AI39)),3)</f>
        <v>1.6E-2</v>
      </c>
      <c r="AO39" s="327"/>
    </row>
    <row r="40" spans="1:44" ht="15.75">
      <c r="A40" s="31"/>
      <c r="B40" s="903" t="s">
        <v>1160</v>
      </c>
      <c r="C40" s="31"/>
      <c r="D40" s="31"/>
      <c r="E40" s="668"/>
      <c r="F40" s="1566"/>
      <c r="G40" s="668"/>
      <c r="H40" s="1566"/>
      <c r="I40" s="668"/>
      <c r="J40" s="1566"/>
      <c r="K40" s="668"/>
      <c r="L40" s="66"/>
      <c r="M40" s="668"/>
      <c r="N40" s="66"/>
      <c r="O40" s="668"/>
      <c r="P40" s="66"/>
      <c r="Q40" s="668"/>
      <c r="R40" s="66"/>
      <c r="S40" s="668"/>
      <c r="T40" s="66"/>
      <c r="U40" s="668"/>
      <c r="V40" s="66"/>
      <c r="W40" s="668"/>
      <c r="X40" s="66"/>
      <c r="Y40" s="668"/>
      <c r="Z40" s="66"/>
      <c r="AA40" s="668"/>
      <c r="AB40" s="170"/>
      <c r="AC40" s="170"/>
      <c r="AD40" s="66"/>
      <c r="AE40" s="57"/>
      <c r="AF40" s="1094"/>
      <c r="AG40" s="988"/>
      <c r="AH40" s="60"/>
      <c r="AI40" s="3618"/>
      <c r="AJ40" s="77"/>
      <c r="AK40" s="335"/>
      <c r="AL40" s="58"/>
      <c r="AM40" s="333"/>
      <c r="AN40" s="1453"/>
      <c r="AO40" s="327"/>
    </row>
    <row r="41" spans="1:44" ht="15.75">
      <c r="A41" s="31"/>
      <c r="B41" s="903" t="s">
        <v>1072</v>
      </c>
      <c r="C41" s="31"/>
      <c r="D41" s="31"/>
      <c r="E41" s="668">
        <f>+'Exhibit I State'!E40+'Exhibit I Federal'!E23</f>
        <v>0.8</v>
      </c>
      <c r="F41" s="1566"/>
      <c r="G41" s="668">
        <f>+'Exhibit I State'!G40+'Exhibit I Federal'!G23</f>
        <v>5.6000000000000005</v>
      </c>
      <c r="H41" s="1566"/>
      <c r="I41" s="668">
        <f>+'Exhibit I State'!I40+'Exhibit I Federal'!I23</f>
        <v>3.6999999999999984</v>
      </c>
      <c r="J41" s="1566"/>
      <c r="K41" s="668">
        <f>+'Exhibit I State'!K40+'Exhibit I Federal'!K23</f>
        <v>2.5</v>
      </c>
      <c r="L41" s="66"/>
      <c r="M41" s="668">
        <f>+'Exhibit I State'!M40+'Exhibit I Federal'!M23</f>
        <v>10.7</v>
      </c>
      <c r="N41" s="66"/>
      <c r="O41" s="668">
        <f>+'Exhibit I State'!O40+'Exhibit I Federal'!O23</f>
        <v>1.3000000000000007</v>
      </c>
      <c r="P41" s="66"/>
      <c r="Q41" s="668">
        <f>+'Exhibit I State'!Q40+'Exhibit I Federal'!Q23</f>
        <v>1.1999999999999993</v>
      </c>
      <c r="R41" s="66"/>
      <c r="S41" s="668">
        <f>+'Exhibit I State'!S40+'Exhibit I Federal'!S23</f>
        <v>2</v>
      </c>
      <c r="T41" s="66"/>
      <c r="U41" s="668">
        <f>+'Exhibit I State'!U40+'Exhibit I Federal'!U23</f>
        <v>0.59999999999999787</v>
      </c>
      <c r="V41" s="66"/>
      <c r="W41" s="668">
        <f>+'Exhibit I State'!W40+'Exhibit I Federal'!W23</f>
        <v>0.60000000000000142</v>
      </c>
      <c r="X41" s="66"/>
      <c r="Y41" s="668">
        <f>+'Exhibit I State'!Y40+'Exhibit I Federal'!Y23</f>
        <v>2.3000000000000007</v>
      </c>
      <c r="Z41" s="66"/>
      <c r="AA41" s="668"/>
      <c r="AB41" s="170"/>
      <c r="AC41" s="170">
        <v>0</v>
      </c>
      <c r="AD41" s="66"/>
      <c r="AE41" s="57"/>
      <c r="AF41" s="1094">
        <f t="shared" ref="AF41:AF45" si="1">ROUND(SUM(E41:AC41),1)</f>
        <v>31.3</v>
      </c>
      <c r="AG41" s="988"/>
      <c r="AH41" s="60"/>
      <c r="AI41" s="3618">
        <f>+'Exhibit I State'!AG40+'Exhibit I Federal'!AG23</f>
        <v>31.4</v>
      </c>
      <c r="AJ41" s="77"/>
      <c r="AK41" s="335"/>
      <c r="AL41" s="58">
        <f t="shared" si="0"/>
        <v>-0.1</v>
      </c>
      <c r="AM41" s="333"/>
      <c r="AN41" s="1453">
        <f>ROUND(IF(AI41=0,0,AL41/ABS(AI41)),3)</f>
        <v>-3.0000000000000001E-3</v>
      </c>
      <c r="AO41" s="327"/>
    </row>
    <row r="42" spans="1:44" ht="15.75">
      <c r="A42" s="31"/>
      <c r="B42" s="903" t="s">
        <v>1221</v>
      </c>
      <c r="C42" s="31"/>
      <c r="D42" s="31"/>
      <c r="E42" s="668">
        <f>+'Exhibit I State'!E41+'Exhibit I Federal'!E24</f>
        <v>0</v>
      </c>
      <c r="F42" s="1566"/>
      <c r="G42" s="668">
        <f>+'Exhibit I State'!G41+'Exhibit I Federal'!G24</f>
        <v>0</v>
      </c>
      <c r="H42" s="1566"/>
      <c r="I42" s="668">
        <f>+'Exhibit I State'!I41+'Exhibit I Federal'!I24</f>
        <v>0</v>
      </c>
      <c r="J42" s="1566"/>
      <c r="K42" s="668">
        <f>+'Exhibit I State'!K41+'Exhibit I Federal'!K24</f>
        <v>0</v>
      </c>
      <c r="L42" s="66"/>
      <c r="M42" s="668">
        <f>+'Exhibit I State'!M41+'Exhibit I Federal'!M24</f>
        <v>0</v>
      </c>
      <c r="N42" s="66"/>
      <c r="O42" s="668">
        <f>+'Exhibit I State'!O41+'Exhibit I Federal'!O24</f>
        <v>0</v>
      </c>
      <c r="P42" s="66"/>
      <c r="Q42" s="668">
        <f>+'Exhibit I State'!Q41+'Exhibit I Federal'!Q24</f>
        <v>0</v>
      </c>
      <c r="R42" s="66"/>
      <c r="S42" s="668">
        <f>+'Exhibit I State'!S41+'Exhibit I Federal'!S24</f>
        <v>0</v>
      </c>
      <c r="T42" s="66"/>
      <c r="U42" s="668">
        <f>+'Exhibit I State'!U41+'Exhibit I Federal'!U24</f>
        <v>0</v>
      </c>
      <c r="V42" s="66"/>
      <c r="W42" s="668">
        <f>+'Exhibit I State'!W41+'Exhibit I Federal'!W24</f>
        <v>0</v>
      </c>
      <c r="X42" s="66"/>
      <c r="Y42" s="668">
        <f>+'Exhibit I State'!Y41+'Exhibit I Federal'!Y24</f>
        <v>0</v>
      </c>
      <c r="Z42" s="66"/>
      <c r="AA42" s="668"/>
      <c r="AB42" s="170"/>
      <c r="AC42" s="170">
        <v>0</v>
      </c>
      <c r="AD42" s="66"/>
      <c r="AE42" s="57"/>
      <c r="AF42" s="1094">
        <f t="shared" si="1"/>
        <v>0</v>
      </c>
      <c r="AG42" s="1511"/>
      <c r="AH42" s="60"/>
      <c r="AI42" s="3618">
        <f>+'Exhibit I State'!AG41+'Exhibit I Federal'!AG24</f>
        <v>0</v>
      </c>
      <c r="AJ42" s="77"/>
      <c r="AK42" s="335"/>
      <c r="AL42" s="58">
        <f>ROUND(SUM(+AF42-AI42),1)</f>
        <v>0</v>
      </c>
      <c r="AM42" s="333"/>
      <c r="AN42" s="1453">
        <f>ROUND(IF(AI42=0,0,AL42/ABS(AI42)),3)</f>
        <v>0</v>
      </c>
      <c r="AO42" s="327"/>
    </row>
    <row r="43" spans="1:44" ht="15.75">
      <c r="A43" s="31"/>
      <c r="B43" s="903" t="s">
        <v>1075</v>
      </c>
      <c r="C43" s="31"/>
      <c r="D43" s="31"/>
      <c r="E43" s="668">
        <f>+'Exhibit I State'!E42+'Exhibit I Federal'!E25</f>
        <v>67</v>
      </c>
      <c r="F43" s="1566"/>
      <c r="G43" s="668">
        <f>+'Exhibit I State'!G42+'Exhibit I Federal'!G25</f>
        <v>69.300000000000011</v>
      </c>
      <c r="H43" s="1566"/>
      <c r="I43" s="668">
        <f>+'Exhibit I State'!I42+'Exhibit I Federal'!I25</f>
        <v>65.399999999999977</v>
      </c>
      <c r="J43" s="1566"/>
      <c r="K43" s="668">
        <f>+'Exhibit I State'!K42+'Exhibit I Federal'!K25</f>
        <v>60.800000000000011</v>
      </c>
      <c r="L43" s="66"/>
      <c r="M43" s="668">
        <f>+'Exhibit I State'!M42+'Exhibit I Federal'!M25</f>
        <v>63.600000000000023</v>
      </c>
      <c r="N43" s="66"/>
      <c r="O43" s="668">
        <f>+'Exhibit I State'!O42+'Exhibit I Federal'!O25</f>
        <v>60.399999999999977</v>
      </c>
      <c r="P43" s="66"/>
      <c r="Q43" s="668">
        <f>+'Exhibit I State'!Q42+'Exhibit I Federal'!Q25</f>
        <v>57.399999999999977</v>
      </c>
      <c r="R43" s="66"/>
      <c r="S43" s="668">
        <f>+'Exhibit I State'!S42+'Exhibit I Federal'!S25</f>
        <v>58.5</v>
      </c>
      <c r="T43" s="66"/>
      <c r="U43" s="668">
        <f>+'Exhibit I State'!U42+'Exhibit I Federal'!U25</f>
        <v>52.299999999999955</v>
      </c>
      <c r="V43" s="66"/>
      <c r="W43" s="668">
        <f>+'Exhibit I State'!W42+'Exhibit I Federal'!W25</f>
        <v>59.900000000000091</v>
      </c>
      <c r="X43" s="66"/>
      <c r="Y43" s="668">
        <f>+'Exhibit I State'!Y42+'Exhibit I Federal'!Y25</f>
        <v>61.400000000000034</v>
      </c>
      <c r="Z43" s="66"/>
      <c r="AA43" s="668"/>
      <c r="AB43" s="170"/>
      <c r="AC43" s="170">
        <v>0</v>
      </c>
      <c r="AD43" s="66"/>
      <c r="AE43" s="57"/>
      <c r="AF43" s="1094">
        <f>ROUND(SUM(E43:AC43),1)</f>
        <v>676</v>
      </c>
      <c r="AG43" s="988"/>
      <c r="AH43" s="60"/>
      <c r="AI43" s="3618">
        <f>+'Exhibit I State'!AG42+'Exhibit I Federal'!AG25</f>
        <v>663.3</v>
      </c>
      <c r="AJ43" s="77"/>
      <c r="AK43" s="335"/>
      <c r="AL43" s="58">
        <f t="shared" si="0"/>
        <v>12.7</v>
      </c>
      <c r="AM43" s="333"/>
      <c r="AN43" s="1453">
        <f>ROUND(IF(AI43=0,0,AL43/ABS(AI43)),3)</f>
        <v>1.9E-2</v>
      </c>
      <c r="AO43" s="327"/>
    </row>
    <row r="44" spans="1:44" ht="15.75">
      <c r="A44" s="31"/>
      <c r="B44" s="903" t="s">
        <v>1076</v>
      </c>
      <c r="C44" s="31"/>
      <c r="D44" s="31"/>
      <c r="E44" s="668">
        <f>+'Exhibit I State'!E43+'Exhibit I Federal'!E26</f>
        <v>0.2</v>
      </c>
      <c r="F44" s="1566"/>
      <c r="G44" s="668">
        <f>+'Exhibit I State'!G43+'Exhibit I Federal'!G26</f>
        <v>9.9999999999999978E-2</v>
      </c>
      <c r="H44" s="1566"/>
      <c r="I44" s="668">
        <f>+'Exhibit I State'!I43+'Exhibit I Federal'!I26</f>
        <v>0</v>
      </c>
      <c r="J44" s="1566"/>
      <c r="K44" s="668">
        <f>+'Exhibit I State'!K43+'Exhibit I Federal'!K26</f>
        <v>0</v>
      </c>
      <c r="L44" s="66"/>
      <c r="M44" s="668">
        <f>+'Exhibit I State'!M43+'Exhibit I Federal'!M26</f>
        <v>0</v>
      </c>
      <c r="N44" s="66"/>
      <c r="O44" s="668">
        <f>+'Exhibit I State'!O43+'Exhibit I Federal'!O26</f>
        <v>2.9999999999999996</v>
      </c>
      <c r="P44" s="66"/>
      <c r="Q44" s="668">
        <f>+'Exhibit I State'!Q43+'Exhibit I Federal'!Q26</f>
        <v>12.800000000000002</v>
      </c>
      <c r="R44" s="66"/>
      <c r="S44" s="668">
        <f>+'Exhibit I State'!S43+'Exhibit I Federal'!S26</f>
        <v>-1.2000000000000011</v>
      </c>
      <c r="T44" s="66"/>
      <c r="U44" s="668">
        <f>+'Exhibit I State'!U43+'Exhibit I Federal'!U26</f>
        <v>0</v>
      </c>
      <c r="V44" s="66"/>
      <c r="W44" s="668">
        <f>+'Exhibit I State'!W43+'Exhibit I Federal'!W26</f>
        <v>15.899999999999999</v>
      </c>
      <c r="X44" s="66"/>
      <c r="Y44" s="668">
        <f>+'Exhibit I State'!Y43+'Exhibit I Federal'!Y26</f>
        <v>0.10000000000000142</v>
      </c>
      <c r="Z44" s="66"/>
      <c r="AA44" s="668"/>
      <c r="AB44" s="170"/>
      <c r="AC44" s="170">
        <v>0</v>
      </c>
      <c r="AD44" s="66"/>
      <c r="AE44" s="57"/>
      <c r="AF44" s="1094">
        <f t="shared" si="1"/>
        <v>30.9</v>
      </c>
      <c r="AG44" s="988"/>
      <c r="AH44" s="60"/>
      <c r="AI44" s="3619">
        <f>+'Exhibit I State'!AG43+'Exhibit I Federal'!AG26</f>
        <v>33.4</v>
      </c>
      <c r="AJ44" s="77"/>
      <c r="AK44" s="335"/>
      <c r="AL44" s="679">
        <f>ROUND(SUM(+AF44-AI44),1)</f>
        <v>-2.5</v>
      </c>
      <c r="AM44" s="954"/>
      <c r="AN44" s="1453">
        <f>ROUND(IF(AI44=0,1,AL44/ABS(AI44)),3)</f>
        <v>-7.4999999999999997E-2</v>
      </c>
      <c r="AO44" s="327"/>
    </row>
    <row r="45" spans="1:44" ht="15.75">
      <c r="A45" s="31"/>
      <c r="B45" s="903" t="s">
        <v>1034</v>
      </c>
      <c r="C45" s="31"/>
      <c r="D45" s="31"/>
      <c r="E45" s="668">
        <f>+'Exhibit I State'!E44+'Exhibit I Federal'!E27</f>
        <v>2.2999999999999998</v>
      </c>
      <c r="F45" s="1566"/>
      <c r="G45" s="668">
        <f>+'Exhibit I State'!G44+'Exhibit I Federal'!G27</f>
        <v>2</v>
      </c>
      <c r="H45" s="1566"/>
      <c r="I45" s="668">
        <f>+'Exhibit I State'!I44+'Exhibit I Federal'!I27</f>
        <v>2.3000000000000007</v>
      </c>
      <c r="J45" s="1566"/>
      <c r="K45" s="668">
        <f>+'Exhibit I State'!K44+'Exhibit I Federal'!K27</f>
        <v>1.7000000000000002</v>
      </c>
      <c r="L45" s="66"/>
      <c r="M45" s="668">
        <f>+'Exhibit I State'!M44+'Exhibit I Federal'!M27</f>
        <v>1.6999999999999993</v>
      </c>
      <c r="N45" s="66"/>
      <c r="O45" s="668">
        <f>+'Exhibit I State'!O44+'Exhibit I Federal'!O27</f>
        <v>2.2999999999999998</v>
      </c>
      <c r="P45" s="66"/>
      <c r="Q45" s="668">
        <f>+'Exhibit I State'!Q44+'Exhibit I Federal'!Q27</f>
        <v>1.8999999999999986</v>
      </c>
      <c r="R45" s="66"/>
      <c r="S45" s="668">
        <f>+'Exhibit I State'!S44+'Exhibit I Federal'!S27</f>
        <v>5.1000000000000023</v>
      </c>
      <c r="T45" s="66"/>
      <c r="U45" s="668">
        <f>+'Exhibit I State'!U44+'Exhibit I Federal'!U27</f>
        <v>1.2999999999999998</v>
      </c>
      <c r="V45" s="66"/>
      <c r="W45" s="668">
        <f>+'Exhibit I State'!W44+'Exhibit I Federal'!W27</f>
        <v>1.5999999999999979</v>
      </c>
      <c r="X45" s="66"/>
      <c r="Y45" s="668">
        <f>+'Exhibit I State'!Y44+'Exhibit I Federal'!Y27</f>
        <v>0.5</v>
      </c>
      <c r="Z45" s="66"/>
      <c r="AA45" s="668"/>
      <c r="AB45" s="170"/>
      <c r="AC45" s="170">
        <v>0</v>
      </c>
      <c r="AD45" s="66"/>
      <c r="AE45" s="57"/>
      <c r="AF45" s="1094">
        <f t="shared" si="1"/>
        <v>22.7</v>
      </c>
      <c r="AG45" s="988"/>
      <c r="AH45" s="60"/>
      <c r="AI45" s="3618">
        <f>+'Exhibit I State'!AG44+'Exhibit I Federal'!AG27</f>
        <v>23.4</v>
      </c>
      <c r="AJ45" s="77"/>
      <c r="AK45" s="335"/>
      <c r="AL45" s="58">
        <f t="shared" si="0"/>
        <v>-0.7</v>
      </c>
      <c r="AM45" s="333"/>
      <c r="AN45" s="1509">
        <f>ROUND(IF(AI45=0,1,AL45/ABS(AI45)),3)</f>
        <v>-0.03</v>
      </c>
      <c r="AO45" s="327"/>
    </row>
    <row r="46" spans="1:44" ht="15.75">
      <c r="A46" s="31"/>
      <c r="B46" s="903" t="s">
        <v>1035</v>
      </c>
      <c r="C46" s="31"/>
      <c r="D46" s="31"/>
      <c r="E46" s="668">
        <f>+'Exhibit I State'!E45+'Exhibit I Federal'!E28</f>
        <v>1.1000000000000001</v>
      </c>
      <c r="F46" s="1566"/>
      <c r="G46" s="668">
        <f>+'Exhibit I State'!G45+'Exhibit I Federal'!G28</f>
        <v>1</v>
      </c>
      <c r="H46" s="1566"/>
      <c r="I46" s="668">
        <f>+'Exhibit I State'!I45+'Exhibit I Federal'!I28</f>
        <v>1</v>
      </c>
      <c r="J46" s="1566"/>
      <c r="K46" s="668">
        <f>+'Exhibit I State'!K45+'Exhibit I Federal'!K28</f>
        <v>1.0999999999999992</v>
      </c>
      <c r="L46" s="66"/>
      <c r="M46" s="668">
        <f>+'Exhibit I State'!M45+'Exhibit I Federal'!M28</f>
        <v>1.0000000000000004</v>
      </c>
      <c r="N46" s="66"/>
      <c r="O46" s="668">
        <f>+'Exhibit I State'!O45+'Exhibit I Federal'!O28</f>
        <v>1</v>
      </c>
      <c r="P46" s="66"/>
      <c r="Q46" s="668">
        <f>+'Exhibit I State'!Q45+'Exhibit I Federal'!Q28</f>
        <v>1</v>
      </c>
      <c r="R46" s="66"/>
      <c r="S46" s="668">
        <f>+'Exhibit I State'!S45+'Exhibit I Federal'!S28</f>
        <v>0.90000000000000036</v>
      </c>
      <c r="T46" s="66"/>
      <c r="U46" s="668">
        <f>+'Exhibit I State'!U45+'Exhibit I Federal'!U28</f>
        <v>0.80000000000000027</v>
      </c>
      <c r="V46" s="66"/>
      <c r="W46" s="668">
        <f>+'Exhibit I State'!W45+'Exhibit I Federal'!W28</f>
        <v>0.79999999999999938</v>
      </c>
      <c r="X46" s="66"/>
      <c r="Y46" s="668">
        <f>+'Exhibit I State'!Y45+'Exhibit I Federal'!Y28</f>
        <v>0.80000000000000071</v>
      </c>
      <c r="Z46" s="66"/>
      <c r="AA46" s="668"/>
      <c r="AB46" s="170"/>
      <c r="AC46" s="170">
        <v>0</v>
      </c>
      <c r="AD46" s="66"/>
      <c r="AE46" s="57"/>
      <c r="AF46" s="1094">
        <f>ROUND(SUM(E46:AC46),1)</f>
        <v>10.5</v>
      </c>
      <c r="AG46" s="988"/>
      <c r="AH46" s="60"/>
      <c r="AI46" s="3618">
        <f>+'Exhibit I State'!AG45+'Exhibit I Federal'!AG28</f>
        <v>10</v>
      </c>
      <c r="AJ46" s="77"/>
      <c r="AK46" s="335"/>
      <c r="AL46" s="58">
        <f>ROUND(SUM(+AF46-AI46),1)</f>
        <v>0.5</v>
      </c>
      <c r="AM46" s="333"/>
      <c r="AN46" s="1453">
        <f>ROUND(IF(AI46=0,1,AL46/ABS(AI46)),3)</f>
        <v>0.05</v>
      </c>
      <c r="AO46" s="327"/>
    </row>
    <row r="47" spans="1:44" ht="15.75">
      <c r="A47" s="31"/>
      <c r="B47" s="903" t="s">
        <v>1158</v>
      </c>
      <c r="C47" s="31"/>
      <c r="D47" s="31"/>
      <c r="E47" s="668"/>
      <c r="F47" s="1566"/>
      <c r="G47" s="668"/>
      <c r="H47" s="1566"/>
      <c r="I47" s="668"/>
      <c r="J47" s="1566"/>
      <c r="K47" s="668"/>
      <c r="L47" s="66"/>
      <c r="M47" s="668"/>
      <c r="N47" s="66"/>
      <c r="O47" s="668"/>
      <c r="P47" s="66"/>
      <c r="Q47" s="668"/>
      <c r="R47" s="66"/>
      <c r="S47" s="668"/>
      <c r="T47" s="66"/>
      <c r="U47" s="668"/>
      <c r="V47" s="66"/>
      <c r="W47" s="668"/>
      <c r="X47" s="66"/>
      <c r="Y47" s="668"/>
      <c r="Z47" s="66"/>
      <c r="AA47" s="668"/>
      <c r="AB47" s="170"/>
      <c r="AC47" s="170"/>
      <c r="AD47" s="66"/>
      <c r="AE47" s="57"/>
      <c r="AF47" s="1094"/>
      <c r="AG47" s="988"/>
      <c r="AH47" s="60"/>
      <c r="AI47" s="3618"/>
      <c r="AJ47" s="77"/>
      <c r="AK47" s="335"/>
      <c r="AL47" s="58"/>
      <c r="AM47" s="333"/>
      <c r="AN47" s="8"/>
      <c r="AO47" s="327"/>
    </row>
    <row r="48" spans="1:44" ht="15.75">
      <c r="A48" s="31"/>
      <c r="B48" s="903" t="s">
        <v>1080</v>
      </c>
      <c r="C48" s="31"/>
      <c r="D48" s="31"/>
      <c r="E48" s="668">
        <f>+'Exhibit I State'!E47+'Exhibit I Federal'!E30</f>
        <v>200.8</v>
      </c>
      <c r="F48" s="1566"/>
      <c r="G48" s="668">
        <f>+'Exhibit I State'!G47+'Exhibit I Federal'!G30</f>
        <v>2.8</v>
      </c>
      <c r="H48" s="1566"/>
      <c r="I48" s="668">
        <f>+'Exhibit I State'!I47+'Exhibit I Federal'!I30</f>
        <v>146.39999999999998</v>
      </c>
      <c r="J48" s="1566"/>
      <c r="K48" s="668">
        <f>+'Exhibit I State'!K47+'Exhibit I Federal'!K30</f>
        <v>155.30000000000001</v>
      </c>
      <c r="L48" s="66"/>
      <c r="M48" s="668">
        <f>+'Exhibit I State'!M47+'Exhibit I Federal'!M30</f>
        <v>79.199999999999989</v>
      </c>
      <c r="N48" s="66"/>
      <c r="O48" s="668">
        <f>+'Exhibit I State'!O47+'Exhibit I Federal'!O30</f>
        <v>499.09999999999997</v>
      </c>
      <c r="P48" s="66"/>
      <c r="Q48" s="668">
        <f>+'Exhibit I State'!Q47+'Exhibit I Federal'!Q30</f>
        <v>1588.1999999999998</v>
      </c>
      <c r="R48" s="66"/>
      <c r="S48" s="668">
        <f>+'Exhibit I State'!S47+'Exhibit I Federal'!S30</f>
        <v>23.599999999999909</v>
      </c>
      <c r="T48" s="66"/>
      <c r="U48" s="668">
        <f>+'Exhibit I State'!U47+'Exhibit I Federal'!U30</f>
        <v>328.29999999999973</v>
      </c>
      <c r="V48" s="66"/>
      <c r="W48" s="668">
        <f>+'Exhibit I State'!W47+'Exhibit I Federal'!W30</f>
        <v>519.40000000000009</v>
      </c>
      <c r="X48" s="66"/>
      <c r="Y48" s="668">
        <f>+'Exhibit I State'!Y47+'Exhibit I Federal'!Y30</f>
        <v>11.900000000000091</v>
      </c>
      <c r="Z48" s="66"/>
      <c r="AA48" s="668"/>
      <c r="AB48" s="170"/>
      <c r="AC48" s="170">
        <v>0</v>
      </c>
      <c r="AD48" s="66"/>
      <c r="AE48" s="57"/>
      <c r="AF48" s="1094">
        <f>ROUND(SUM(E48:AC48),1)</f>
        <v>3555</v>
      </c>
      <c r="AG48" s="988"/>
      <c r="AH48" s="60"/>
      <c r="AI48" s="3618">
        <f>+'Exhibit I State'!AG47+'Exhibit I Federal'!AG30</f>
        <v>4960.7</v>
      </c>
      <c r="AJ48" s="77"/>
      <c r="AK48" s="335"/>
      <c r="AL48" s="58">
        <f t="shared" si="0"/>
        <v>-1405.7</v>
      </c>
      <c r="AM48" s="333"/>
      <c r="AN48" s="1920">
        <f>ROUND(IF(AI48=0,1,AL48/ABS(AI48)),3)</f>
        <v>-0.28299999999999997</v>
      </c>
      <c r="AO48" s="327"/>
    </row>
    <row r="49" spans="1:41" ht="15.75">
      <c r="A49" s="31"/>
      <c r="B49" s="903" t="s">
        <v>1082</v>
      </c>
      <c r="C49" s="31"/>
      <c r="D49" s="31"/>
      <c r="E49" s="668">
        <f>+'Exhibit I State'!E48+'Exhibit I Federal'!E31</f>
        <v>0</v>
      </c>
      <c r="F49" s="668">
        <v>0</v>
      </c>
      <c r="G49" s="668">
        <f>+'Exhibit I State'!G48+'Exhibit I Federal'!G31</f>
        <v>0</v>
      </c>
      <c r="H49" s="668"/>
      <c r="I49" s="668">
        <f>+'Exhibit I State'!I48+'Exhibit I Federal'!I31</f>
        <v>0</v>
      </c>
      <c r="J49" s="668"/>
      <c r="K49" s="668">
        <f>+'Exhibit I State'!K48+'Exhibit I Federal'!K31</f>
        <v>0</v>
      </c>
      <c r="L49" s="170"/>
      <c r="M49" s="668">
        <f>+'Exhibit I State'!M48+'Exhibit I Federal'!M31</f>
        <v>0</v>
      </c>
      <c r="N49" s="170"/>
      <c r="O49" s="668">
        <f>+'Exhibit I State'!O48+'Exhibit I Federal'!O31</f>
        <v>0</v>
      </c>
      <c r="P49" s="170"/>
      <c r="Q49" s="668">
        <f>+'Exhibit I State'!Q48+'Exhibit I Federal'!Q31</f>
        <v>0</v>
      </c>
      <c r="R49" s="66"/>
      <c r="S49" s="668">
        <f>+'Exhibit I State'!S48+'Exhibit I Federal'!S31</f>
        <v>0</v>
      </c>
      <c r="T49" s="66"/>
      <c r="U49" s="668">
        <f>+'Exhibit I State'!U48+'Exhibit I Federal'!U31</f>
        <v>0</v>
      </c>
      <c r="V49" s="66"/>
      <c r="W49" s="668">
        <f>+'Exhibit I State'!W48+'Exhibit I Federal'!W31</f>
        <v>0</v>
      </c>
      <c r="X49" s="66"/>
      <c r="Y49" s="668">
        <f>+'Exhibit I State'!Y48+'Exhibit I Federal'!Y31</f>
        <v>0</v>
      </c>
      <c r="Z49" s="66"/>
      <c r="AA49" s="668"/>
      <c r="AB49" s="170"/>
      <c r="AC49" s="170">
        <v>0</v>
      </c>
      <c r="AD49" s="66"/>
      <c r="AE49" s="57"/>
      <c r="AF49" s="1094">
        <f>ROUND(SUM(E49:AC49),1)</f>
        <v>0</v>
      </c>
      <c r="AG49" s="1511"/>
      <c r="AH49" s="60"/>
      <c r="AI49" s="3618">
        <f>+'Exhibit I State'!AG48+'Exhibit I Federal'!AG31</f>
        <v>0</v>
      </c>
      <c r="AJ49" s="77"/>
      <c r="AK49" s="335"/>
      <c r="AL49" s="58">
        <f t="shared" si="0"/>
        <v>0</v>
      </c>
      <c r="AM49" s="333"/>
      <c r="AN49" s="1453">
        <f>ROUND(IF(AI49=0,0,AL49/ABS(AI49)),3)</f>
        <v>0</v>
      </c>
      <c r="AO49" s="327"/>
    </row>
    <row r="50" spans="1:41" ht="15.75">
      <c r="A50" s="31"/>
      <c r="B50" s="903" t="s">
        <v>1083</v>
      </c>
      <c r="C50" s="31"/>
      <c r="D50" s="31"/>
      <c r="E50" s="668">
        <f>+'Exhibit I State'!E49+'Exhibit I Federal'!E32</f>
        <v>3.5</v>
      </c>
      <c r="F50" s="1566"/>
      <c r="G50" s="668">
        <f>+'Exhibit I State'!G49+'Exhibit I Federal'!G32</f>
        <v>0.10000000000000009</v>
      </c>
      <c r="H50" s="1566"/>
      <c r="I50" s="668">
        <f>+'Exhibit I State'!I49+'Exhibit I Federal'!I32</f>
        <v>0.39999999999999991</v>
      </c>
      <c r="J50" s="1566"/>
      <c r="K50" s="668">
        <f>+'Exhibit I State'!K49+'Exhibit I Federal'!K32</f>
        <v>-0.10000000000000009</v>
      </c>
      <c r="L50" s="66"/>
      <c r="M50" s="668">
        <f>+'Exhibit I State'!M49+'Exhibit I Federal'!M32</f>
        <v>0</v>
      </c>
      <c r="N50" s="66"/>
      <c r="O50" s="668">
        <f>+'Exhibit I State'!O49+'Exhibit I Federal'!O32</f>
        <v>0</v>
      </c>
      <c r="P50" s="66"/>
      <c r="Q50" s="668">
        <f>+'Exhibit I State'!Q49+'Exhibit I Federal'!Q32</f>
        <v>20.400000000000002</v>
      </c>
      <c r="R50" s="66"/>
      <c r="S50" s="668">
        <f>+'Exhibit I State'!S49+'Exhibit I Federal'!S32</f>
        <v>25.3</v>
      </c>
      <c r="T50" s="66"/>
      <c r="U50" s="668">
        <f>+'Exhibit I State'!U49+'Exhibit I Federal'!U32</f>
        <v>0.39999999999999858</v>
      </c>
      <c r="V50" s="66"/>
      <c r="W50" s="668">
        <f>+'Exhibit I State'!W49+'Exhibit I Federal'!W32</f>
        <v>2.2999999999999972</v>
      </c>
      <c r="X50" s="66"/>
      <c r="Y50" s="668">
        <f>+'Exhibit I State'!Y49+'Exhibit I Federal'!Y32</f>
        <v>0.90000000000000568</v>
      </c>
      <c r="Z50" s="66"/>
      <c r="AA50" s="668"/>
      <c r="AB50" s="170"/>
      <c r="AC50" s="170">
        <v>0</v>
      </c>
      <c r="AD50" s="66"/>
      <c r="AE50" s="57"/>
      <c r="AF50" s="1094">
        <f>ROUND(SUM(E50:AC50),1)</f>
        <v>53.2</v>
      </c>
      <c r="AG50" s="988"/>
      <c r="AH50" s="60"/>
      <c r="AI50" s="3618">
        <f>+'Exhibit I State'!AG49+'Exhibit I Federal'!AG32</f>
        <v>5.6</v>
      </c>
      <c r="AJ50" s="77"/>
      <c r="AK50" s="335"/>
      <c r="AL50" s="58">
        <f t="shared" si="0"/>
        <v>47.6</v>
      </c>
      <c r="AM50" s="333"/>
      <c r="AN50" s="1594">
        <f>ROUND(IF(AI50=0,1,AL50/ABS(AI50)),3)</f>
        <v>8.5</v>
      </c>
      <c r="AO50" s="327"/>
    </row>
    <row r="51" spans="1:41" ht="15.75">
      <c r="A51" s="31"/>
      <c r="B51" s="903" t="s">
        <v>1053</v>
      </c>
      <c r="C51" s="31"/>
      <c r="D51" s="31"/>
      <c r="E51" s="668">
        <f>+'Exhibit I State'!E50+'Exhibit I Federal'!E33</f>
        <v>0.3</v>
      </c>
      <c r="F51" s="1566"/>
      <c r="G51" s="668">
        <f>+'Exhibit I State'!G50+'Exhibit I Federal'!G33</f>
        <v>0</v>
      </c>
      <c r="H51" s="1566"/>
      <c r="I51" s="668">
        <f>+'Exhibit I State'!I50+'Exhibit I Federal'!I33</f>
        <v>0.3</v>
      </c>
      <c r="J51" s="1566"/>
      <c r="K51" s="668">
        <f>+'Exhibit I State'!K50+'Exhibit I Federal'!K33</f>
        <v>0</v>
      </c>
      <c r="L51" s="66"/>
      <c r="M51" s="668">
        <f>+'Exhibit I State'!M50+'Exhibit I Federal'!M33</f>
        <v>0.3000000000000001</v>
      </c>
      <c r="N51" s="66"/>
      <c r="O51" s="668">
        <f>+'Exhibit I State'!O50+'Exhibit I Federal'!O33</f>
        <v>0.1999999999999999</v>
      </c>
      <c r="P51" s="66"/>
      <c r="Q51" s="668">
        <f>+'Exhibit I State'!Q50+'Exhibit I Federal'!Q33</f>
        <v>0.19999999999999996</v>
      </c>
      <c r="R51" s="66"/>
      <c r="S51" s="668">
        <f>+'Exhibit I State'!S50+'Exhibit I Federal'!S33</f>
        <v>0.39999999999999991</v>
      </c>
      <c r="T51" s="66"/>
      <c r="U51" s="668">
        <f>+'Exhibit I State'!U50+'Exhibit I Federal'!U33</f>
        <v>0.10000000000000009</v>
      </c>
      <c r="V51" s="66"/>
      <c r="W51" s="668">
        <f>+'Exhibit I State'!W50+'Exhibit I Federal'!W33</f>
        <v>1.3000000000000005</v>
      </c>
      <c r="X51" s="66"/>
      <c r="Y51" s="668">
        <f>+'Exhibit I State'!Y50+'Exhibit I Federal'!Y33</f>
        <v>0.69999999999999951</v>
      </c>
      <c r="Z51" s="66"/>
      <c r="AA51" s="668"/>
      <c r="AB51" s="170"/>
      <c r="AC51" s="170">
        <v>0</v>
      </c>
      <c r="AD51" s="66"/>
      <c r="AE51" s="57"/>
      <c r="AF51" s="1094">
        <f>ROUND(SUM(E51:AC51),1)</f>
        <v>3.8</v>
      </c>
      <c r="AG51" s="988"/>
      <c r="AH51" s="60"/>
      <c r="AI51" s="3618">
        <f>+'Exhibit I State'!AG50+'Exhibit I Federal'!AG33</f>
        <v>1.2</v>
      </c>
      <c r="AJ51" s="77"/>
      <c r="AK51" s="335"/>
      <c r="AL51" s="58">
        <f t="shared" si="0"/>
        <v>2.6</v>
      </c>
      <c r="AM51" s="333"/>
      <c r="AN51" s="8">
        <f>ROUND(IF(AI51=0,0,AL51/ABS(AI51)),3)</f>
        <v>2.1669999999999998</v>
      </c>
      <c r="AO51" s="327"/>
    </row>
    <row r="52" spans="1:41" ht="15.75">
      <c r="A52" s="31"/>
      <c r="B52" s="903" t="s">
        <v>1054</v>
      </c>
      <c r="C52" s="31"/>
      <c r="D52" s="31"/>
      <c r="E52" s="668">
        <f>+'Exhibit I State'!E51+'Exhibit I Federal'!E34</f>
        <v>0.9</v>
      </c>
      <c r="F52" s="1566"/>
      <c r="G52" s="668">
        <f>+'Exhibit I State'!G51+'Exhibit I Federal'!G34</f>
        <v>0.8</v>
      </c>
      <c r="H52" s="1566"/>
      <c r="I52" s="668">
        <f>+'Exhibit I State'!I51+'Exhibit I Federal'!I34</f>
        <v>0.49999999999999989</v>
      </c>
      <c r="J52" s="1566"/>
      <c r="K52" s="668">
        <f>+'Exhibit I State'!K51+'Exhibit I Federal'!K34</f>
        <v>0.6</v>
      </c>
      <c r="L52" s="66"/>
      <c r="M52" s="668">
        <f>+'Exhibit I State'!M51+'Exhibit I Federal'!M34</f>
        <v>1.6</v>
      </c>
      <c r="N52" s="66"/>
      <c r="O52" s="668">
        <f>+'Exhibit I State'!O51+'Exhibit I Federal'!O34</f>
        <v>0.69999999999999973</v>
      </c>
      <c r="P52" s="66"/>
      <c r="Q52" s="668">
        <f>+'Exhibit I State'!Q51+'Exhibit I Federal'!Q34</f>
        <v>0.70000000000000051</v>
      </c>
      <c r="R52" s="66"/>
      <c r="S52" s="668">
        <f>+'Exhibit I State'!S51+'Exhibit I Federal'!S34</f>
        <v>0.79999999999999971</v>
      </c>
      <c r="T52" s="66"/>
      <c r="U52" s="668">
        <f>+'Exhibit I State'!U51+'Exhibit I Federal'!U34</f>
        <v>0.40000000000000036</v>
      </c>
      <c r="V52" s="66"/>
      <c r="W52" s="668">
        <f>+'Exhibit I State'!W51+'Exhibit I Federal'!W34</f>
        <v>1.0999999999999999</v>
      </c>
      <c r="X52" s="66"/>
      <c r="Y52" s="668">
        <f>+'Exhibit I State'!Y51+'Exhibit I Federal'!Y34</f>
        <v>0.19999999999999929</v>
      </c>
      <c r="Z52" s="66"/>
      <c r="AA52" s="668"/>
      <c r="AB52" s="170"/>
      <c r="AC52" s="170">
        <v>0</v>
      </c>
      <c r="AD52" s="66"/>
      <c r="AE52" s="57"/>
      <c r="AF52" s="1094">
        <f>ROUND(SUM(E52:AC52),1)</f>
        <v>8.3000000000000007</v>
      </c>
      <c r="AG52" s="988"/>
      <c r="AH52" s="60"/>
      <c r="AI52" s="3620">
        <f>+'Exhibit I State'!AG51+'Exhibit I Federal'!AG34</f>
        <v>11.899999999999999</v>
      </c>
      <c r="AJ52" s="77"/>
      <c r="AK52" s="335"/>
      <c r="AL52" s="58">
        <f t="shared" si="0"/>
        <v>-3.6</v>
      </c>
      <c r="AM52" s="333"/>
      <c r="AN52" s="8">
        <f>ROUND(IF(AI52=0,0,AL52/ABS(AI52)),3)</f>
        <v>-0.30299999999999999</v>
      </c>
      <c r="AO52" s="327"/>
    </row>
    <row r="53" spans="1:41" ht="15.75">
      <c r="A53" s="31"/>
      <c r="B53" s="903" t="s">
        <v>1159</v>
      </c>
      <c r="C53" s="31"/>
      <c r="D53" s="31"/>
      <c r="E53" s="668"/>
      <c r="F53" s="1566"/>
      <c r="G53" s="668"/>
      <c r="H53" s="1566"/>
      <c r="I53" s="668"/>
      <c r="J53" s="1566"/>
      <c r="K53" s="668"/>
      <c r="L53" s="66"/>
      <c r="M53" s="668"/>
      <c r="N53" s="66"/>
      <c r="O53" s="668"/>
      <c r="P53" s="66"/>
      <c r="Q53" s="668"/>
      <c r="R53" s="66"/>
      <c r="S53" s="668"/>
      <c r="T53" s="66"/>
      <c r="U53" s="668"/>
      <c r="V53" s="66"/>
      <c r="W53" s="668"/>
      <c r="X53" s="66"/>
      <c r="Y53" s="668"/>
      <c r="Z53" s="66"/>
      <c r="AA53" s="668"/>
      <c r="AB53" s="170"/>
      <c r="AC53" s="668" t="s">
        <v>15</v>
      </c>
      <c r="AD53" s="66"/>
      <c r="AE53" s="57"/>
      <c r="AF53" s="1094"/>
      <c r="AG53" s="988"/>
      <c r="AH53" s="60"/>
      <c r="AI53" s="3618"/>
      <c r="AJ53" s="77"/>
      <c r="AK53" s="335"/>
      <c r="AL53" s="58"/>
      <c r="AM53" s="333"/>
      <c r="AN53" s="8"/>
      <c r="AO53" s="327"/>
    </row>
    <row r="54" spans="1:41" ht="15.75">
      <c r="A54" s="31"/>
      <c r="B54" s="903" t="s">
        <v>1084</v>
      </c>
      <c r="C54" s="31"/>
      <c r="D54" s="31"/>
      <c r="E54" s="668">
        <f>+'Exhibit I State'!E53+'Exhibit I Federal'!E36</f>
        <v>0</v>
      </c>
      <c r="F54" s="1566"/>
      <c r="G54" s="668">
        <f>+'Exhibit I State'!G53+'Exhibit I Federal'!G36</f>
        <v>0</v>
      </c>
      <c r="H54" s="1566"/>
      <c r="I54" s="668">
        <f>+'Exhibit I State'!I53+'Exhibit I Federal'!I36</f>
        <v>0</v>
      </c>
      <c r="J54" s="1566"/>
      <c r="K54" s="668">
        <f>+'Exhibit I State'!K53+'Exhibit I Federal'!K36</f>
        <v>0</v>
      </c>
      <c r="L54" s="66"/>
      <c r="M54" s="668">
        <f>+'Exhibit I State'!M53+'Exhibit I Federal'!M36</f>
        <v>0</v>
      </c>
      <c r="N54" s="66"/>
      <c r="O54" s="668">
        <f>+'Exhibit I State'!O53+'Exhibit I Federal'!O36</f>
        <v>0</v>
      </c>
      <c r="P54" s="66"/>
      <c r="Q54" s="668">
        <f>+'Exhibit I State'!Q53+'Exhibit I Federal'!Q36</f>
        <v>0</v>
      </c>
      <c r="R54" s="66"/>
      <c r="S54" s="668">
        <f>+'Exhibit I State'!S53+'Exhibit I Federal'!S36</f>
        <v>0</v>
      </c>
      <c r="T54" s="66"/>
      <c r="U54" s="668">
        <f>+'Exhibit I State'!U53+'Exhibit I Federal'!U36</f>
        <v>0</v>
      </c>
      <c r="V54" s="66"/>
      <c r="W54" s="668">
        <f>+'Exhibit I State'!W53+'Exhibit I Federal'!W36</f>
        <v>0</v>
      </c>
      <c r="X54" s="66"/>
      <c r="Y54" s="668">
        <f>+'Exhibit I State'!Y53+'Exhibit I Federal'!Y36</f>
        <v>0</v>
      </c>
      <c r="Z54" s="66"/>
      <c r="AA54" s="668"/>
      <c r="AB54" s="170"/>
      <c r="AC54" s="362">
        <v>0</v>
      </c>
      <c r="AD54" s="118"/>
      <c r="AE54" s="687"/>
      <c r="AF54" s="1094">
        <f t="shared" ref="AF54:AF58" si="2">ROUND(SUM(E54:AC54),1)</f>
        <v>0</v>
      </c>
      <c r="AG54" s="1120"/>
      <c r="AH54" s="68"/>
      <c r="AI54" s="3618">
        <f>+'Exhibit I State'!AG53+'Exhibit I Federal'!AG36</f>
        <v>0</v>
      </c>
      <c r="AJ54" s="77"/>
      <c r="AK54" s="335"/>
      <c r="AL54" s="679">
        <f>ROUND(SUM(+AF54-AI54),1)</f>
        <v>0</v>
      </c>
      <c r="AM54" s="954"/>
      <c r="AN54" s="1453">
        <f>ROUND(IF(AI54=0,0,AL54/ABS(AI54)),3)</f>
        <v>0</v>
      </c>
      <c r="AO54" s="327"/>
    </row>
    <row r="55" spans="1:41" ht="15.75">
      <c r="A55" s="31"/>
      <c r="B55" s="903" t="s">
        <v>1086</v>
      </c>
      <c r="C55" s="31"/>
      <c r="D55" s="31"/>
      <c r="E55" s="668">
        <f>+'Exhibit I State'!E54+'Exhibit I Federal'!E37</f>
        <v>10.1</v>
      </c>
      <c r="F55" s="1566"/>
      <c r="G55" s="668">
        <f>+'Exhibit I State'!G54+'Exhibit I Federal'!G37</f>
        <v>0.5</v>
      </c>
      <c r="H55" s="1566"/>
      <c r="I55" s="668">
        <f>+'Exhibit I State'!I54+'Exhibit I Federal'!I37</f>
        <v>0.30000000000000071</v>
      </c>
      <c r="J55" s="1566"/>
      <c r="K55" s="668">
        <f>+'Exhibit I State'!K54+'Exhibit I Federal'!K37</f>
        <v>0.59999999999999964</v>
      </c>
      <c r="L55" s="66"/>
      <c r="M55" s="668">
        <f>+'Exhibit I State'!M54+'Exhibit I Federal'!M37</f>
        <v>0.30000000000000071</v>
      </c>
      <c r="N55" s="66"/>
      <c r="O55" s="668">
        <f>+'Exhibit I State'!O54+'Exhibit I Federal'!O37</f>
        <v>0.29999999999999893</v>
      </c>
      <c r="P55" s="66"/>
      <c r="Q55" s="668">
        <f>+'Exhibit I State'!Q54+'Exhibit I Federal'!Q37</f>
        <v>3.4000000000000004</v>
      </c>
      <c r="R55" s="66"/>
      <c r="S55" s="668">
        <f>+'Exhibit I State'!S54+'Exhibit I Federal'!S37</f>
        <v>1.6999999999999993</v>
      </c>
      <c r="T55" s="66"/>
      <c r="U55" s="668">
        <f>+'Exhibit I State'!U54+'Exhibit I Federal'!U37</f>
        <v>2.8000000000000007</v>
      </c>
      <c r="V55" s="66"/>
      <c r="W55" s="668">
        <f>+'Exhibit I State'!W54+'Exhibit I Federal'!W37</f>
        <v>0.39999999999999858</v>
      </c>
      <c r="X55" s="66"/>
      <c r="Y55" s="668">
        <f>+'Exhibit I State'!Y54+'Exhibit I Federal'!Y37</f>
        <v>14.200000000000003</v>
      </c>
      <c r="Z55" s="66"/>
      <c r="AA55" s="668"/>
      <c r="AB55" s="170"/>
      <c r="AC55" s="362">
        <v>0</v>
      </c>
      <c r="AD55" s="118"/>
      <c r="AE55" s="687"/>
      <c r="AF55" s="1094">
        <f t="shared" si="2"/>
        <v>34.6</v>
      </c>
      <c r="AG55" s="1120"/>
      <c r="AH55" s="68"/>
      <c r="AI55" s="3618">
        <f>+'Exhibit I State'!AG54+'Exhibit I Federal'!AG37</f>
        <v>5.6</v>
      </c>
      <c r="AJ55" s="77"/>
      <c r="AK55" s="335"/>
      <c r="AL55" s="679">
        <f>ROUND(SUM(+AF55-AI55),1)</f>
        <v>29</v>
      </c>
      <c r="AM55" s="954"/>
      <c r="AN55" s="1493">
        <f>ROUND(IF(AI55=0,1,AL55/ABS(AI55)),3)</f>
        <v>5.1790000000000003</v>
      </c>
      <c r="AO55" s="327"/>
    </row>
    <row r="56" spans="1:41" ht="15.75">
      <c r="A56" s="31"/>
      <c r="B56" s="903" t="s">
        <v>1087</v>
      </c>
      <c r="C56" s="31"/>
      <c r="D56" s="31"/>
      <c r="E56" s="668">
        <f>+'Exhibit I State'!E55+'Exhibit I Federal'!E38</f>
        <v>-0.9</v>
      </c>
      <c r="F56" s="1566"/>
      <c r="G56" s="668">
        <f>+'Exhibit I State'!G55+'Exhibit I Federal'!G38</f>
        <v>0</v>
      </c>
      <c r="H56" s="1566"/>
      <c r="I56" s="668">
        <f>+'Exhibit I State'!I55+'Exhibit I Federal'!I38</f>
        <v>0</v>
      </c>
      <c r="J56" s="1566"/>
      <c r="K56" s="668">
        <f>+'Exhibit I State'!K55+'Exhibit I Federal'!K38</f>
        <v>0</v>
      </c>
      <c r="L56" s="66"/>
      <c r="M56" s="668">
        <f>+'Exhibit I State'!M55+'Exhibit I Federal'!M38</f>
        <v>0</v>
      </c>
      <c r="N56" s="66"/>
      <c r="O56" s="668">
        <f>+'Exhibit I State'!O55+'Exhibit I Federal'!O38</f>
        <v>0</v>
      </c>
      <c r="P56" s="66"/>
      <c r="Q56" s="668">
        <f>+'Exhibit I State'!Q55+'Exhibit I Federal'!Q38</f>
        <v>0</v>
      </c>
      <c r="R56" s="66"/>
      <c r="S56" s="668">
        <f>+'Exhibit I State'!S55+'Exhibit I Federal'!S38</f>
        <v>0</v>
      </c>
      <c r="T56" s="66"/>
      <c r="U56" s="668">
        <f>+'Exhibit I State'!U55+'Exhibit I Federal'!U38</f>
        <v>0</v>
      </c>
      <c r="V56" s="66"/>
      <c r="W56" s="668">
        <f>+'Exhibit I State'!W55+'Exhibit I Federal'!W38</f>
        <v>0</v>
      </c>
      <c r="X56" s="66"/>
      <c r="Y56" s="668">
        <f>+'Exhibit I State'!Y55+'Exhibit I Federal'!Y38</f>
        <v>0</v>
      </c>
      <c r="Z56" s="66"/>
      <c r="AA56" s="668"/>
      <c r="AB56" s="170"/>
      <c r="AC56" s="362">
        <v>0</v>
      </c>
      <c r="AD56" s="118"/>
      <c r="AE56" s="687"/>
      <c r="AF56" s="1094">
        <f t="shared" si="2"/>
        <v>-0.9</v>
      </c>
      <c r="AG56" s="2244"/>
      <c r="AH56" s="68"/>
      <c r="AI56" s="3618">
        <f>+'Exhibit I State'!AG55+'Exhibit I Federal'!AG38</f>
        <v>0</v>
      </c>
      <c r="AJ56" s="77"/>
      <c r="AK56" s="335"/>
      <c r="AL56" s="679">
        <f>ROUND(SUM(+AF56-AI56),1)</f>
        <v>-0.9</v>
      </c>
      <c r="AM56" s="954"/>
      <c r="AN56" s="1453">
        <f>ROUND(IF(AI56=0,-1,AL56/ABS(AI56)),3)</f>
        <v>-1</v>
      </c>
      <c r="AO56" s="327"/>
    </row>
    <row r="57" spans="1:41" ht="15.75">
      <c r="A57" s="31"/>
      <c r="B57" s="903" t="s">
        <v>1089</v>
      </c>
      <c r="C57" s="31"/>
      <c r="D57" s="31"/>
      <c r="E57" s="668">
        <f>+'Exhibit I State'!E56</f>
        <v>0</v>
      </c>
      <c r="F57" s="1566"/>
      <c r="G57" s="668">
        <f>+'Exhibit I State'!G56</f>
        <v>0.1</v>
      </c>
      <c r="H57" s="1566"/>
      <c r="I57" s="668">
        <f>+'Exhibit I State'!I56</f>
        <v>0.1</v>
      </c>
      <c r="J57" s="1566"/>
      <c r="K57" s="668">
        <f>+'Exhibit I State'!K56</f>
        <v>0</v>
      </c>
      <c r="L57" s="66"/>
      <c r="M57" s="668">
        <f>+'Exhibit I State'!M56</f>
        <v>0</v>
      </c>
      <c r="N57" s="66"/>
      <c r="O57" s="668">
        <f>+'Exhibit I State'!O56</f>
        <v>0</v>
      </c>
      <c r="P57" s="66"/>
      <c r="Q57" s="668">
        <f>+'Exhibit I State'!Q56</f>
        <v>0</v>
      </c>
      <c r="R57" s="66"/>
      <c r="S57" s="668">
        <f>+'Exhibit I State'!S56</f>
        <v>0</v>
      </c>
      <c r="T57" s="66"/>
      <c r="U57" s="668">
        <f>+'Exhibit I State'!U56</f>
        <v>0</v>
      </c>
      <c r="V57" s="66"/>
      <c r="W57" s="668">
        <f>+'Exhibit I State'!W56</f>
        <v>0</v>
      </c>
      <c r="X57" s="66"/>
      <c r="Y57" s="668">
        <f>+'Exhibit I State'!Y56</f>
        <v>0</v>
      </c>
      <c r="Z57" s="66"/>
      <c r="AA57" s="668"/>
      <c r="AB57" s="170"/>
      <c r="AC57" s="362">
        <v>0</v>
      </c>
      <c r="AD57" s="118"/>
      <c r="AE57" s="687"/>
      <c r="AF57" s="1094">
        <f t="shared" si="2"/>
        <v>0.2</v>
      </c>
      <c r="AG57" s="2245"/>
      <c r="AH57" s="68"/>
      <c r="AI57" s="3618">
        <f>+'Exhibit I State'!AG56</f>
        <v>0.4</v>
      </c>
      <c r="AJ57" s="77"/>
      <c r="AK57" s="335"/>
      <c r="AL57" s="679">
        <f>ROUND(SUM(+AF57-AI57),1)</f>
        <v>-0.2</v>
      </c>
      <c r="AM57" s="954"/>
      <c r="AN57" s="1453">
        <f>ROUND(IF(AI57=0,0,AL57/ABS(AI57)),3)</f>
        <v>-0.5</v>
      </c>
      <c r="AO57" s="327"/>
    </row>
    <row r="58" spans="1:41" ht="15.75">
      <c r="A58" s="31"/>
      <c r="B58" s="903" t="s">
        <v>1090</v>
      </c>
      <c r="C58" s="31"/>
      <c r="D58" s="31"/>
      <c r="E58" s="668">
        <f>+'Exhibit I State'!E57+'Exhibit I Federal'!E39</f>
        <v>0.2</v>
      </c>
      <c r="F58" s="1566"/>
      <c r="G58" s="668">
        <f>+'Exhibit I State'!G57+'Exhibit I Federal'!G39</f>
        <v>0.49999999999999994</v>
      </c>
      <c r="H58" s="1566"/>
      <c r="I58" s="668">
        <f>+'Exhibit I State'!I57+'Exhibit I Federal'!I39</f>
        <v>0.40000000000000019</v>
      </c>
      <c r="J58" s="1566"/>
      <c r="K58" s="668">
        <f>+'Exhibit I State'!K57+'Exhibit I Federal'!K39</f>
        <v>9.9999999999999811E-2</v>
      </c>
      <c r="L58" s="66"/>
      <c r="M58" s="668">
        <f>+'Exhibit I State'!M57+'Exhibit I Federal'!M39</f>
        <v>0.20000000000000018</v>
      </c>
      <c r="N58" s="66"/>
      <c r="O58" s="668">
        <f>+'Exhibit I State'!O57+'Exhibit I Federal'!O39</f>
        <v>9.9999999999999867E-2</v>
      </c>
      <c r="P58" s="66"/>
      <c r="Q58" s="668">
        <f>+'Exhibit I State'!Q57+'Exhibit I Federal'!Q39</f>
        <v>2.5</v>
      </c>
      <c r="R58" s="66"/>
      <c r="S58" s="668">
        <f>+'Exhibit I State'!S57+'Exhibit I Federal'!S39</f>
        <v>0.29999999999999982</v>
      </c>
      <c r="T58" s="66"/>
      <c r="U58" s="668">
        <f>+'Exhibit I State'!U57+'Exhibit I Federal'!U39</f>
        <v>6.5000000000000027</v>
      </c>
      <c r="V58" s="66"/>
      <c r="W58" s="668">
        <f>+'Exhibit I State'!W57+'Exhibit I Federal'!W39</f>
        <v>1.1999999999999993</v>
      </c>
      <c r="X58" s="66"/>
      <c r="Y58" s="668">
        <f>+'Exhibit I State'!Y57+'Exhibit I Federal'!Y39</f>
        <v>9.9999999999997868E-2</v>
      </c>
      <c r="Z58" s="66"/>
      <c r="AA58" s="1136"/>
      <c r="AB58" s="170"/>
      <c r="AC58" s="362">
        <v>0</v>
      </c>
      <c r="AD58" s="118"/>
      <c r="AE58" s="687"/>
      <c r="AF58" s="1094">
        <f t="shared" si="2"/>
        <v>12.1</v>
      </c>
      <c r="AG58" s="1120"/>
      <c r="AH58" s="68"/>
      <c r="AI58" s="3618">
        <f>+'Exhibit I State'!AG57+'Exhibit I Federal'!AG39</f>
        <v>9</v>
      </c>
      <c r="AJ58" s="77"/>
      <c r="AK58" s="335"/>
      <c r="AL58" s="58">
        <f t="shared" si="0"/>
        <v>3.1</v>
      </c>
      <c r="AM58" s="333"/>
      <c r="AN58" s="1920">
        <f>ROUND(IF(AI58=0,1,AL58/ABS(AI58)),3)</f>
        <v>0.34399999999999997</v>
      </c>
      <c r="AO58" s="327"/>
    </row>
    <row r="59" spans="1:41" ht="15.75">
      <c r="A59" s="31"/>
      <c r="B59" s="903" t="s">
        <v>1092</v>
      </c>
      <c r="C59" s="31"/>
      <c r="D59" s="31"/>
      <c r="E59" s="668">
        <f>+'Exhibit I State'!E58+'Exhibit I Federal'!E40</f>
        <v>3.6</v>
      </c>
      <c r="F59" s="1566"/>
      <c r="G59" s="668">
        <f>+'Exhibit I State'!G58+'Exhibit I Federal'!G40</f>
        <v>0.80000000000000027</v>
      </c>
      <c r="H59" s="1566"/>
      <c r="I59" s="668">
        <f>+'Exhibit I State'!I58+'Exhibit I Federal'!I40</f>
        <v>1.0999999999999996</v>
      </c>
      <c r="J59" s="1566"/>
      <c r="K59" s="668">
        <f>+'Exhibit I State'!K58+'Exhibit I Federal'!K40</f>
        <v>14.499999999999998</v>
      </c>
      <c r="L59" s="66"/>
      <c r="M59" s="668">
        <f>+'Exhibit I State'!M58+'Exhibit I Federal'!M40</f>
        <v>12.300000000000006</v>
      </c>
      <c r="N59" s="66"/>
      <c r="O59" s="668">
        <f>+'Exhibit I State'!O58+'Exhibit I Federal'!O40</f>
        <v>4.8999999999999968</v>
      </c>
      <c r="P59" s="66"/>
      <c r="Q59" s="668">
        <f>+'Exhibit I State'!Q58+'Exhibit I Federal'!Q40</f>
        <v>4.3999999999999986</v>
      </c>
      <c r="R59" s="66"/>
      <c r="S59" s="668">
        <f>+'Exhibit I State'!S58+'Exhibit I Federal'!S40</f>
        <v>3.1999999999999957</v>
      </c>
      <c r="T59" s="66"/>
      <c r="U59" s="668">
        <f>+'Exhibit I State'!U58+'Exhibit I Federal'!U40</f>
        <v>2.9000000000000057</v>
      </c>
      <c r="V59" s="66"/>
      <c r="W59" s="668">
        <f>+'Exhibit I State'!W58+'Exhibit I Federal'!W40</f>
        <v>6.6999999999999957</v>
      </c>
      <c r="X59" s="66"/>
      <c r="Y59" s="668">
        <f>+'Exhibit I State'!Y58+'Exhibit I Federal'!Y40</f>
        <v>3.6000000000000014</v>
      </c>
      <c r="Z59" s="66"/>
      <c r="AA59" s="1136"/>
      <c r="AB59" s="170"/>
      <c r="AC59" s="362">
        <v>0</v>
      </c>
      <c r="AD59" s="118"/>
      <c r="AE59" s="687"/>
      <c r="AF59" s="1094">
        <f>ROUND(SUM(E59:AC59),1)</f>
        <v>58</v>
      </c>
      <c r="AG59" s="1120"/>
      <c r="AH59" s="68"/>
      <c r="AI59" s="3620">
        <f>+'Exhibit I State'!AG58+'Exhibit I Federal'!AG40</f>
        <v>15</v>
      </c>
      <c r="AJ59" s="77"/>
      <c r="AK59" s="335"/>
      <c r="AL59" s="58">
        <f t="shared" si="0"/>
        <v>43</v>
      </c>
      <c r="AM59" s="333"/>
      <c r="AN59" s="1394">
        <f>ROUND(IF(AI59=0,0,AL59/ABS(AI59)),3)</f>
        <v>2.867</v>
      </c>
      <c r="AO59" s="327"/>
    </row>
    <row r="60" spans="1:41" ht="15.75">
      <c r="A60" s="31"/>
      <c r="B60" s="903" t="s">
        <v>1064</v>
      </c>
      <c r="C60" s="31"/>
      <c r="D60" s="31"/>
      <c r="E60" s="668">
        <f>+'Exhibit I State'!E59+'Exhibit I Federal'!E41</f>
        <v>4.1999999999999993</v>
      </c>
      <c r="F60" s="1566"/>
      <c r="G60" s="668">
        <f>+'Exhibit I State'!G59+'Exhibit I Federal'!G41</f>
        <v>0</v>
      </c>
      <c r="H60" s="1566"/>
      <c r="I60" s="668">
        <f>+'Exhibit I State'!I59+'Exhibit I Federal'!I41</f>
        <v>0</v>
      </c>
      <c r="J60" s="1566"/>
      <c r="K60" s="668">
        <f>+'Exhibit I State'!K59+'Exhibit I Federal'!K41</f>
        <v>0</v>
      </c>
      <c r="L60" s="66"/>
      <c r="M60" s="668">
        <f>+'Exhibit I State'!M59+'Exhibit I Federal'!M41</f>
        <v>0</v>
      </c>
      <c r="N60" s="66"/>
      <c r="O60" s="668">
        <f>+'Exhibit I State'!O59+'Exhibit I Federal'!O41</f>
        <v>0</v>
      </c>
      <c r="P60" s="66"/>
      <c r="Q60" s="668">
        <f>+'Exhibit I State'!Q59+'Exhibit I Federal'!Q41</f>
        <v>0.10000000000000053</v>
      </c>
      <c r="R60" s="66"/>
      <c r="S60" s="668">
        <f>+'Exhibit I State'!S59+'Exhibit I Federal'!S41</f>
        <v>0.19999999999999929</v>
      </c>
      <c r="T60" s="66"/>
      <c r="U60" s="668">
        <f>+'Exhibit I State'!U59+'Exhibit I Federal'!U41</f>
        <v>0.10000000000000053</v>
      </c>
      <c r="V60" s="66"/>
      <c r="W60" s="668">
        <f>+'Exhibit I State'!W59+'Exhibit I Federal'!W41</f>
        <v>0</v>
      </c>
      <c r="X60" s="66"/>
      <c r="Y60" s="668">
        <f>+'Exhibit I State'!Y59+'Exhibit I Federal'!Y41</f>
        <v>0.2</v>
      </c>
      <c r="Z60" s="66"/>
      <c r="AA60" s="1136"/>
      <c r="AB60" s="170"/>
      <c r="AC60" s="362">
        <v>0</v>
      </c>
      <c r="AD60" s="118"/>
      <c r="AE60" s="687"/>
      <c r="AF60" s="1094">
        <f>ROUND(SUM(E60:AC60),1)</f>
        <v>4.8</v>
      </c>
      <c r="AG60" s="1120"/>
      <c r="AH60" s="68"/>
      <c r="AI60" s="3618">
        <f>+'Exhibit I State'!AG59+'Exhibit I Federal'!AG41</f>
        <v>2.5</v>
      </c>
      <c r="AJ60" s="77"/>
      <c r="AK60" s="335"/>
      <c r="AL60" s="58">
        <f t="shared" si="0"/>
        <v>2.2999999999999998</v>
      </c>
      <c r="AM60" s="333"/>
      <c r="AN60" s="1509">
        <f>ROUND(IF(AI60=0,1,AL60/ABS(AI60)),3)</f>
        <v>0.92</v>
      </c>
      <c r="AO60" s="327"/>
    </row>
    <row r="61" spans="1:41" s="332" customFormat="1" ht="15.75">
      <c r="A61" s="29"/>
      <c r="B61" s="312" t="s">
        <v>1201</v>
      </c>
      <c r="C61" s="29"/>
      <c r="D61" s="29"/>
      <c r="E61" s="258">
        <f>ROUND(SUM(E37:E60),1)</f>
        <v>304.2</v>
      </c>
      <c r="F61" s="933"/>
      <c r="G61" s="258">
        <f>ROUND(SUM(G37:G60),1)</f>
        <v>92.9</v>
      </c>
      <c r="H61" s="1077"/>
      <c r="I61" s="258">
        <f>ROUND(SUM(I37:I60),1)</f>
        <v>253.6</v>
      </c>
      <c r="J61" s="933"/>
      <c r="K61" s="258">
        <f>ROUND(SUM(K37:K60),1)</f>
        <v>245.3</v>
      </c>
      <c r="L61" s="933"/>
      <c r="M61" s="258">
        <f>ROUND(SUM(M37:M60),1)</f>
        <v>179.5</v>
      </c>
      <c r="N61" s="933"/>
      <c r="O61" s="258">
        <f>ROUND(SUM(O37:O60),1)</f>
        <v>581.6</v>
      </c>
      <c r="P61" s="933"/>
      <c r="Q61" s="258">
        <f>ROUND(SUM(Q37:Q60),1)</f>
        <v>1702.5</v>
      </c>
      <c r="R61" s="933"/>
      <c r="S61" s="1574">
        <f>ROUND(SUM(S37:S60),1)</f>
        <v>128.80000000000001</v>
      </c>
      <c r="T61" s="933"/>
      <c r="U61" s="258">
        <f>ROUND(SUM(U37:U60),1)</f>
        <v>404.1</v>
      </c>
      <c r="V61" s="933"/>
      <c r="W61" s="258">
        <f>ROUND(SUM(W37:W60),1)</f>
        <v>619.5</v>
      </c>
      <c r="X61" s="933"/>
      <c r="Y61" s="258">
        <f>ROUND(SUM(Y37:Y60),1)</f>
        <v>105.3</v>
      </c>
      <c r="Z61" s="933"/>
      <c r="AA61" s="258">
        <f>ROUND(SUM(AA37:AA60),1)</f>
        <v>0</v>
      </c>
      <c r="AB61" s="1567"/>
      <c r="AC61" s="1574">
        <f>ROUND(SUM(AC37:AC60),1)</f>
        <v>0</v>
      </c>
      <c r="AD61" s="112"/>
      <c r="AE61" s="688"/>
      <c r="AF61" s="1574">
        <f>ROUND(SUM(AF37:AF60),1)</f>
        <v>4617.3</v>
      </c>
      <c r="AG61" s="1100"/>
      <c r="AH61" s="115"/>
      <c r="AI61" s="1574">
        <f>ROUND(SUM(AI37:AI60),1)</f>
        <v>5888.7</v>
      </c>
      <c r="AJ61" s="84"/>
      <c r="AK61" s="335"/>
      <c r="AL61" s="258">
        <f>ROUND(SUM(AL37:AL60),1)</f>
        <v>-1271.4000000000001</v>
      </c>
      <c r="AM61" s="1078"/>
      <c r="AN61" s="1079">
        <f>ROUND(SUM(AL61/AI61),3)</f>
        <v>-0.216</v>
      </c>
    </row>
    <row r="62" spans="1:41" ht="15.75">
      <c r="A62" s="31"/>
      <c r="B62" s="312"/>
      <c r="C62" s="31"/>
      <c r="D62" s="31"/>
      <c r="E62" s="1566"/>
      <c r="F62" s="1566"/>
      <c r="G62" s="1566"/>
      <c r="H62" s="696"/>
      <c r="I62" s="1566"/>
      <c r="J62" s="1566"/>
      <c r="K62" s="1566"/>
      <c r="L62" s="66"/>
      <c r="M62" s="1566"/>
      <c r="N62" s="66"/>
      <c r="O62" s="1566"/>
      <c r="P62" s="66"/>
      <c r="Q62" s="668"/>
      <c r="R62" s="66"/>
      <c r="S62" s="906"/>
      <c r="T62" s="66"/>
      <c r="U62" s="1566"/>
      <c r="V62" s="66"/>
      <c r="W62" s="1566"/>
      <c r="X62" s="66"/>
      <c r="Y62" s="1566"/>
      <c r="Z62" s="66"/>
      <c r="AA62" s="1566"/>
      <c r="AB62" s="1566"/>
      <c r="AC62" s="906"/>
      <c r="AD62" s="118"/>
      <c r="AE62" s="687"/>
      <c r="AF62" s="1094"/>
      <c r="AG62" s="1099"/>
      <c r="AH62" s="67"/>
      <c r="AI62" s="118"/>
      <c r="AJ62" s="77"/>
      <c r="AK62" s="335"/>
      <c r="AL62" s="58"/>
      <c r="AM62" s="336"/>
      <c r="AN62" s="334"/>
    </row>
    <row r="63" spans="1:41" ht="15.75">
      <c r="A63" s="31"/>
      <c r="B63" s="31" t="s">
        <v>150</v>
      </c>
      <c r="C63" s="31"/>
      <c r="D63" s="31"/>
      <c r="E63" s="696">
        <f>+'Exhibit I State'!E62+'Exhibit I Federal'!E44</f>
        <v>38.299999999999997</v>
      </c>
      <c r="F63" s="1566"/>
      <c r="G63" s="696">
        <f>+'Exhibit I State'!G62+'Exhibit I Federal'!G44</f>
        <v>142.89999999999998</v>
      </c>
      <c r="H63" s="1566"/>
      <c r="I63" s="696">
        <f>+'Exhibit I State'!I62+'Exhibit I Federal'!I44</f>
        <v>132.20000000000005</v>
      </c>
      <c r="J63" s="1566"/>
      <c r="K63" s="696">
        <f>+'Exhibit I State'!K62+'Exhibit I Federal'!K44</f>
        <v>155.69999999999999</v>
      </c>
      <c r="L63" s="66"/>
      <c r="M63" s="696">
        <f>+'Exhibit I State'!M62+'Exhibit I Federal'!M44</f>
        <v>173.60000000000008</v>
      </c>
      <c r="N63" s="66"/>
      <c r="O63" s="696">
        <f>+'Exhibit I State'!O62+'Exhibit I Federal'!O44</f>
        <v>179.59999999999997</v>
      </c>
      <c r="P63" s="66"/>
      <c r="Q63" s="3751">
        <f>+'Exhibit I State'!Q62+'Exhibit I Federal'!Q44</f>
        <v>340.80000000000018</v>
      </c>
      <c r="R63" s="66"/>
      <c r="S63" s="3751">
        <f>+'Exhibit I State'!S62+'Exhibit I Federal'!S44</f>
        <v>184.29999999999973</v>
      </c>
      <c r="T63" s="66"/>
      <c r="U63" s="3751">
        <f>+'Exhibit I State'!U62+'Exhibit I Federal'!U44</f>
        <v>158.69999999999982</v>
      </c>
      <c r="V63" s="66"/>
      <c r="W63" s="3751">
        <f>+'Exhibit I State'!W62+'Exhibit I Federal'!W44</f>
        <v>344.40000000000009</v>
      </c>
      <c r="X63" s="66"/>
      <c r="Y63" s="3751">
        <f>+'Exhibit I State'!Y62+'Exhibit I Federal'!Y44</f>
        <v>120.40000000000009</v>
      </c>
      <c r="Z63" s="66"/>
      <c r="AA63" s="1049"/>
      <c r="AB63" s="278"/>
      <c r="AC63" s="1094">
        <v>0</v>
      </c>
      <c r="AD63" s="118"/>
      <c r="AE63" s="687"/>
      <c r="AF63" s="118">
        <f>ROUND(SUM(E63:AC63),1)</f>
        <v>1970.9</v>
      </c>
      <c r="AG63" s="1095"/>
      <c r="AH63" s="67"/>
      <c r="AI63" s="118">
        <f>+'Exhibit I State'!AG62+'Exhibit I Federal'!AG44</f>
        <v>2139.4</v>
      </c>
      <c r="AJ63" s="77"/>
      <c r="AK63" s="337"/>
      <c r="AL63" s="338">
        <f>ROUND(SUM(+AF63-AI63),1)</f>
        <v>-168.5</v>
      </c>
      <c r="AM63" s="336"/>
      <c r="AN63" s="339">
        <f>ROUND(SUM(AL63/AI63),3)</f>
        <v>-7.9000000000000001E-2</v>
      </c>
    </row>
    <row r="64" spans="1:41" ht="15.75">
      <c r="A64" s="31"/>
      <c r="B64" s="31"/>
      <c r="C64" s="31"/>
      <c r="D64" s="31"/>
      <c r="E64" s="697"/>
      <c r="F64" s="1566"/>
      <c r="G64" s="697"/>
      <c r="H64" s="1566"/>
      <c r="I64" s="697"/>
      <c r="J64" s="1566"/>
      <c r="K64" s="697"/>
      <c r="L64" s="66"/>
      <c r="M64" s="88"/>
      <c r="N64" s="66"/>
      <c r="O64" s="88"/>
      <c r="P64" s="66"/>
      <c r="Q64" s="668"/>
      <c r="R64" s="66"/>
      <c r="S64" s="126"/>
      <c r="T64" s="66"/>
      <c r="U64" s="88"/>
      <c r="V64" s="66"/>
      <c r="W64" s="88"/>
      <c r="X64" s="66"/>
      <c r="Y64" s="88"/>
      <c r="Z64" s="66"/>
      <c r="AA64" s="88"/>
      <c r="AB64" s="56"/>
      <c r="AC64" s="126"/>
      <c r="AD64" s="118"/>
      <c r="AE64" s="687"/>
      <c r="AF64" s="126"/>
      <c r="AG64" s="1095"/>
      <c r="AH64" s="67"/>
      <c r="AI64" s="126"/>
      <c r="AJ64" s="56"/>
      <c r="AK64" s="337"/>
      <c r="AL64" s="58"/>
      <c r="AM64" s="327"/>
      <c r="AN64" s="334"/>
    </row>
    <row r="65" spans="1:44" ht="15.75">
      <c r="A65" s="31"/>
      <c r="B65" s="29" t="s">
        <v>197</v>
      </c>
      <c r="C65" s="31"/>
      <c r="D65" s="31"/>
      <c r="E65" s="1884">
        <f>ROUND(SUM(+E61+E63+E33),1)</f>
        <v>456.2</v>
      </c>
      <c r="F65" s="933"/>
      <c r="G65" s="1884">
        <f>ROUND(SUM(+G61+G63+G33),1)</f>
        <v>337.2</v>
      </c>
      <c r="H65" s="933"/>
      <c r="I65" s="1884">
        <f>ROUND(SUM(+I61+I63+I33),1)</f>
        <v>523.9</v>
      </c>
      <c r="J65" s="933"/>
      <c r="K65" s="1884">
        <f>ROUND(SUM(+K61+K63+K33),1)</f>
        <v>510.4</v>
      </c>
      <c r="L65" s="62"/>
      <c r="M65" s="314">
        <f>ROUND(SUM(+M61+M63+M33),1)</f>
        <v>473.6</v>
      </c>
      <c r="N65" s="62"/>
      <c r="O65" s="314">
        <f>ROUND(SUM(+O61+O63+O33),1)</f>
        <v>911.8</v>
      </c>
      <c r="P65" s="62"/>
      <c r="Q65" s="314">
        <f>ROUND(SUM(+Q61+Q63+Q33),1)</f>
        <v>2159.9</v>
      </c>
      <c r="R65" s="62"/>
      <c r="S65" s="314">
        <f>ROUND(SUM(+S61+S63+S33),1)</f>
        <v>421.2</v>
      </c>
      <c r="T65" s="62"/>
      <c r="U65" s="314">
        <f>ROUND(SUM(+U61+U63+U33),1)</f>
        <v>694.7</v>
      </c>
      <c r="V65" s="62"/>
      <c r="W65" s="314">
        <f>ROUND(SUM(+W61+W63+W33),1)</f>
        <v>1076.4000000000001</v>
      </c>
      <c r="X65" s="62"/>
      <c r="Y65" s="314">
        <f>ROUND(SUM(+Y61+Y63+Y33),1)</f>
        <v>319.7</v>
      </c>
      <c r="Z65" s="62"/>
      <c r="AA65" s="314">
        <f>ROUND(SUM(+AA61+AA63+AA33),1)</f>
        <v>0</v>
      </c>
      <c r="AB65" s="1067"/>
      <c r="AC65" s="314">
        <f>ROUND(SUM(+AC61+AC63+AC33),1)</f>
        <v>0</v>
      </c>
      <c r="AD65" s="62"/>
      <c r="AE65" s="64"/>
      <c r="AF65" s="314">
        <f>ROUND(SUM(+AF61+AF63+AF33),1)</f>
        <v>7885</v>
      </c>
      <c r="AG65" s="216"/>
      <c r="AH65" s="76"/>
      <c r="AI65" s="314">
        <f>ROUND(SUM(+AI61+AI63+AI33),1)</f>
        <v>9336.1</v>
      </c>
      <c r="AJ65" s="84"/>
      <c r="AK65" s="337"/>
      <c r="AL65" s="314">
        <f>ROUND(SUM(+AL61+AL63+AL33),1)</f>
        <v>-1451.1</v>
      </c>
      <c r="AM65" s="166"/>
      <c r="AN65" s="911">
        <f>ROUND(SUM(AL65/AI65),3)</f>
        <v>-0.155</v>
      </c>
      <c r="AO65" s="332"/>
      <c r="AP65" s="340"/>
      <c r="AQ65" s="332"/>
      <c r="AR65" s="332"/>
    </row>
    <row r="66" spans="1:44" ht="15.75">
      <c r="A66" s="31"/>
      <c r="B66" s="31"/>
      <c r="C66" s="31"/>
      <c r="D66" s="31"/>
      <c r="E66" s="697"/>
      <c r="F66" s="1566"/>
      <c r="G66" s="697"/>
      <c r="H66" s="1566"/>
      <c r="I66" s="697"/>
      <c r="J66" s="1566"/>
      <c r="K66" s="697"/>
      <c r="L66" s="66"/>
      <c r="M66" s="88"/>
      <c r="N66" s="66"/>
      <c r="O66" s="88"/>
      <c r="P66" s="66"/>
      <c r="Q66" s="668"/>
      <c r="R66" s="66"/>
      <c r="S66" s="126"/>
      <c r="T66" s="66"/>
      <c r="U66" s="88"/>
      <c r="V66" s="66"/>
      <c r="W66" s="88"/>
      <c r="X66" s="66"/>
      <c r="Y66" s="88"/>
      <c r="Z66" s="66"/>
      <c r="AA66" s="88"/>
      <c r="AB66" s="56"/>
      <c r="AC66" s="88"/>
      <c r="AD66" s="66"/>
      <c r="AE66" s="57"/>
      <c r="AF66" s="126"/>
      <c r="AG66" s="79"/>
      <c r="AH66" s="56"/>
      <c r="AI66" s="126"/>
      <c r="AJ66" s="56"/>
      <c r="AK66" s="337"/>
      <c r="AL66" s="58"/>
      <c r="AM66" s="327"/>
      <c r="AN66" s="334"/>
    </row>
    <row r="67" spans="1:44" ht="15.75">
      <c r="A67" s="31"/>
      <c r="B67" s="29" t="s">
        <v>23</v>
      </c>
      <c r="C67" s="31"/>
      <c r="D67" s="31"/>
      <c r="E67" s="1566"/>
      <c r="F67" s="1566"/>
      <c r="G67" s="1566"/>
      <c r="H67" s="1566"/>
      <c r="I67" s="1566"/>
      <c r="J67" s="1566"/>
      <c r="K67" s="1566"/>
      <c r="L67" s="66"/>
      <c r="M67" s="66"/>
      <c r="N67" s="66"/>
      <c r="O67" s="66"/>
      <c r="P67" s="66"/>
      <c r="Q67" s="668"/>
      <c r="R67" s="66"/>
      <c r="S67" s="118"/>
      <c r="T67" s="66"/>
      <c r="U67" s="66"/>
      <c r="V67" s="66"/>
      <c r="W67" s="66"/>
      <c r="X67" s="66"/>
      <c r="Y67" s="66"/>
      <c r="Z67" s="66"/>
      <c r="AA67" s="66"/>
      <c r="AB67" s="66"/>
      <c r="AC67" s="66"/>
      <c r="AD67" s="66"/>
      <c r="AE67" s="57"/>
      <c r="AF67" s="118"/>
      <c r="AG67" s="79"/>
      <c r="AH67" s="56"/>
      <c r="AI67" s="118"/>
      <c r="AJ67" s="66"/>
      <c r="AK67" s="337"/>
      <c r="AL67" s="58"/>
      <c r="AM67" s="327"/>
      <c r="AN67" s="334"/>
    </row>
    <row r="68" spans="1:44" ht="15.75">
      <c r="A68" s="31"/>
      <c r="B68" s="31" t="s">
        <v>152</v>
      </c>
      <c r="C68" s="31"/>
      <c r="D68" s="31"/>
      <c r="E68" s="1566"/>
      <c r="F68" s="1566"/>
      <c r="G68" s="1566"/>
      <c r="H68" s="1566"/>
      <c r="I68" s="1566"/>
      <c r="J68" s="1566"/>
      <c r="K68" s="1566"/>
      <c r="L68" s="66"/>
      <c r="M68" s="66"/>
      <c r="N68" s="66"/>
      <c r="O68" s="66"/>
      <c r="P68" s="66"/>
      <c r="Q68" s="668"/>
      <c r="R68" s="66"/>
      <c r="S68" s="118"/>
      <c r="T68" s="66"/>
      <c r="U68" s="66"/>
      <c r="V68" s="66"/>
      <c r="W68" s="66"/>
      <c r="X68" s="66"/>
      <c r="Y68" s="1566" t="s">
        <v>15</v>
      </c>
      <c r="Z68" s="66"/>
      <c r="AA68" s="1566" t="s">
        <v>15</v>
      </c>
      <c r="AB68" s="66"/>
      <c r="AC68" s="66"/>
      <c r="AD68" s="66"/>
      <c r="AE68" s="57"/>
      <c r="AF68" s="119"/>
      <c r="AG68" s="79"/>
      <c r="AH68" s="56"/>
      <c r="AI68" s="118"/>
      <c r="AJ68" s="66"/>
      <c r="AK68" s="337"/>
      <c r="AL68" s="58"/>
      <c r="AM68" s="327"/>
      <c r="AN68" s="334"/>
    </row>
    <row r="69" spans="1:44" ht="15.75">
      <c r="A69" s="31"/>
      <c r="B69" s="31" t="s">
        <v>25</v>
      </c>
      <c r="C69" s="31"/>
      <c r="D69" s="31"/>
      <c r="E69" s="696">
        <f>+'Exhibit I State'!E68+'Exhibit I Federal'!E50</f>
        <v>9.1999999999999993</v>
      </c>
      <c r="F69" s="1566"/>
      <c r="G69" s="696">
        <f>+'Exhibit I State'!G68+'Exhibit I Federal'!G50</f>
        <v>3.2000000000000011</v>
      </c>
      <c r="H69" s="696"/>
      <c r="I69" s="696">
        <f>+'Exhibit I State'!I68+'Exhibit I Federal'!I50</f>
        <v>10.299999999999999</v>
      </c>
      <c r="J69" s="1566"/>
      <c r="K69" s="696">
        <f>+'Exhibit I State'!K68+'Exhibit I Federal'!K50</f>
        <v>10.700000000000001</v>
      </c>
      <c r="L69" s="66"/>
      <c r="M69" s="696">
        <f>+'Exhibit I State'!M68+'Exhibit I Federal'!M50</f>
        <v>12.000000000000002</v>
      </c>
      <c r="N69" s="66"/>
      <c r="O69" s="696">
        <f>+'Exhibit I State'!O68+'Exhibit I Federal'!O50</f>
        <v>42.399999999999991</v>
      </c>
      <c r="P69" s="66"/>
      <c r="Q69" s="696">
        <f>+'Exhibit I State'!Q68+'Exhibit I Federal'!Q50</f>
        <v>14.400000000000006</v>
      </c>
      <c r="R69" s="66"/>
      <c r="S69" s="696">
        <f>+'Exhibit I State'!S68+'Exhibit I Federal'!S50</f>
        <v>18.200000000000003</v>
      </c>
      <c r="T69" s="66"/>
      <c r="U69" s="696">
        <f>+'Exhibit I State'!U68+'Exhibit I Federal'!U50</f>
        <v>24.900000000000006</v>
      </c>
      <c r="V69" s="66"/>
      <c r="W69" s="696">
        <f>+'Exhibit I State'!W68+'Exhibit I Federal'!W50</f>
        <v>19.900000000000006</v>
      </c>
      <c r="X69" s="66"/>
      <c r="Y69" s="696">
        <f>+'Exhibit I State'!Y68+'Exhibit I Federal'!Y50</f>
        <v>3.4000000000000057</v>
      </c>
      <c r="Z69" s="66"/>
      <c r="AA69" s="1136"/>
      <c r="AB69" s="278"/>
      <c r="AC69" s="278">
        <v>0</v>
      </c>
      <c r="AD69" s="66"/>
      <c r="AE69" s="57"/>
      <c r="AF69" s="118">
        <f>ROUND(SUM(E69:AC69),1)</f>
        <v>168.6</v>
      </c>
      <c r="AG69" s="79"/>
      <c r="AH69" s="56"/>
      <c r="AI69" s="118">
        <f>+'Exhibit I State'!AG68+'Exhibit I Federal'!AG50</f>
        <v>138.30000000000001</v>
      </c>
      <c r="AJ69" s="77"/>
      <c r="AK69" s="335"/>
      <c r="AL69" s="58">
        <f>ROUND(SUM(+AF69-AI69),1)</f>
        <v>30.3</v>
      </c>
      <c r="AM69" s="336"/>
      <c r="AN69" s="1920">
        <f>ROUND(IF(AI69=0,1,AL69/ABS(AI69)),3)</f>
        <v>0.219</v>
      </c>
    </row>
    <row r="70" spans="1:44" ht="15.75">
      <c r="A70" s="31"/>
      <c r="B70" s="31" t="s">
        <v>26</v>
      </c>
      <c r="C70" s="31"/>
      <c r="D70" s="31"/>
      <c r="E70" s="696">
        <f>+'Exhibit I State'!E69+'Exhibit I Federal'!E51</f>
        <v>25.1</v>
      </c>
      <c r="F70" s="1566"/>
      <c r="G70" s="696">
        <f>+'Exhibit I State'!G69+'Exhibit I Federal'!G51</f>
        <v>33.5</v>
      </c>
      <c r="H70" s="1566"/>
      <c r="I70" s="696">
        <f>+'Exhibit I State'!I69+'Exhibit I Federal'!I51</f>
        <v>2.1000000000000014</v>
      </c>
      <c r="J70" s="1566"/>
      <c r="K70" s="696">
        <f>+'Exhibit I State'!K69+'Exhibit I Federal'!K51</f>
        <v>15</v>
      </c>
      <c r="L70" s="66"/>
      <c r="M70" s="696">
        <f>+'Exhibit I State'!M69+'Exhibit I Federal'!M51</f>
        <v>13.999999999999993</v>
      </c>
      <c r="N70" s="66"/>
      <c r="O70" s="696">
        <f>+'Exhibit I State'!O69+'Exhibit I Federal'!O51</f>
        <v>17.599999999999994</v>
      </c>
      <c r="P70" s="66"/>
      <c r="Q70" s="696">
        <f>+'Exhibit I State'!Q69+'Exhibit I Federal'!Q51</f>
        <v>14.800000000000011</v>
      </c>
      <c r="R70" s="66"/>
      <c r="S70" s="696">
        <f>+'Exhibit I State'!S69+'Exhibit I Federal'!S51</f>
        <v>11.900000000000013</v>
      </c>
      <c r="T70" s="66"/>
      <c r="U70" s="696">
        <f>+'Exhibit I State'!U69+'Exhibit I Federal'!U51</f>
        <v>13.300000000000011</v>
      </c>
      <c r="V70" s="66"/>
      <c r="W70" s="696">
        <f>+'Exhibit I State'!W69+'Exhibit I Federal'!W51</f>
        <v>232.6</v>
      </c>
      <c r="X70" s="66"/>
      <c r="Y70" s="696">
        <f>+'Exhibit I State'!Y69+'Exhibit I Federal'!Y51</f>
        <v>13.299999999999983</v>
      </c>
      <c r="Z70" s="66"/>
      <c r="AA70" s="1136"/>
      <c r="AB70" s="278"/>
      <c r="AC70" s="278">
        <v>0</v>
      </c>
      <c r="AD70" s="66"/>
      <c r="AE70" s="57"/>
      <c r="AF70" s="118">
        <f>ROUND(SUM(E70:AC70),1)</f>
        <v>393.2</v>
      </c>
      <c r="AG70" s="79"/>
      <c r="AH70" s="56"/>
      <c r="AI70" s="118">
        <f>+'Exhibit I State'!AG69+'Exhibit I Federal'!AG51</f>
        <v>382</v>
      </c>
      <c r="AJ70" s="77"/>
      <c r="AK70" s="335"/>
      <c r="AL70" s="58">
        <f t="shared" ref="AL70:AL77" si="3">ROUND(SUM(+AF70-AI70),1)</f>
        <v>11.2</v>
      </c>
      <c r="AM70" s="336"/>
      <c r="AN70" s="1453">
        <f>ROUND(IF(AI70=0,0,AL70/ABS(AI70)),3)</f>
        <v>2.9000000000000001E-2</v>
      </c>
    </row>
    <row r="71" spans="1:44" ht="15.75">
      <c r="A71" s="31"/>
      <c r="B71" s="31" t="s">
        <v>27</v>
      </c>
      <c r="C71" s="31"/>
      <c r="D71" s="31"/>
      <c r="E71" s="696">
        <f>+'Exhibit I State'!E70+'Exhibit I Federal'!E52</f>
        <v>31.2</v>
      </c>
      <c r="F71" s="1566"/>
      <c r="G71" s="696">
        <f>+'Exhibit I State'!G70+'Exhibit I Federal'!G52</f>
        <v>121.8</v>
      </c>
      <c r="H71" s="1566"/>
      <c r="I71" s="696">
        <f>+'Exhibit I State'!I70+'Exhibit I Federal'!I52</f>
        <v>149</v>
      </c>
      <c r="J71" s="1566"/>
      <c r="K71" s="696">
        <f>+'Exhibit I State'!K70+'Exhibit I Federal'!K52</f>
        <v>39.399999999999977</v>
      </c>
      <c r="L71" s="66"/>
      <c r="M71" s="696">
        <f>+'Exhibit I State'!M70+'Exhibit I Federal'!M52</f>
        <v>17.800000000000011</v>
      </c>
      <c r="N71" s="66"/>
      <c r="O71" s="696">
        <f>+'Exhibit I State'!O70+'Exhibit I Federal'!O52</f>
        <v>59.100000000000023</v>
      </c>
      <c r="P71" s="66"/>
      <c r="Q71" s="696">
        <f>+'Exhibit I State'!Q70+'Exhibit I Federal'!Q52</f>
        <v>128.39999999999998</v>
      </c>
      <c r="R71" s="66"/>
      <c r="S71" s="696">
        <f>+'Exhibit I State'!S70+'Exhibit I Federal'!S52</f>
        <v>18.599999999999909</v>
      </c>
      <c r="T71" s="66"/>
      <c r="U71" s="696">
        <f>+'Exhibit I State'!U70+'Exhibit I Federal'!U52</f>
        <v>140.60000000000008</v>
      </c>
      <c r="V71" s="66"/>
      <c r="W71" s="696">
        <f>+'Exhibit I State'!W70+'Exhibit I Federal'!W52</f>
        <v>55.300000000000068</v>
      </c>
      <c r="X71" s="66"/>
      <c r="Y71" s="696">
        <f>+'Exhibit I State'!Y70+'Exhibit I Federal'!Y52</f>
        <v>25.899999999999977</v>
      </c>
      <c r="Z71" s="66"/>
      <c r="AA71" s="1136"/>
      <c r="AB71" s="696" t="s">
        <v>1282</v>
      </c>
      <c r="AC71" s="696">
        <v>0</v>
      </c>
      <c r="AD71" s="66"/>
      <c r="AE71" s="57"/>
      <c r="AF71" s="118">
        <f>ROUND(SUM(E71:AC71),1)</f>
        <v>787.1</v>
      </c>
      <c r="AG71" s="79"/>
      <c r="AH71" s="56"/>
      <c r="AI71" s="118">
        <f>+'Exhibit I State'!AG70+'Exhibit I Federal'!AG52</f>
        <v>855.8</v>
      </c>
      <c r="AJ71" s="77"/>
      <c r="AK71" s="335"/>
      <c r="AL71" s="58">
        <f t="shared" si="3"/>
        <v>-68.7</v>
      </c>
      <c r="AM71" s="336"/>
      <c r="AN71" s="1453">
        <f>ROUND(IF(AI71=0,0,AL71/ABS(AI71)),3)</f>
        <v>-0.08</v>
      </c>
      <c r="AO71" s="327"/>
    </row>
    <row r="72" spans="1:44" ht="15.75">
      <c r="A72" s="31"/>
      <c r="B72" s="31" t="s">
        <v>28</v>
      </c>
      <c r="C72" s="31"/>
      <c r="D72" s="31"/>
      <c r="E72" s="696"/>
      <c r="F72" s="1566"/>
      <c r="G72" s="696"/>
      <c r="H72" s="1566"/>
      <c r="I72" s="696"/>
      <c r="J72" s="1566"/>
      <c r="K72" s="696"/>
      <c r="L72" s="66"/>
      <c r="M72" s="696"/>
      <c r="N72" s="66"/>
      <c r="O72" s="696"/>
      <c r="P72" s="66"/>
      <c r="Q72" s="696"/>
      <c r="R72" s="66"/>
      <c r="S72" s="696"/>
      <c r="T72" s="66"/>
      <c r="U72" s="696"/>
      <c r="V72" s="66"/>
      <c r="W72" s="696"/>
      <c r="X72" s="66"/>
      <c r="Y72" s="696"/>
      <c r="Z72" s="66"/>
      <c r="AA72" s="1136"/>
      <c r="AB72" s="278"/>
      <c r="AC72" s="278"/>
      <c r="AD72" s="66"/>
      <c r="AE72" s="57"/>
      <c r="AF72" s="906" t="s">
        <v>15</v>
      </c>
      <c r="AG72" s="79"/>
      <c r="AH72" s="56"/>
      <c r="AI72" s="127"/>
      <c r="AJ72" s="66"/>
      <c r="AK72" s="337"/>
      <c r="AL72" s="58" t="s">
        <v>15</v>
      </c>
      <c r="AM72" s="336"/>
      <c r="AN72" s="341" t="s">
        <v>15</v>
      </c>
      <c r="AO72" s="327"/>
    </row>
    <row r="73" spans="1:44" ht="15.75">
      <c r="A73" s="31"/>
      <c r="B73" s="31" t="s">
        <v>29</v>
      </c>
      <c r="C73" s="29"/>
      <c r="D73" s="31"/>
      <c r="E73" s="696">
        <f>+'Exhibit I State'!E72+'Exhibit I Federal'!E54</f>
        <v>0</v>
      </c>
      <c r="F73" s="1566"/>
      <c r="G73" s="696">
        <f>+'Exhibit I State'!G72+'Exhibit I Federal'!G54</f>
        <v>0</v>
      </c>
      <c r="H73" s="1566"/>
      <c r="I73" s="696">
        <f>+'Exhibit I State'!I72+'Exhibit I Federal'!I54</f>
        <v>0</v>
      </c>
      <c r="J73" s="1566"/>
      <c r="K73" s="696">
        <f>+'Exhibit I State'!K72+'Exhibit I Federal'!K54</f>
        <v>0</v>
      </c>
      <c r="L73" s="66"/>
      <c r="M73" s="696">
        <f>+'Exhibit I State'!M72+'Exhibit I Federal'!M54</f>
        <v>0</v>
      </c>
      <c r="N73" s="66"/>
      <c r="O73" s="696">
        <f>+'Exhibit I State'!O72+'Exhibit I Federal'!O54</f>
        <v>0</v>
      </c>
      <c r="P73" s="66"/>
      <c r="Q73" s="696">
        <f>+'Exhibit I State'!Q72+'Exhibit I Federal'!Q54</f>
        <v>0</v>
      </c>
      <c r="R73" s="66"/>
      <c r="S73" s="696">
        <f>+'Exhibit I State'!S72+'Exhibit I Federal'!S54</f>
        <v>0</v>
      </c>
      <c r="T73" s="66"/>
      <c r="U73" s="696">
        <f>+'Exhibit I State'!U72+'Exhibit I Federal'!U54</f>
        <v>0</v>
      </c>
      <c r="V73" s="66"/>
      <c r="W73" s="696">
        <f>+'Exhibit I State'!W72+'Exhibit I Federal'!W54</f>
        <v>0</v>
      </c>
      <c r="X73" s="66"/>
      <c r="Y73" s="696">
        <f>+'Exhibit I State'!Y72+'Exhibit I Federal'!Y54</f>
        <v>0</v>
      </c>
      <c r="Z73" s="66"/>
      <c r="AA73" s="1136"/>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ht="15.75">
      <c r="A74" s="31"/>
      <c r="B74" s="31" t="s">
        <v>30</v>
      </c>
      <c r="C74" s="31"/>
      <c r="D74" s="31"/>
      <c r="E74" s="696">
        <f>+'Exhibit I State'!E73+'Exhibit I Federal'!E55</f>
        <v>30.8</v>
      </c>
      <c r="F74" s="1566"/>
      <c r="G74" s="696">
        <f>+'Exhibit I State'!G73+'Exhibit I Federal'!G55</f>
        <v>41.600000000000009</v>
      </c>
      <c r="H74" s="1566"/>
      <c r="I74" s="696">
        <f>+'Exhibit I State'!I73+'Exhibit I Federal'!I55</f>
        <v>20.599999999999994</v>
      </c>
      <c r="J74" s="1566"/>
      <c r="K74" s="696">
        <f>+'Exhibit I State'!K73+'Exhibit I Federal'!K55</f>
        <v>75.999999999999986</v>
      </c>
      <c r="L74" s="66"/>
      <c r="M74" s="696">
        <f>+'Exhibit I State'!M73+'Exhibit I Federal'!M55</f>
        <v>17.700000000000017</v>
      </c>
      <c r="N74" s="66"/>
      <c r="O74" s="696">
        <f>+'Exhibit I State'!O73+'Exhibit I Federal'!O55</f>
        <v>20.199999999999964</v>
      </c>
      <c r="P74" s="66"/>
      <c r="Q74" s="696">
        <f>+'Exhibit I State'!Q73+'Exhibit I Federal'!Q55</f>
        <v>72.500000000000014</v>
      </c>
      <c r="R74" s="66"/>
      <c r="S74" s="696">
        <f>+'Exhibit I State'!S73+'Exhibit I Federal'!S55</f>
        <v>34.300000000000026</v>
      </c>
      <c r="T74" s="66"/>
      <c r="U74" s="696">
        <f>+'Exhibit I State'!U73+'Exhibit I Federal'!U55</f>
        <v>44.599999999999952</v>
      </c>
      <c r="V74" s="66"/>
      <c r="W74" s="696">
        <f>+'Exhibit I State'!W73+'Exhibit I Federal'!W55</f>
        <v>88.399999999999991</v>
      </c>
      <c r="X74" s="66"/>
      <c r="Y74" s="696">
        <f>+'Exhibit I State'!Y73+'Exhibit I Federal'!Y55</f>
        <v>34.300000000000068</v>
      </c>
      <c r="Z74" s="66"/>
      <c r="AA74" s="1136"/>
      <c r="AB74" s="278"/>
      <c r="AC74" s="278">
        <v>0</v>
      </c>
      <c r="AD74" s="66"/>
      <c r="AE74" s="57"/>
      <c r="AF74" s="906">
        <f t="shared" si="4"/>
        <v>481</v>
      </c>
      <c r="AG74" s="79"/>
      <c r="AH74" s="56"/>
      <c r="AI74" s="127">
        <f>+'Exhibit I State'!AG73+'Exhibit I Federal'!AG55</f>
        <v>324.89999999999998</v>
      </c>
      <c r="AJ74" s="77"/>
      <c r="AK74" s="335"/>
      <c r="AL74" s="58">
        <f t="shared" si="3"/>
        <v>156.1</v>
      </c>
      <c r="AM74" s="336"/>
      <c r="AN74" s="8">
        <f>ROUND(IF(AI74=0,0,AL74/ABS(AI74)),3)</f>
        <v>0.48</v>
      </c>
    </row>
    <row r="75" spans="1:44" ht="15.75">
      <c r="A75" s="31"/>
      <c r="B75" s="31" t="s">
        <v>31</v>
      </c>
      <c r="C75" s="31"/>
      <c r="D75" s="31"/>
      <c r="E75" s="696">
        <f>+'Exhibit I State'!E74+'Exhibit I Federal'!E56</f>
        <v>10</v>
      </c>
      <c r="F75" s="1566"/>
      <c r="G75" s="696">
        <f>+'Exhibit I State'!G74+'Exhibit I Federal'!G56</f>
        <v>-0.1</v>
      </c>
      <c r="H75" s="1566"/>
      <c r="I75" s="696">
        <f>+'Exhibit I State'!I74+'Exhibit I Federal'!I56</f>
        <v>-0.70000000000000107</v>
      </c>
      <c r="J75" s="1566"/>
      <c r="K75" s="696">
        <f>+'Exhibit I State'!K74+'Exhibit I Federal'!K56</f>
        <v>9.9999999999999645E-2</v>
      </c>
      <c r="L75" s="66"/>
      <c r="M75" s="696">
        <f>+'Exhibit I State'!M74+'Exhibit I Federal'!M56</f>
        <v>0.30000000000000071</v>
      </c>
      <c r="N75" s="66"/>
      <c r="O75" s="696">
        <f>+'Exhibit I State'!O74+'Exhibit I Federal'!O56</f>
        <v>12</v>
      </c>
      <c r="P75" s="66"/>
      <c r="Q75" s="696">
        <f>+'Exhibit I State'!Q74+'Exhibit I Federal'!Q56</f>
        <v>1.1999999999999993</v>
      </c>
      <c r="R75" s="66"/>
      <c r="S75" s="696">
        <f>+'Exhibit I State'!S74+'Exhibit I Federal'!S56</f>
        <v>14.799999999999999</v>
      </c>
      <c r="T75" s="66"/>
      <c r="U75" s="696">
        <f>+'Exhibit I State'!U74+'Exhibit I Federal'!U56</f>
        <v>1.8000000000000007</v>
      </c>
      <c r="V75" s="66"/>
      <c r="W75" s="696">
        <f>+'Exhibit I State'!W74+'Exhibit I Federal'!W56</f>
        <v>44.7</v>
      </c>
      <c r="X75" s="66"/>
      <c r="Y75" s="696">
        <f>+'Exhibit I State'!Y74+'Exhibit I Federal'!Y56</f>
        <v>2</v>
      </c>
      <c r="Z75" s="66"/>
      <c r="AA75" s="1136"/>
      <c r="AB75" s="278"/>
      <c r="AC75" s="278">
        <v>0</v>
      </c>
      <c r="AD75" s="66"/>
      <c r="AE75" s="57"/>
      <c r="AF75" s="118">
        <f t="shared" si="4"/>
        <v>86.1</v>
      </c>
      <c r="AG75" s="79"/>
      <c r="AH75" s="56"/>
      <c r="AI75" s="127">
        <f>+'Exhibit I State'!AG74+'Exhibit I Federal'!AG56</f>
        <v>53.099999999999994</v>
      </c>
      <c r="AJ75" s="77"/>
      <c r="AK75" s="335"/>
      <c r="AL75" s="58">
        <f t="shared" si="3"/>
        <v>33</v>
      </c>
      <c r="AM75" s="336"/>
      <c r="AN75" s="1493">
        <f>ROUND(IF(AI75=0,1,AL75/ABS(AI75)),3)</f>
        <v>0.621</v>
      </c>
      <c r="AO75" s="327"/>
    </row>
    <row r="76" spans="1:44" ht="15.75">
      <c r="A76" s="31"/>
      <c r="B76" s="31" t="s">
        <v>32</v>
      </c>
      <c r="C76" s="31"/>
      <c r="D76" s="31"/>
      <c r="E76" s="696">
        <f>+'Exhibit I State'!E75+'Exhibit I Federal'!E57</f>
        <v>0</v>
      </c>
      <c r="F76" s="1566"/>
      <c r="G76" s="696">
        <f>+'Exhibit I State'!G75+'Exhibit I Federal'!G57</f>
        <v>10.9</v>
      </c>
      <c r="H76" s="1566"/>
      <c r="I76" s="696">
        <f>+'Exhibit I State'!I75+'Exhibit I Federal'!I57</f>
        <v>86.1</v>
      </c>
      <c r="J76" s="1566"/>
      <c r="K76" s="696">
        <f>+'Exhibit I State'!K75+'Exhibit I Federal'!K57</f>
        <v>6</v>
      </c>
      <c r="L76" s="66"/>
      <c r="M76" s="696">
        <f>+'Exhibit I State'!M75+'Exhibit I Federal'!M57</f>
        <v>9.0999999999999943</v>
      </c>
      <c r="N76" s="66"/>
      <c r="O76" s="696">
        <f>+'Exhibit I State'!O75+'Exhibit I Federal'!O57</f>
        <v>42.800000000000011</v>
      </c>
      <c r="P76" s="66"/>
      <c r="Q76" s="696">
        <f>+'Exhibit I State'!Q75+'Exhibit I Federal'!Q57</f>
        <v>3.1999999999999886</v>
      </c>
      <c r="R76" s="66"/>
      <c r="S76" s="696">
        <f>+'Exhibit I State'!S75+'Exhibit I Federal'!S57</f>
        <v>83.1</v>
      </c>
      <c r="T76" s="66"/>
      <c r="U76" s="696">
        <f>+'Exhibit I State'!U75+'Exhibit I Federal'!U57</f>
        <v>13.300000000000011</v>
      </c>
      <c r="V76" s="66"/>
      <c r="W76" s="696">
        <f>+'Exhibit I State'!W75+'Exhibit I Federal'!W57</f>
        <v>98.899999999999977</v>
      </c>
      <c r="X76" s="66"/>
      <c r="Y76" s="696">
        <f>+'Exhibit I State'!Y75+'Exhibit I Federal'!Y57</f>
        <v>14.700000000000017</v>
      </c>
      <c r="Z76" s="66"/>
      <c r="AA76" s="1136"/>
      <c r="AB76" s="278"/>
      <c r="AC76" s="278">
        <v>0</v>
      </c>
      <c r="AD76" s="66"/>
      <c r="AE76" s="57"/>
      <c r="AF76" s="118">
        <f t="shared" si="4"/>
        <v>368.1</v>
      </c>
      <c r="AG76" s="79"/>
      <c r="AH76" s="56"/>
      <c r="AI76" s="127">
        <f>+'Exhibit I State'!AG75+'Exhibit I Federal'!AG57</f>
        <v>269.60000000000002</v>
      </c>
      <c r="AJ76" s="66"/>
      <c r="AK76" s="337"/>
      <c r="AL76" s="58">
        <f t="shared" si="3"/>
        <v>98.5</v>
      </c>
      <c r="AM76" s="336"/>
      <c r="AN76" s="1453">
        <f>ROUND(IF(AI76=0,1,AL76/ABS(AI76)),3)</f>
        <v>0.36499999999999999</v>
      </c>
      <c r="AO76" s="327"/>
    </row>
    <row r="77" spans="1:44" ht="15.75">
      <c r="A77" s="31"/>
      <c r="B77" s="31" t="s">
        <v>33</v>
      </c>
      <c r="C77" s="29"/>
      <c r="D77" s="31"/>
      <c r="E77" s="696">
        <f>+'Exhibit I State'!E76+'Exhibit I Federal'!E58</f>
        <v>26.7</v>
      </c>
      <c r="F77" s="1566"/>
      <c r="G77" s="696">
        <f>+'Exhibit I State'!G76+'Exhibit I Federal'!G58</f>
        <v>149.20000000000002</v>
      </c>
      <c r="H77" s="1566"/>
      <c r="I77" s="696">
        <f>+'Exhibit I State'!I76+'Exhibit I Federal'!I58</f>
        <v>197.4</v>
      </c>
      <c r="J77" s="1566"/>
      <c r="K77" s="696">
        <f>+'Exhibit I State'!K76+'Exhibit I Federal'!K58</f>
        <v>39.199999999999989</v>
      </c>
      <c r="L77" s="66"/>
      <c r="M77" s="696">
        <f>+'Exhibit I State'!M76+'Exhibit I Federal'!M58</f>
        <v>40.900000000000006</v>
      </c>
      <c r="N77" s="66"/>
      <c r="O77" s="696">
        <f>+'Exhibit I State'!O76+'Exhibit I Federal'!O58</f>
        <v>61.899999999999977</v>
      </c>
      <c r="P77" s="66"/>
      <c r="Q77" s="696">
        <f>+'Exhibit I State'!Q76+'Exhibit I Federal'!Q58</f>
        <v>37.999999999999886</v>
      </c>
      <c r="R77" s="66"/>
      <c r="S77" s="696">
        <f>+'Exhibit I State'!S76+'Exhibit I Federal'!S58</f>
        <v>43.800000000000068</v>
      </c>
      <c r="T77" s="66"/>
      <c r="U77" s="696">
        <f>+'Exhibit I State'!U76+'Exhibit I Federal'!U58</f>
        <v>102.60000000000005</v>
      </c>
      <c r="V77" s="66"/>
      <c r="W77" s="696">
        <f>+'Exhibit I State'!W76+'Exhibit I Federal'!W58</f>
        <v>31.799999999999926</v>
      </c>
      <c r="X77" s="66"/>
      <c r="Y77" s="696">
        <f>+'Exhibit I State'!Y76+'Exhibit I Federal'!Y58</f>
        <v>101.29999999999995</v>
      </c>
      <c r="Z77" s="66"/>
      <c r="AA77" s="1136"/>
      <c r="AB77" s="278"/>
      <c r="AC77" s="278">
        <v>0</v>
      </c>
      <c r="AD77" s="66"/>
      <c r="AE77" s="57"/>
      <c r="AF77" s="118">
        <f t="shared" si="4"/>
        <v>832.8</v>
      </c>
      <c r="AG77" s="79"/>
      <c r="AH77" s="56"/>
      <c r="AI77" s="127">
        <f>+'Exhibit I State'!AG76+'Exhibit I Federal'!AG58</f>
        <v>946</v>
      </c>
      <c r="AJ77" s="66"/>
      <c r="AK77" s="337"/>
      <c r="AL77" s="58">
        <f t="shared" si="3"/>
        <v>-113.2</v>
      </c>
      <c r="AM77" s="336"/>
      <c r="AN77" s="1594">
        <f>ROUND(IF(AI77=0,0,AL77/ABS(AI77)),3)</f>
        <v>-0.12</v>
      </c>
      <c r="AO77" s="327"/>
    </row>
    <row r="78" spans="1:44" ht="15.75">
      <c r="A78" s="31"/>
      <c r="B78" s="31" t="s">
        <v>34</v>
      </c>
      <c r="C78" s="31"/>
      <c r="D78" s="31"/>
      <c r="E78" s="696">
        <f>+'Exhibit I State'!E77+'Exhibit I Federal'!E59</f>
        <v>232.7</v>
      </c>
      <c r="F78" s="1566"/>
      <c r="G78" s="696">
        <f>+'Exhibit I State'!G77+'Exhibit I Federal'!G59</f>
        <v>44.70000000000001</v>
      </c>
      <c r="H78" s="1566"/>
      <c r="I78" s="696">
        <f>+'Exhibit I State'!I77+'Exhibit I Federal'!I59</f>
        <v>70.800000000000011</v>
      </c>
      <c r="J78" s="1566"/>
      <c r="K78" s="696">
        <f>+'Exhibit I State'!K77+'Exhibit I Federal'!K59</f>
        <v>57.100000000000009</v>
      </c>
      <c r="L78" s="66"/>
      <c r="M78" s="696">
        <f>+'Exhibit I State'!M77+'Exhibit I Federal'!M59</f>
        <v>45.099999999999994</v>
      </c>
      <c r="N78" s="66"/>
      <c r="O78" s="696">
        <f>+'Exhibit I State'!O77+'Exhibit I Federal'!O59</f>
        <v>508.70000000000005</v>
      </c>
      <c r="P78" s="66"/>
      <c r="Q78" s="696">
        <f>+'Exhibit I State'!Q77+'Exhibit I Federal'!Q59</f>
        <v>80.099999999999795</v>
      </c>
      <c r="R78" s="66"/>
      <c r="S78" s="696">
        <f>+'Exhibit I State'!S77+'Exhibit I Federal'!S59</f>
        <v>36.799999999999969</v>
      </c>
      <c r="T78" s="66"/>
      <c r="U78" s="696">
        <f>+'Exhibit I State'!U77+'Exhibit I Federal'!U59</f>
        <v>281.2</v>
      </c>
      <c r="V78" s="66"/>
      <c r="W78" s="696">
        <f>+'Exhibit I State'!W77+'Exhibit I Federal'!W59</f>
        <v>49.800000000000125</v>
      </c>
      <c r="X78" s="66"/>
      <c r="Y78" s="696">
        <f>+'Exhibit I State'!Y77+'Exhibit I Federal'!Y59</f>
        <v>80.499999999999901</v>
      </c>
      <c r="Z78" s="66"/>
      <c r="AA78" s="1136"/>
      <c r="AB78" s="278"/>
      <c r="AC78" s="278">
        <v>0</v>
      </c>
      <c r="AD78" s="66"/>
      <c r="AE78" s="57"/>
      <c r="AF78" s="118">
        <f>ROUND(SUM(E78:AC78),1)</f>
        <v>1487.5</v>
      </c>
      <c r="AG78" s="79"/>
      <c r="AH78" s="56"/>
      <c r="AI78" s="1055">
        <f>+'Exhibit I State'!AG77+'Exhibit I Federal'!AG59</f>
        <v>1599.8</v>
      </c>
      <c r="AJ78" s="56"/>
      <c r="AK78" s="337"/>
      <c r="AL78" s="58">
        <f>ROUND(SUM(+AF78-AI78),1)</f>
        <v>-112.3</v>
      </c>
      <c r="AM78" s="327"/>
      <c r="AN78" s="1454">
        <f>ROUND(IF(AI78=0,0,AL78/ABS(AI78)),3)</f>
        <v>-7.0000000000000007E-2</v>
      </c>
      <c r="AO78" s="327"/>
    </row>
    <row r="79" spans="1:44" ht="15.75">
      <c r="A79" s="31"/>
      <c r="B79" s="29" t="s">
        <v>198</v>
      </c>
      <c r="C79" s="31"/>
      <c r="D79" s="31"/>
      <c r="E79" s="296">
        <f>ROUND(SUM(E69:E78),1)</f>
        <v>365.7</v>
      </c>
      <c r="F79" s="933"/>
      <c r="G79" s="296">
        <f>ROUND(SUM(G69:G78),1)</f>
        <v>404.8</v>
      </c>
      <c r="H79" s="933"/>
      <c r="I79" s="296">
        <f>ROUND(SUM(I69:I78),1)</f>
        <v>535.6</v>
      </c>
      <c r="J79" s="1567"/>
      <c r="K79" s="296">
        <f>ROUND(SUM(K69:K78),1)</f>
        <v>243.5</v>
      </c>
      <c r="L79" s="76"/>
      <c r="M79" s="296">
        <f>ROUND(SUM(M69:M78),1)</f>
        <v>156.9</v>
      </c>
      <c r="N79" s="76"/>
      <c r="O79" s="296">
        <f>ROUND(SUM(O69:O78),1)</f>
        <v>764.7</v>
      </c>
      <c r="P79" s="62"/>
      <c r="Q79" s="296">
        <f>ROUND(SUM(Q69:Q78),1)</f>
        <v>352.6</v>
      </c>
      <c r="R79" s="62"/>
      <c r="S79" s="1110">
        <f>ROUND(SUM(S69:S78),1)</f>
        <v>261.5</v>
      </c>
      <c r="T79" s="62"/>
      <c r="U79" s="296">
        <f>ROUND(SUM(U69:U78),1)</f>
        <v>622.29999999999995</v>
      </c>
      <c r="V79" s="62"/>
      <c r="W79" s="296">
        <f>ROUND(SUM(W69:W78),1)</f>
        <v>621.4</v>
      </c>
      <c r="X79" s="62"/>
      <c r="Y79" s="296">
        <f>ROUND(SUM(Y69:Y78),1)</f>
        <v>275.39999999999998</v>
      </c>
      <c r="Z79" s="62"/>
      <c r="AA79" s="296">
        <f>ROUND(SUM(AA69:AA78),1)</f>
        <v>0</v>
      </c>
      <c r="AB79" s="1567"/>
      <c r="AC79" s="296">
        <f>ROUND(SUM(AC69:AC78),1)</f>
        <v>0</v>
      </c>
      <c r="AD79" s="62"/>
      <c r="AE79" s="64"/>
      <c r="AF79" s="1110">
        <f>ROUND(SUM(AF69:AF78),1)</f>
        <v>4604.3999999999996</v>
      </c>
      <c r="AG79" s="216"/>
      <c r="AH79" s="76"/>
      <c r="AI79" s="1110">
        <f>ROUND(SUM(AI69:AI78),1)</f>
        <v>4569.5</v>
      </c>
      <c r="AJ79" s="76"/>
      <c r="AK79" s="337"/>
      <c r="AL79" s="296">
        <f>ROUND(SUM(AL69:AL78),1)</f>
        <v>34.9</v>
      </c>
      <c r="AM79" s="343"/>
      <c r="AN79" s="911">
        <f>ROUND(SUM(AL79/AI79),3)</f>
        <v>8.0000000000000002E-3</v>
      </c>
      <c r="AO79" s="332"/>
      <c r="AP79" s="340"/>
      <c r="AQ79" s="332"/>
      <c r="AR79" s="332"/>
    </row>
    <row r="80" spans="1:44" ht="15.75">
      <c r="A80" s="31"/>
      <c r="B80" s="31" t="s">
        <v>199</v>
      </c>
      <c r="C80" s="31"/>
      <c r="D80" s="31"/>
      <c r="E80" s="1566"/>
      <c r="F80" s="1566"/>
      <c r="G80" s="1566"/>
      <c r="H80" s="1566"/>
      <c r="I80" s="1566"/>
      <c r="J80" s="1566"/>
      <c r="K80" s="1566"/>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7"/>
      <c r="AL80" s="58"/>
      <c r="AM80" s="327"/>
      <c r="AN80" s="334"/>
    </row>
    <row r="81" spans="1:44" ht="15.75">
      <c r="A81" s="31"/>
      <c r="B81" s="31" t="s">
        <v>200</v>
      </c>
      <c r="C81" s="31"/>
      <c r="D81" s="31"/>
      <c r="E81" s="696">
        <f>+'Exhibit I State'!E80+'Exhibit I Federal'!E62</f>
        <v>0</v>
      </c>
      <c r="F81" s="1566"/>
      <c r="G81" s="696">
        <f>+'Exhibit I State'!G80+'Exhibit I Federal'!G62</f>
        <v>0</v>
      </c>
      <c r="H81" s="1566"/>
      <c r="I81" s="696">
        <f>+'Exhibit I State'!I80+'Exhibit I Federal'!I62</f>
        <v>0</v>
      </c>
      <c r="J81" s="1566"/>
      <c r="K81" s="696">
        <f>+'Exhibit I State'!K80+'Exhibit I Federal'!K62</f>
        <v>0</v>
      </c>
      <c r="L81" s="66"/>
      <c r="M81" s="696">
        <f>+'Exhibit I State'!M80+'Exhibit I Federal'!M62</f>
        <v>0</v>
      </c>
      <c r="N81" s="66"/>
      <c r="O81" s="696">
        <f>+'Exhibit I State'!O80+'Exhibit I Federal'!O62</f>
        <v>0</v>
      </c>
      <c r="P81" s="66"/>
      <c r="Q81" s="696">
        <f>+'Exhibit I State'!Q80+'Exhibit I Federal'!Q62</f>
        <v>0</v>
      </c>
      <c r="R81" s="66"/>
      <c r="S81" s="696">
        <f>+'Exhibit I State'!S80+'Exhibit I Federal'!S62</f>
        <v>0</v>
      </c>
      <c r="T81" s="66"/>
      <c r="U81" s="696">
        <f>+'Exhibit I State'!U80+'Exhibit I Federal'!U62</f>
        <v>0</v>
      </c>
      <c r="V81" s="66"/>
      <c r="W81" s="696">
        <f>+'Exhibit I State'!W80+'Exhibit I Federal'!W62</f>
        <v>0</v>
      </c>
      <c r="X81" s="66"/>
      <c r="Y81" s="696">
        <f>+'Exhibit I State'!Y80+'Exhibit I Federal'!Y62</f>
        <v>0</v>
      </c>
      <c r="Z81" s="66"/>
      <c r="AA81" s="1575"/>
      <c r="AB81" s="278"/>
      <c r="AC81" s="278">
        <v>0</v>
      </c>
      <c r="AD81" s="66"/>
      <c r="AE81" s="57"/>
      <c r="AF81" s="119">
        <f>ROUND(SUM(E81:AC81),1)</f>
        <v>0</v>
      </c>
      <c r="AG81" s="79"/>
      <c r="AH81" s="56"/>
      <c r="AI81" s="362">
        <f>+'Exhibit I State'!AG80+'Exhibit I Federal'!AG62</f>
        <v>0</v>
      </c>
      <c r="AJ81" s="69"/>
      <c r="AK81" s="345"/>
      <c r="AL81" s="342">
        <f>ROUND(SUM(+AF81-AI81),1)</f>
        <v>0</v>
      </c>
      <c r="AM81" s="327"/>
      <c r="AN81" s="8">
        <f>ROUND(IF(AI81=0,0,AL81/ABS(AI81)),3)</f>
        <v>0</v>
      </c>
    </row>
    <row r="82" spans="1:44" ht="15.75">
      <c r="A82" s="31"/>
      <c r="B82" s="31" t="s">
        <v>201</v>
      </c>
      <c r="C82" s="31"/>
      <c r="D82" s="31"/>
      <c r="E82" s="696">
        <f>+'Exhibit I State'!E81+'Exhibit I Federal'!E63</f>
        <v>0</v>
      </c>
      <c r="F82" s="1566"/>
      <c r="G82" s="696">
        <f>+'Exhibit I State'!G81+'Exhibit I Federal'!G63</f>
        <v>0</v>
      </c>
      <c r="H82" s="1566"/>
      <c r="I82" s="696">
        <f>+'Exhibit I State'!I81+'Exhibit I Federal'!I63</f>
        <v>0</v>
      </c>
      <c r="J82" s="1566"/>
      <c r="K82" s="696">
        <f>+'Exhibit I State'!K81+'Exhibit I Federal'!K63</f>
        <v>0</v>
      </c>
      <c r="L82" s="66"/>
      <c r="M82" s="696">
        <f>+'Exhibit I State'!M81+'Exhibit I Federal'!M63</f>
        <v>0</v>
      </c>
      <c r="N82" s="66"/>
      <c r="O82" s="696">
        <f>+'Exhibit I State'!O81+'Exhibit I Federal'!O63</f>
        <v>0</v>
      </c>
      <c r="P82" s="66"/>
      <c r="Q82" s="696">
        <f>+'Exhibit I State'!Q81+'Exhibit I Federal'!Q63</f>
        <v>0</v>
      </c>
      <c r="R82" s="66"/>
      <c r="S82" s="696">
        <f>+'Exhibit I State'!S81+'Exhibit I Federal'!S63</f>
        <v>0</v>
      </c>
      <c r="T82" s="66"/>
      <c r="U82" s="696">
        <f>+'Exhibit I State'!U81+'Exhibit I Federal'!U63</f>
        <v>0</v>
      </c>
      <c r="V82" s="66"/>
      <c r="W82" s="696">
        <f>+'Exhibit I State'!W81+'Exhibit I Federal'!W63</f>
        <v>0</v>
      </c>
      <c r="X82" s="66"/>
      <c r="Y82" s="696">
        <f>+'Exhibit I State'!Y81+'Exhibit I Federal'!Y63</f>
        <v>0</v>
      </c>
      <c r="Z82" s="66"/>
      <c r="AA82" s="1575"/>
      <c r="AB82" s="278"/>
      <c r="AC82" s="278">
        <v>0</v>
      </c>
      <c r="AD82" s="66"/>
      <c r="AE82" s="57"/>
      <c r="AF82" s="119">
        <f>ROUND(SUM(E82:AC82),1)</f>
        <v>0</v>
      </c>
      <c r="AG82" s="79"/>
      <c r="AH82" s="56"/>
      <c r="AI82" s="362">
        <f>+'Exhibit I State'!AG81+'Exhibit I Federal'!AG63</f>
        <v>0</v>
      </c>
      <c r="AJ82" s="69"/>
      <c r="AK82" s="345"/>
      <c r="AL82" s="342">
        <f>ROUND(SUM(+AF82-AI82),1)</f>
        <v>0</v>
      </c>
      <c r="AM82" s="327"/>
      <c r="AN82" s="8">
        <f>ROUND(IF(AI82=0,0,AL82/ABS(AI82)),3)</f>
        <v>0</v>
      </c>
    </row>
    <row r="83" spans="1:44" ht="15.75">
      <c r="A83" s="31"/>
      <c r="B83" s="31" t="s">
        <v>202</v>
      </c>
      <c r="C83" s="31"/>
      <c r="D83" s="31"/>
      <c r="E83" s="696">
        <f>+'Exhibit I State'!E82+'Exhibit I Federal'!E64</f>
        <v>0</v>
      </c>
      <c r="F83" s="1566"/>
      <c r="G83" s="696">
        <f>+'Exhibit I State'!G82+'Exhibit I Federal'!G64</f>
        <v>0</v>
      </c>
      <c r="H83" s="1566"/>
      <c r="I83" s="696">
        <f>+'Exhibit I State'!I82+'Exhibit I Federal'!I64</f>
        <v>0</v>
      </c>
      <c r="J83" s="1566"/>
      <c r="K83" s="696">
        <f>+'Exhibit I State'!K82+'Exhibit I Federal'!K64</f>
        <v>0</v>
      </c>
      <c r="L83" s="66"/>
      <c r="M83" s="696">
        <f>+'Exhibit I State'!M82+'Exhibit I Federal'!M64</f>
        <v>0</v>
      </c>
      <c r="N83" s="66"/>
      <c r="O83" s="696">
        <f>+'Exhibit I State'!O82+'Exhibit I Federal'!O64</f>
        <v>0</v>
      </c>
      <c r="P83" s="66"/>
      <c r="Q83" s="696">
        <f>+'Exhibit I State'!Q82+'Exhibit I Federal'!Q64</f>
        <v>0</v>
      </c>
      <c r="R83" s="66"/>
      <c r="S83" s="696">
        <f>+'Exhibit I State'!S82+'Exhibit I Federal'!S64</f>
        <v>0</v>
      </c>
      <c r="T83" s="66"/>
      <c r="U83" s="696">
        <f>+'Exhibit I State'!U82+'Exhibit I Federal'!U64</f>
        <v>0</v>
      </c>
      <c r="V83" s="66"/>
      <c r="W83" s="696">
        <f>+'Exhibit I State'!W82+'Exhibit I Federal'!W64</f>
        <v>0</v>
      </c>
      <c r="X83" s="66"/>
      <c r="Y83" s="696">
        <f>+'Exhibit I State'!Y82+'Exhibit I Federal'!Y64</f>
        <v>0</v>
      </c>
      <c r="Z83" s="346"/>
      <c r="AA83" s="1575"/>
      <c r="AB83" s="278"/>
      <c r="AC83" s="278">
        <v>0</v>
      </c>
      <c r="AD83" s="346"/>
      <c r="AE83" s="347"/>
      <c r="AF83" s="119">
        <f>ROUND(SUM(E83:AC83),1)</f>
        <v>0</v>
      </c>
      <c r="AG83" s="79"/>
      <c r="AH83" s="56"/>
      <c r="AI83" s="362">
        <f>+'Exhibit I State'!AG82+'Exhibit I Federal'!AG64</f>
        <v>0</v>
      </c>
      <c r="AJ83" s="69"/>
      <c r="AK83" s="345"/>
      <c r="AL83" s="342">
        <f>ROUND(SUM(+AF83-AI83),1)</f>
        <v>0</v>
      </c>
      <c r="AM83" s="327"/>
      <c r="AN83" s="8">
        <f>ROUND(IF(AI83=0,0,AL83/ABS(AI83)),3)</f>
        <v>0</v>
      </c>
    </row>
    <row r="84" spans="1:44" ht="15.75">
      <c r="A84" s="31"/>
      <c r="B84" s="54" t="s">
        <v>173</v>
      </c>
      <c r="C84" s="31"/>
      <c r="D84" s="31"/>
      <c r="E84" s="696">
        <f>+'Exhibit I State'!E83+'Exhibit I Federal'!E65</f>
        <v>434.1</v>
      </c>
      <c r="F84" s="1566"/>
      <c r="G84" s="696">
        <f>+'Exhibit I State'!G83+'Exhibit I Federal'!G65</f>
        <v>528.1</v>
      </c>
      <c r="H84" s="668"/>
      <c r="I84" s="696">
        <f>+'Exhibit I State'!I83+'Exhibit I Federal'!I65</f>
        <v>536.4</v>
      </c>
      <c r="J84" s="668"/>
      <c r="K84" s="696">
        <f>+'Exhibit I State'!K83+'Exhibit I Federal'!K65</f>
        <v>600.69999999999982</v>
      </c>
      <c r="L84" s="66"/>
      <c r="M84" s="696">
        <f>+'Exhibit I State'!M83+'Exhibit I Federal'!M65</f>
        <v>750.4</v>
      </c>
      <c r="N84" s="66"/>
      <c r="O84" s="696">
        <f>+'Exhibit I State'!O83+'Exhibit I Federal'!O65</f>
        <v>582.60000000000014</v>
      </c>
      <c r="P84" s="66"/>
      <c r="Q84" s="696">
        <f>+'Exhibit I State'!Q83+'Exhibit I Federal'!Q65</f>
        <v>710.69999999999993</v>
      </c>
      <c r="R84" s="66"/>
      <c r="S84" s="696">
        <f>+'Exhibit I State'!S83+'Exhibit I Federal'!S65</f>
        <v>705.00000000000045</v>
      </c>
      <c r="T84" s="66"/>
      <c r="U84" s="696">
        <f>+'Exhibit I State'!U83+'Exhibit I Federal'!U65</f>
        <v>577.00000000000023</v>
      </c>
      <c r="V84" s="66"/>
      <c r="W84" s="696">
        <f>+'Exhibit I State'!W83+'Exhibit I Federal'!W65</f>
        <v>551.7999999999995</v>
      </c>
      <c r="X84" s="66"/>
      <c r="Y84" s="696">
        <f>+'Exhibit I State'!Y83+'Exhibit I Federal'!Y65</f>
        <v>476.40000000000032</v>
      </c>
      <c r="Z84" s="66"/>
      <c r="AA84" s="1575"/>
      <c r="AB84" s="278"/>
      <c r="AC84" s="278">
        <v>0</v>
      </c>
      <c r="AD84" s="66"/>
      <c r="AE84" s="57"/>
      <c r="AF84" s="119">
        <f>ROUND(SUM(E84:AC84),1)</f>
        <v>6453.2</v>
      </c>
      <c r="AG84" s="79"/>
      <c r="AH84" s="56"/>
      <c r="AI84" s="3621">
        <f>+'Exhibit I State'!AG83+'Exhibit I Federal'!AG65</f>
        <v>6419.6</v>
      </c>
      <c r="AJ84" s="78"/>
      <c r="AK84" s="335"/>
      <c r="AL84" s="338">
        <f>ROUND(SUM(+AF84-AI84),1)</f>
        <v>33.6</v>
      </c>
      <c r="AM84" s="327"/>
      <c r="AN84" s="914">
        <f>ROUND(IF(AI84=0,0,AL84/ABS(AI84)),3)</f>
        <v>5.0000000000000001E-3</v>
      </c>
    </row>
    <row r="85" spans="1:44" ht="15.75">
      <c r="A85" s="31"/>
      <c r="B85" s="31"/>
      <c r="C85" s="31"/>
      <c r="D85" s="31"/>
      <c r="E85" s="697"/>
      <c r="F85" s="1566"/>
      <c r="G85" s="697"/>
      <c r="H85" s="1566"/>
      <c r="I85" s="697"/>
      <c r="J85" s="1566"/>
      <c r="K85" s="697"/>
      <c r="L85" s="66"/>
      <c r="M85" s="88"/>
      <c r="N85" s="66"/>
      <c r="O85" s="88"/>
      <c r="P85" s="66"/>
      <c r="Q85" s="88"/>
      <c r="R85" s="66"/>
      <c r="S85" s="126"/>
      <c r="T85" s="66"/>
      <c r="U85" s="88"/>
      <c r="V85" s="66"/>
      <c r="W85" s="88"/>
      <c r="X85" s="66"/>
      <c r="Y85" s="88"/>
      <c r="Z85" s="66"/>
      <c r="AA85" s="88"/>
      <c r="AB85" s="56"/>
      <c r="AC85" s="88"/>
      <c r="AD85" s="66"/>
      <c r="AE85" s="57"/>
      <c r="AF85" s="126"/>
      <c r="AG85" s="79"/>
      <c r="AH85" s="56"/>
      <c r="AI85" s="363"/>
      <c r="AJ85" s="58"/>
      <c r="AK85" s="348"/>
      <c r="AL85" s="58"/>
      <c r="AM85" s="327"/>
      <c r="AN85" s="334"/>
    </row>
    <row r="86" spans="1:44" ht="15.75">
      <c r="A86" s="31"/>
      <c r="B86" s="29" t="s">
        <v>203</v>
      </c>
      <c r="C86" s="31"/>
      <c r="D86" s="31"/>
      <c r="E86" s="933">
        <f>ROUND(SUM(+E84+E79),1)</f>
        <v>799.8</v>
      </c>
      <c r="F86" s="933"/>
      <c r="G86" s="933">
        <f>ROUND(SUM(+G84+G79),1)</f>
        <v>932.9</v>
      </c>
      <c r="H86" s="933"/>
      <c r="I86" s="933">
        <f>ROUND(SUM(+I84+I79),1)</f>
        <v>1072</v>
      </c>
      <c r="J86" s="933"/>
      <c r="K86" s="933">
        <f>ROUND(SUM(+K84+K79),1)</f>
        <v>844.2</v>
      </c>
      <c r="L86" s="62"/>
      <c r="M86" s="933">
        <f>ROUND(SUM(+M84+M79),1)</f>
        <v>907.3</v>
      </c>
      <c r="N86" s="62"/>
      <c r="O86" s="933">
        <f>ROUND(SUM(+O84+O79),1)</f>
        <v>1347.3</v>
      </c>
      <c r="P86" s="62"/>
      <c r="Q86" s="933">
        <f>ROUND(SUM(+Q84+Q79),1)</f>
        <v>1063.3</v>
      </c>
      <c r="R86" s="62"/>
      <c r="S86" s="112">
        <f>ROUND(SUM(+S84+S79),1)</f>
        <v>966.5</v>
      </c>
      <c r="T86" s="62"/>
      <c r="U86" s="933">
        <f>ROUND(SUM(+U84+U79),1)</f>
        <v>1199.3</v>
      </c>
      <c r="V86" s="62"/>
      <c r="W86" s="933">
        <f>ROUND(SUM(+W84+W79),1)</f>
        <v>1173.2</v>
      </c>
      <c r="X86" s="62"/>
      <c r="Y86" s="933">
        <f>ROUND(SUM(+Y84+Y79),1)</f>
        <v>751.8</v>
      </c>
      <c r="Z86" s="62"/>
      <c r="AA86" s="933">
        <f>ROUND(SUM(+AA84+AA79),1)</f>
        <v>0</v>
      </c>
      <c r="AB86" s="933"/>
      <c r="AC86" s="933">
        <f>ROUND(SUM(+AC84+AC79),1)</f>
        <v>0</v>
      </c>
      <c r="AD86" s="62"/>
      <c r="AE86" s="64"/>
      <c r="AF86" s="112">
        <f>ROUND(SUM(+AF84+AF79),1)</f>
        <v>11057.6</v>
      </c>
      <c r="AG86" s="216"/>
      <c r="AH86" s="76"/>
      <c r="AI86" s="112">
        <f>ROUND(SUM(+AI84+AI79),1)</f>
        <v>10989.1</v>
      </c>
      <c r="AJ86" s="76"/>
      <c r="AK86" s="337"/>
      <c r="AL86" s="74">
        <f>ROUND(SUM(AL79+AL84),1)</f>
        <v>68.5</v>
      </c>
      <c r="AM86" s="343"/>
      <c r="AN86" s="301">
        <f>ROUND(SUM(AL86/AI86),3)</f>
        <v>6.0000000000000001E-3</v>
      </c>
      <c r="AO86" s="332"/>
      <c r="AP86" s="340"/>
      <c r="AQ86" s="332"/>
      <c r="AR86" s="332"/>
    </row>
    <row r="87" spans="1:44" ht="15.75">
      <c r="A87" s="31"/>
      <c r="B87" s="31"/>
      <c r="C87" s="31"/>
      <c r="D87" s="31"/>
      <c r="E87" s="697"/>
      <c r="F87" s="1566"/>
      <c r="G87" s="697"/>
      <c r="H87" s="1566"/>
      <c r="I87" s="697"/>
      <c r="J87" s="1566"/>
      <c r="K87" s="697"/>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7"/>
      <c r="AL87" s="58"/>
      <c r="AM87" s="327"/>
      <c r="AN87" s="334"/>
    </row>
    <row r="88" spans="1:44" ht="15.75">
      <c r="A88" s="31"/>
      <c r="B88" s="29" t="s">
        <v>204</v>
      </c>
      <c r="C88" s="31"/>
      <c r="D88" s="31"/>
      <c r="E88" s="1566"/>
      <c r="F88" s="1566"/>
      <c r="G88" s="1566"/>
      <c r="H88" s="1566"/>
      <c r="I88" s="1566"/>
      <c r="J88" s="1566"/>
      <c r="K88" s="1566"/>
      <c r="L88" s="66"/>
      <c r="M88" s="66"/>
      <c r="N88" s="66"/>
      <c r="O88" s="66"/>
      <c r="P88" s="66"/>
      <c r="Q88" s="66"/>
      <c r="R88" s="66"/>
      <c r="S88" s="118"/>
      <c r="T88" s="66"/>
      <c r="U88" s="66"/>
      <c r="V88" s="66"/>
      <c r="W88" s="66"/>
      <c r="X88" s="66"/>
      <c r="Y88" s="66"/>
      <c r="Z88" s="66"/>
      <c r="AA88" s="66"/>
      <c r="AB88" s="66"/>
      <c r="AC88" s="66"/>
      <c r="AD88" s="66"/>
      <c r="AE88" s="57"/>
      <c r="AF88" s="363"/>
      <c r="AG88" s="79"/>
      <c r="AH88" s="56"/>
      <c r="AI88" s="363"/>
      <c r="AJ88" s="58"/>
      <c r="AK88" s="348"/>
      <c r="AL88" s="58"/>
      <c r="AM88" s="327"/>
      <c r="AN88" s="334"/>
    </row>
    <row r="89" spans="1:44" ht="15.75">
      <c r="A89" s="31"/>
      <c r="B89" s="29" t="s">
        <v>205</v>
      </c>
      <c r="C89" s="31"/>
      <c r="D89" s="31"/>
      <c r="E89" s="933">
        <f>ROUND(SUM(E65-E86),1)</f>
        <v>-343.6</v>
      </c>
      <c r="F89" s="933"/>
      <c r="G89" s="933">
        <f>ROUND(SUM(G65-G86),1)</f>
        <v>-595.70000000000005</v>
      </c>
      <c r="H89" s="933"/>
      <c r="I89" s="933">
        <f>ROUND(SUM(I65-I86),1)</f>
        <v>-548.1</v>
      </c>
      <c r="J89" s="933"/>
      <c r="K89" s="933">
        <f>ROUND(SUM(K65-K86),1)</f>
        <v>-333.8</v>
      </c>
      <c r="L89" s="62"/>
      <c r="M89" s="933">
        <f>ROUND(SUM(M65-M86),1)</f>
        <v>-433.7</v>
      </c>
      <c r="N89" s="62"/>
      <c r="O89" s="933">
        <f>ROUND(SUM(O65-O86),1)</f>
        <v>-435.5</v>
      </c>
      <c r="P89" s="62"/>
      <c r="Q89" s="933">
        <f>ROUND(SUM(Q65-Q86),1)</f>
        <v>1096.5999999999999</v>
      </c>
      <c r="R89" s="62"/>
      <c r="S89" s="112">
        <f>ROUND(SUM(S65-S86),1)</f>
        <v>-545.29999999999995</v>
      </c>
      <c r="T89" s="62"/>
      <c r="U89" s="933">
        <f>ROUND(SUM(U65-U86),1)</f>
        <v>-504.6</v>
      </c>
      <c r="V89" s="62"/>
      <c r="W89" s="933">
        <f>ROUND(SUM(W65-W86),1)</f>
        <v>-96.8</v>
      </c>
      <c r="X89" s="62"/>
      <c r="Y89" s="933">
        <f>ROUND(SUM(Y65-Y86),1)</f>
        <v>-432.1</v>
      </c>
      <c r="Z89" s="62"/>
      <c r="AA89" s="933">
        <f>ROUND(SUM(AA65-AA86),1)</f>
        <v>0</v>
      </c>
      <c r="AB89" s="933"/>
      <c r="AC89" s="933">
        <f>ROUND(SUM(AC65-AC86),1)</f>
        <v>0</v>
      </c>
      <c r="AD89" s="62"/>
      <c r="AE89" s="64"/>
      <c r="AF89" s="112">
        <f>ROUND(SUM(AF65-AF86),1)</f>
        <v>-3172.6</v>
      </c>
      <c r="AG89" s="216"/>
      <c r="AH89" s="76"/>
      <c r="AI89" s="112">
        <f>ROUND(SUM(AI65-AI86),1)</f>
        <v>-1653</v>
      </c>
      <c r="AJ89" s="76"/>
      <c r="AK89" s="337"/>
      <c r="AL89" s="74">
        <f>ROUND(SUM(AL65-AL86),1)</f>
        <v>-1519.6</v>
      </c>
      <c r="AM89" s="343"/>
      <c r="AN89" s="301">
        <f>ROUND(IF(AI89=0,0,AL89/ABS(AI89)),3)</f>
        <v>-0.91900000000000004</v>
      </c>
      <c r="AO89" s="332"/>
      <c r="AP89" s="332"/>
      <c r="AQ89" s="332"/>
      <c r="AR89" s="332"/>
    </row>
    <row r="90" spans="1:44" ht="15.75">
      <c r="A90" s="31"/>
      <c r="B90" s="31"/>
      <c r="C90" s="31"/>
      <c r="D90" s="31"/>
      <c r="E90" s="697"/>
      <c r="F90" s="1566"/>
      <c r="G90" s="697"/>
      <c r="H90" s="1566"/>
      <c r="I90" s="697"/>
      <c r="J90" s="1566"/>
      <c r="K90" s="697"/>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7"/>
      <c r="AL90" s="58"/>
      <c r="AM90" s="327"/>
      <c r="AN90" s="334"/>
    </row>
    <row r="91" spans="1:44" ht="15.75">
      <c r="A91" s="31"/>
      <c r="B91" s="29" t="s">
        <v>206</v>
      </c>
      <c r="C91" s="31"/>
      <c r="D91" s="31"/>
      <c r="E91" s="1566"/>
      <c r="F91" s="1566"/>
      <c r="G91" s="1566"/>
      <c r="H91" s="1566"/>
      <c r="I91" s="1566"/>
      <c r="J91" s="1566"/>
      <c r="K91" s="1566"/>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04" customFormat="1" ht="15.75">
      <c r="A92" s="107"/>
      <c r="B92" s="107" t="s">
        <v>207</v>
      </c>
      <c r="C92" s="107"/>
      <c r="D92" s="107"/>
      <c r="E92" s="696">
        <f>+'Exhibit I State'!E91+'Exhibit I Federal'!E73</f>
        <v>0</v>
      </c>
      <c r="F92" s="1566"/>
      <c r="G92" s="696">
        <f>+'Exhibit I State'!G91+'Exhibit I Federal'!G73</f>
        <v>0</v>
      </c>
      <c r="H92" s="668"/>
      <c r="I92" s="696">
        <f>+'Exhibit I State'!I91+'Exhibit I Federal'!I73</f>
        <v>0</v>
      </c>
      <c r="J92" s="1566"/>
      <c r="K92" s="696">
        <f>+'Exhibit I State'!K91+'Exhibit I Federal'!K73</f>
        <v>0</v>
      </c>
      <c r="L92" s="118"/>
      <c r="M92" s="696">
        <f>+'Exhibit I State'!M91+'Exhibit I Federal'!M73</f>
        <v>0</v>
      </c>
      <c r="N92" s="362"/>
      <c r="O92" s="696">
        <f>+'Exhibit I State'!O91+'Exhibit I Federal'!O73</f>
        <v>0</v>
      </c>
      <c r="P92" s="118"/>
      <c r="Q92" s="696">
        <f>+'Exhibit I State'!Q91+'Exhibit I Federal'!Q73</f>
        <v>0</v>
      </c>
      <c r="R92" s="118"/>
      <c r="S92" s="696">
        <f>+'Exhibit I State'!S91+'Exhibit I Federal'!S73</f>
        <v>0</v>
      </c>
      <c r="T92" s="118"/>
      <c r="U92" s="696">
        <f>+'Exhibit I State'!U91+'Exhibit I Federal'!U73</f>
        <v>0</v>
      </c>
      <c r="V92" s="118"/>
      <c r="W92" s="696">
        <f>+'Exhibit I State'!W91+'Exhibit I Federal'!W73</f>
        <v>0</v>
      </c>
      <c r="X92" s="118"/>
      <c r="Y92" s="696">
        <f>+'Exhibit I State'!Y91+'Exhibit I Federal'!Y73</f>
        <v>0</v>
      </c>
      <c r="Z92" s="118"/>
      <c r="AA92" s="1575"/>
      <c r="AB92" s="1094"/>
      <c r="AC92" s="1094">
        <v>0</v>
      </c>
      <c r="AD92" s="118"/>
      <c r="AE92" s="687"/>
      <c r="AF92" s="119">
        <f>ROUND(SUM(E92:AC92),1)</f>
        <v>0</v>
      </c>
      <c r="AG92" s="1095"/>
      <c r="AH92" s="67"/>
      <c r="AI92" s="127">
        <f>+'Exhibit I State'!AG91+'Exhibit I Federal'!AG73</f>
        <v>0</v>
      </c>
      <c r="AJ92" s="127"/>
      <c r="AK92" s="1122"/>
      <c r="AL92" s="1834">
        <f>ROUND(SUM(+AF92-AI92),1)</f>
        <v>0</v>
      </c>
      <c r="AM92" s="1097"/>
      <c r="AN92" s="1690">
        <f>ROUND(IF(AI92=0,0,AL92/ABS(AI92)),3)</f>
        <v>0</v>
      </c>
    </row>
    <row r="93" spans="1:44" s="1104" customFormat="1" ht="15.75">
      <c r="A93" s="107"/>
      <c r="B93" s="1767" t="s">
        <v>174</v>
      </c>
      <c r="C93" s="107"/>
      <c r="D93" s="107"/>
      <c r="E93" s="696">
        <f>+'Exhibit I State'!E92+'Exhibit I Federal'!E73</f>
        <v>509.2</v>
      </c>
      <c r="F93" s="1566"/>
      <c r="G93" s="696">
        <f>+'Exhibit I State'!G92+'Exhibit I Federal'!G73</f>
        <v>412.40000000000003</v>
      </c>
      <c r="H93" s="696"/>
      <c r="I93" s="696">
        <f>+'Exhibit I State'!I92+'Exhibit I Federal'!I73</f>
        <v>633.49999999999977</v>
      </c>
      <c r="J93" s="1566"/>
      <c r="K93" s="696">
        <f>+'Exhibit I State'!K92+'Exhibit I Federal'!K73</f>
        <v>260.60000000000014</v>
      </c>
      <c r="L93" s="118"/>
      <c r="M93" s="696">
        <f>+'Exhibit I State'!M92+'Exhibit I Federal'!M73</f>
        <v>486.29999999999995</v>
      </c>
      <c r="N93" s="118"/>
      <c r="O93" s="696">
        <f>+'Exhibit I State'!O92+'Exhibit I Federal'!O73</f>
        <v>752.30000000000041</v>
      </c>
      <c r="P93" s="118"/>
      <c r="Q93" s="696">
        <f>+'Exhibit I State'!Q92+'Exhibit I Federal'!Q73</f>
        <v>-532.50000000000023</v>
      </c>
      <c r="R93" s="118"/>
      <c r="S93" s="696">
        <f>+'Exhibit I State'!S92+'Exhibit I Federal'!S73</f>
        <v>494.60000000000014</v>
      </c>
      <c r="T93" s="118"/>
      <c r="U93" s="696">
        <f>+'Exhibit I State'!U92+'Exhibit I Federal'!U73</f>
        <v>508.40000000000009</v>
      </c>
      <c r="V93" s="118"/>
      <c r="W93" s="696">
        <f>+'Exhibit I State'!W92+'Exhibit I Federal'!W73</f>
        <v>322.89999999999986</v>
      </c>
      <c r="X93" s="118"/>
      <c r="Y93" s="696">
        <f>+'Exhibit I State'!Y92+'Exhibit I Federal'!Y73</f>
        <v>480.90000000000032</v>
      </c>
      <c r="Z93" s="118"/>
      <c r="AA93" s="1575"/>
      <c r="AB93" s="3587"/>
      <c r="AC93" s="1830">
        <v>-278.00000000000045</v>
      </c>
      <c r="AD93" s="118"/>
      <c r="AE93" s="687"/>
      <c r="AF93" s="119">
        <f>ROUND(SUM(E93:AC93),1)</f>
        <v>4050.6</v>
      </c>
      <c r="AG93" s="1095"/>
      <c r="AH93" s="67"/>
      <c r="AI93" s="118">
        <v>2257.2999999999997</v>
      </c>
      <c r="AJ93" s="119"/>
      <c r="AK93" s="1096"/>
      <c r="AL93" s="1834">
        <f>ROUND(SUM(+AF93-AI93),1)</f>
        <v>1793.3</v>
      </c>
      <c r="AM93" s="1116"/>
      <c r="AN93" s="1835">
        <f>ROUND(IF(AI93=0,0,AL93/ABS(AI93)),3)</f>
        <v>0.79400000000000004</v>
      </c>
      <c r="AO93" s="1116"/>
      <c r="AP93" s="1117"/>
    </row>
    <row r="94" spans="1:44" ht="15.75">
      <c r="A94" s="31"/>
      <c r="B94" s="54" t="s">
        <v>208</v>
      </c>
      <c r="C94" s="31"/>
      <c r="D94" s="31"/>
      <c r="E94" s="696">
        <f>+'Exhibit I State'!E93+'Exhibit I Federal'!E74</f>
        <v>-45.9</v>
      </c>
      <c r="F94" s="1566"/>
      <c r="G94" s="696">
        <f>+'Exhibit I State'!G93+'Exhibit I Federal'!G74</f>
        <v>-47.70000000000001</v>
      </c>
      <c r="H94" s="1566"/>
      <c r="I94" s="696">
        <f>+'Exhibit I State'!I93+'Exhibit I Federal'!I74</f>
        <v>-48.699999999999996</v>
      </c>
      <c r="J94" s="1566"/>
      <c r="K94" s="696">
        <f>+'Exhibit I State'!K93+'Exhibit I Federal'!K74</f>
        <v>-48.799999999999976</v>
      </c>
      <c r="L94" s="118"/>
      <c r="M94" s="696">
        <f>+'Exhibit I State'!M93+'Exhibit I Federal'!M74</f>
        <v>-69.500000000000028</v>
      </c>
      <c r="N94" s="118"/>
      <c r="O94" s="696">
        <f>+'Exhibit I State'!O93+'Exhibit I Federal'!O74</f>
        <v>-253.50000000000009</v>
      </c>
      <c r="P94" s="118"/>
      <c r="Q94" s="696">
        <f>+'Exhibit I State'!Q93+'Exhibit I Federal'!Q74</f>
        <v>-222.2</v>
      </c>
      <c r="R94" s="118"/>
      <c r="S94" s="696">
        <f>+'Exhibit I State'!S93+'Exhibit I Federal'!S74</f>
        <v>-45.399999999999864</v>
      </c>
      <c r="T94" s="118"/>
      <c r="U94" s="696">
        <f>+'Exhibit I State'!U93+'Exhibit I Federal'!U74</f>
        <v>-88.80000000000004</v>
      </c>
      <c r="V94" s="118"/>
      <c r="W94" s="696">
        <f>+'Exhibit I State'!W93+'Exhibit I Federal'!W74</f>
        <v>-45.700000000000017</v>
      </c>
      <c r="X94" s="118"/>
      <c r="Y94" s="696">
        <f>+'Exhibit I State'!Y93+'Exhibit I Federal'!Y74</f>
        <v>-168.79999999999995</v>
      </c>
      <c r="Z94" s="118"/>
      <c r="AA94" s="1575"/>
      <c r="AB94" s="3587"/>
      <c r="AC94" s="3573">
        <v>278</v>
      </c>
      <c r="AD94" s="66"/>
      <c r="AE94" s="57"/>
      <c r="AF94" s="119">
        <f>ROUND(SUM(E94:AC94),1)</f>
        <v>-807</v>
      </c>
      <c r="AG94" s="79"/>
      <c r="AH94" s="56"/>
      <c r="AI94" s="3878">
        <v>-544</v>
      </c>
      <c r="AJ94" s="56"/>
      <c r="AK94" s="337"/>
      <c r="AL94" s="908">
        <f>ROUND(-SUM(+AF94-AI94),1)</f>
        <v>263</v>
      </c>
      <c r="AM94" s="327"/>
      <c r="AN94" s="914">
        <f>ROUND(IF(AI94=0,0,AL94/ABS(AI94)),3)</f>
        <v>0.48299999999999998</v>
      </c>
      <c r="AO94" s="327"/>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ht="15.75">
      <c r="A96" s="31"/>
      <c r="B96" s="29" t="s">
        <v>1208</v>
      </c>
      <c r="C96" s="31"/>
      <c r="D96" s="31"/>
      <c r="E96" s="62">
        <f>ROUND(SUM(E92:E95),1)</f>
        <v>463.3</v>
      </c>
      <c r="F96" s="62"/>
      <c r="G96" s="933">
        <f>ROUND(SUM(G92:G95),1)</f>
        <v>364.7</v>
      </c>
      <c r="H96" s="62"/>
      <c r="I96" s="933">
        <f>ROUND(SUM(I92:I95),1)</f>
        <v>584.79999999999995</v>
      </c>
      <c r="J96" s="62"/>
      <c r="K96" s="933">
        <f>ROUND(SUM(K92:K95),1)</f>
        <v>211.8</v>
      </c>
      <c r="L96" s="62"/>
      <c r="M96" s="933">
        <f>ROUND(SUM(M92:M95),1)</f>
        <v>416.8</v>
      </c>
      <c r="N96" s="62"/>
      <c r="O96" s="933">
        <f>ROUND(SUM(O92:O95),1)</f>
        <v>498.8</v>
      </c>
      <c r="P96" s="62"/>
      <c r="Q96" s="933">
        <f>ROUND(SUM(Q92:Q95),1)</f>
        <v>-754.7</v>
      </c>
      <c r="R96" s="62"/>
      <c r="S96" s="112">
        <f>ROUND(SUM(S92:S95),1)</f>
        <v>449.2</v>
      </c>
      <c r="T96" s="62"/>
      <c r="U96" s="933">
        <f>ROUND(SUM(U92:U95),1)</f>
        <v>419.6</v>
      </c>
      <c r="V96" s="62"/>
      <c r="W96" s="933">
        <f>ROUND(SUM(W92:W95),1)</f>
        <v>277.2</v>
      </c>
      <c r="X96" s="62"/>
      <c r="Y96" s="933">
        <f>ROUND(SUM(Y92:Y95),1)</f>
        <v>312.10000000000002</v>
      </c>
      <c r="Z96" s="62"/>
      <c r="AA96" s="933">
        <f>ROUND(SUM(AA92:AA95),1)</f>
        <v>0</v>
      </c>
      <c r="AB96" s="933"/>
      <c r="AC96" s="933">
        <f>ROUND(SUM(AC92:AC95),1)</f>
        <v>0</v>
      </c>
      <c r="AD96" s="62"/>
      <c r="AE96" s="64"/>
      <c r="AF96" s="112">
        <f>ROUND(SUM(AF92:AF95),1)</f>
        <v>3243.6</v>
      </c>
      <c r="AG96" s="216"/>
      <c r="AH96" s="76"/>
      <c r="AI96" s="112">
        <f>ROUND(SUM(AI92:AI95),1)</f>
        <v>1713.3</v>
      </c>
      <c r="AJ96" s="76"/>
      <c r="AK96" s="337"/>
      <c r="AL96" s="74">
        <f>ROUND(SUM(AF96-AI96),1)</f>
        <v>1530.3</v>
      </c>
      <c r="AM96" s="343"/>
      <c r="AN96" s="351">
        <f>ROUND(SUM(AL96/ABS(AI96)),3)</f>
        <v>0.89300000000000002</v>
      </c>
      <c r="AO96" s="332"/>
      <c r="AP96" s="332"/>
      <c r="AQ96" s="332"/>
      <c r="AR96" s="332"/>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66" t="s">
        <v>15</v>
      </c>
      <c r="AD98" s="66"/>
      <c r="AE98" s="57"/>
      <c r="AF98" s="66" t="s">
        <v>15</v>
      </c>
      <c r="AG98" s="79"/>
      <c r="AH98" s="56"/>
      <c r="AI98" s="118" t="s">
        <v>15</v>
      </c>
      <c r="AJ98" s="66"/>
      <c r="AK98" s="337"/>
      <c r="AL98" s="58" t="s">
        <v>15</v>
      </c>
      <c r="AM98" s="327"/>
      <c r="AN98" s="334"/>
    </row>
    <row r="99" spans="1:55" ht="15.75">
      <c r="A99" s="31"/>
      <c r="B99" s="29" t="s">
        <v>210</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ht="15.75">
      <c r="A100" s="31"/>
      <c r="B100" s="29" t="s">
        <v>211</v>
      </c>
      <c r="C100" s="31"/>
      <c r="D100" s="31"/>
      <c r="E100" s="62" t="s">
        <v>15</v>
      </c>
      <c r="F100" s="62"/>
      <c r="G100" s="933" t="s">
        <v>15</v>
      </c>
      <c r="H100" s="62"/>
      <c r="I100" s="62"/>
      <c r="J100" s="62"/>
      <c r="K100" s="933"/>
      <c r="L100" s="62"/>
      <c r="M100" s="933"/>
      <c r="N100" s="62"/>
      <c r="O100" s="933"/>
      <c r="P100" s="62"/>
      <c r="Q100" s="933"/>
      <c r="R100" s="62"/>
      <c r="S100" s="933"/>
      <c r="T100" s="62"/>
      <c r="U100" s="933"/>
      <c r="V100" s="62"/>
      <c r="W100" s="933"/>
      <c r="X100" s="62"/>
      <c r="Y100" s="933"/>
      <c r="Z100" s="62"/>
      <c r="AA100" s="933"/>
      <c r="AB100" s="933"/>
      <c r="AC100" s="933"/>
      <c r="AD100" s="62"/>
      <c r="AE100" s="64"/>
      <c r="AF100" s="62" t="s">
        <v>15</v>
      </c>
      <c r="AG100" s="216"/>
      <c r="AH100" s="76"/>
      <c r="AI100" s="3622"/>
      <c r="AJ100" s="349"/>
      <c r="AK100" s="348"/>
      <c r="AL100" s="349"/>
      <c r="AM100" s="343"/>
      <c r="AN100" s="331"/>
      <c r="AO100" s="332"/>
      <c r="AP100" s="332"/>
      <c r="AQ100" s="332"/>
      <c r="AR100" s="332"/>
      <c r="AS100" s="332"/>
      <c r="AT100" s="332"/>
      <c r="AU100" s="332"/>
      <c r="AV100" s="332"/>
      <c r="AW100" s="332"/>
      <c r="AX100" s="332"/>
      <c r="AY100" s="332"/>
    </row>
    <row r="101" spans="1:55" ht="15.75">
      <c r="A101" s="31"/>
      <c r="B101" s="29" t="s">
        <v>1199</v>
      </c>
      <c r="C101" s="31"/>
      <c r="D101" s="31"/>
      <c r="E101" s="350">
        <f>ROUND(SUM(E89+E96),1)</f>
        <v>119.7</v>
      </c>
      <c r="F101" s="62"/>
      <c r="G101" s="350">
        <f>ROUND(SUM(G89+G96),1)</f>
        <v>-231</v>
      </c>
      <c r="H101" s="62"/>
      <c r="I101" s="350">
        <f>ROUND(SUM(I89+I96),1)</f>
        <v>36.700000000000003</v>
      </c>
      <c r="J101" s="62"/>
      <c r="K101" s="350">
        <f>ROUND(SUM(K89+K96),1)</f>
        <v>-122</v>
      </c>
      <c r="L101" s="62"/>
      <c r="M101" s="350">
        <f>ROUND(SUM(M89+M96),1)</f>
        <v>-16.899999999999999</v>
      </c>
      <c r="N101" s="62"/>
      <c r="O101" s="350">
        <f>ROUND(SUM(O89+O96),1)</f>
        <v>63.3</v>
      </c>
      <c r="P101" s="62"/>
      <c r="Q101" s="350">
        <f>ROUND(SUM(Q89+Q96),1)</f>
        <v>341.9</v>
      </c>
      <c r="R101" s="62"/>
      <c r="S101" s="350">
        <f>ROUND(SUM(S89+S96),1)</f>
        <v>-96.1</v>
      </c>
      <c r="T101" s="62"/>
      <c r="U101" s="350">
        <f>ROUND(SUM(U89+U96),1)</f>
        <v>-85</v>
      </c>
      <c r="V101" s="62"/>
      <c r="W101" s="350">
        <f>ROUND(SUM(W89+W96),1)</f>
        <v>180.4</v>
      </c>
      <c r="X101" s="62"/>
      <c r="Y101" s="350">
        <f>ROUND(SUM(Y89+Y96),1)</f>
        <v>-120</v>
      </c>
      <c r="Z101" s="62"/>
      <c r="AA101" s="350">
        <f>ROUND(SUM(AA89+AA96),1)</f>
        <v>0</v>
      </c>
      <c r="AB101" s="1995"/>
      <c r="AC101" s="350">
        <f>ROUND(SUM(AC89+AC96),1)</f>
        <v>0</v>
      </c>
      <c r="AD101" s="62"/>
      <c r="AE101" s="64"/>
      <c r="AF101" s="350">
        <f>ROUND(AF89+AF96,1)</f>
        <v>71</v>
      </c>
      <c r="AG101" s="216"/>
      <c r="AH101" s="76"/>
      <c r="AI101" s="3623">
        <f>ROUND(SUM(AI89+AI96),1)</f>
        <v>60.3</v>
      </c>
      <c r="AJ101" s="349"/>
      <c r="AK101" s="348"/>
      <c r="AL101" s="350">
        <f>ROUND(SUM(+AF101-AI101),1)</f>
        <v>10.7</v>
      </c>
      <c r="AM101" s="343"/>
      <c r="AN101" s="1656">
        <f>ROUND(IF(AI101=0,0,AL101/ABS(AI101)),3)</f>
        <v>0.17699999999999999</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07" t="s">
        <v>184</v>
      </c>
      <c r="AJ102" s="275"/>
      <c r="AK102" s="37"/>
      <c r="AL102" s="327"/>
      <c r="AM102" s="327"/>
      <c r="AN102" s="334"/>
      <c r="AO102" s="327"/>
      <c r="AP102" s="327"/>
    </row>
    <row r="103" spans="1:55" s="30" customFormat="1" ht="15" customHeight="1" thickBot="1">
      <c r="A103" s="31"/>
      <c r="B103" s="29" t="s">
        <v>1209</v>
      </c>
      <c r="C103" s="31"/>
      <c r="E103" s="267">
        <f>ROUND(SUM(+E101+E15),1)</f>
        <v>-1018.2</v>
      </c>
      <c r="F103" s="94"/>
      <c r="G103" s="267">
        <f>ROUND(SUM(+G101+G15),1)</f>
        <v>-1249.2</v>
      </c>
      <c r="H103" s="94"/>
      <c r="I103" s="267">
        <f>ROUND(SUM(+I101+I15),1)</f>
        <v>-1212.5</v>
      </c>
      <c r="J103" s="94"/>
      <c r="K103" s="267">
        <f>ROUND(SUM(+K101+K15),1)</f>
        <v>-1334.5</v>
      </c>
      <c r="L103" s="94"/>
      <c r="M103" s="267">
        <f>ROUND(SUM(+M101+M15),1)</f>
        <v>-1351.4</v>
      </c>
      <c r="N103" s="94"/>
      <c r="O103" s="267">
        <f>ROUND(SUM(+O101+O15),1)</f>
        <v>-1288.0999999999999</v>
      </c>
      <c r="P103" s="94"/>
      <c r="Q103" s="267">
        <f>ROUND(SUM(+Q101+Q15),1)</f>
        <v>-946.2</v>
      </c>
      <c r="R103" s="94"/>
      <c r="S103" s="267">
        <f>ROUND(SUM(+S101+S15),1)</f>
        <v>-1042.3</v>
      </c>
      <c r="T103" s="94"/>
      <c r="U103" s="267">
        <f>ROUND(SUM(+U101+U15),1)</f>
        <v>-1127.3</v>
      </c>
      <c r="V103" s="94"/>
      <c r="W103" s="267">
        <f>ROUND(SUM(+W101+W15),1)</f>
        <v>-946.9</v>
      </c>
      <c r="X103" s="94"/>
      <c r="Y103" s="267">
        <f>ROUND(SUM(+Y101+Y15),1)</f>
        <v>-1066.9000000000001</v>
      </c>
      <c r="Z103" s="94"/>
      <c r="AA103" s="267">
        <f>ROUND(SUM(+AA101+AA15),1)</f>
        <v>0</v>
      </c>
      <c r="AB103" s="219"/>
      <c r="AC103" s="267">
        <f>ROUND(SUM(+AC101+AC15),1)</f>
        <v>0</v>
      </c>
      <c r="AD103" s="94"/>
      <c r="AE103" s="95"/>
      <c r="AF103" s="267">
        <f>ROUND(SUM(+AF101+AF15),1)</f>
        <v>-1066.9000000000001</v>
      </c>
      <c r="AG103" s="94"/>
      <c r="AH103" s="95"/>
      <c r="AI103" s="262">
        <f>ROUND(SUM(+AI101+AI15),1)</f>
        <v>-1090.9000000000001</v>
      </c>
      <c r="AJ103" s="273"/>
      <c r="AK103" s="219"/>
      <c r="AL103" s="267">
        <f>ROUND(SUM(+AL101+AL15),1)</f>
        <v>24</v>
      </c>
      <c r="AM103" s="182"/>
      <c r="AN103" s="287">
        <f>ROUND(SUM(-(+AF103-AI103)/AI103),3)</f>
        <v>2.1999999999999999E-2</v>
      </c>
      <c r="AO103" s="343"/>
      <c r="AP103" s="343"/>
      <c r="AQ103" s="332"/>
      <c r="AR103" s="332"/>
      <c r="AS103" s="269"/>
      <c r="AT103" s="269"/>
      <c r="AU103" s="269"/>
      <c r="AV103" s="269"/>
      <c r="AW103" s="269"/>
      <c r="AX103" s="269"/>
      <c r="AY103" s="269"/>
      <c r="AZ103" s="269"/>
      <c r="BA103" s="269"/>
      <c r="BB103" s="269"/>
      <c r="BC103" s="269"/>
    </row>
    <row r="104" spans="1:55" ht="15.75" thickTop="1">
      <c r="B104" s="220"/>
    </row>
    <row r="105" spans="1:55">
      <c r="B105" s="1215" t="s">
        <v>1312</v>
      </c>
      <c r="C105" s="355"/>
      <c r="D105" s="355"/>
      <c r="E105" s="356"/>
      <c r="F105" s="356"/>
      <c r="G105" s="356"/>
      <c r="AI105" s="3624"/>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workbookViewId="0"/>
  </sheetViews>
  <sheetFormatPr defaultColWidth="8.88671875" defaultRowHeight="15"/>
  <cols>
    <col min="1" max="1" width="2.5546875" style="2635" customWidth="1"/>
    <col min="2" max="2" width="14.109375" style="2635" customWidth="1"/>
    <col min="3" max="3" width="26.109375" style="2635" customWidth="1"/>
    <col min="4" max="4" width="2" style="2635" customWidth="1"/>
    <col min="5" max="5" width="11.109375" style="2636" bestFit="1" customWidth="1"/>
    <col min="6" max="6" width="1.88671875" style="2636" customWidth="1"/>
    <col min="7" max="7" width="11.88671875" style="2636" customWidth="1"/>
    <col min="8" max="8" width="1.88671875" style="2636" customWidth="1"/>
    <col min="9" max="9" width="11.109375" style="2636" bestFit="1" customWidth="1"/>
    <col min="10" max="10" width="1.88671875" style="2636" customWidth="1"/>
    <col min="11" max="11" width="12" style="2636" customWidth="1"/>
    <col min="12" max="12" width="1.109375" style="2635" customWidth="1"/>
    <col min="13" max="13" width="10.109375" style="2635" bestFit="1" customWidth="1"/>
    <col min="14" max="14" width="1.88671875" style="2635" customWidth="1"/>
    <col min="15" max="15" width="11.109375" style="2635" customWidth="1"/>
    <col min="16" max="16" width="1.88671875" style="2635" customWidth="1"/>
    <col min="17" max="17" width="12.88671875" style="2635" customWidth="1"/>
    <col min="18" max="18" width="1.88671875" style="2635" customWidth="1"/>
    <col min="19" max="19" width="10.5546875" style="2635" customWidth="1"/>
    <col min="20" max="20" width="1.88671875" style="2635" customWidth="1"/>
    <col min="21" max="21" width="10.88671875" style="2635" customWidth="1"/>
    <col min="22" max="22" width="1.88671875" style="2635" customWidth="1"/>
    <col min="23" max="23" width="10.88671875" style="2635" customWidth="1"/>
    <col min="24" max="24" width="1.88671875" style="2635" customWidth="1"/>
    <col min="25" max="25" width="10.88671875" style="2635" customWidth="1"/>
    <col min="26" max="26" width="1.88671875" style="2635" customWidth="1"/>
    <col min="27" max="27" width="9" style="2635" bestFit="1" customWidth="1"/>
    <col min="28" max="29" width="1.88671875" style="2636" customWidth="1"/>
    <col min="30" max="30" width="11.109375" style="2636" bestFit="1" customWidth="1"/>
    <col min="31" max="32" width="1.109375" style="2636" customWidth="1"/>
    <col min="33" max="33" width="11.109375" style="2636" customWidth="1"/>
    <col min="34" max="35" width="1" style="2636" customWidth="1"/>
    <col min="36" max="36" width="13.44140625" style="2636" bestFit="1" customWidth="1"/>
    <col min="37" max="37" width="1.109375" style="2635" customWidth="1"/>
    <col min="38" max="38" width="12.88671875" style="2635" customWidth="1"/>
    <col min="39" max="40" width="8.88671875" style="2635"/>
    <col min="41" max="41" width="19.88671875" style="2635" bestFit="1" customWidth="1"/>
    <col min="42" max="16384" width="8.88671875" style="2635"/>
  </cols>
  <sheetData>
    <row r="1" spans="1:39">
      <c r="B1" s="2285" t="s">
        <v>979</v>
      </c>
    </row>
    <row r="2" spans="1:39">
      <c r="B2" s="2637"/>
    </row>
    <row r="3" spans="1:39" ht="19.5" customHeight="1">
      <c r="A3" s="2638"/>
      <c r="B3" s="2646" t="s">
        <v>0</v>
      </c>
      <c r="C3" s="2639"/>
      <c r="D3" s="2639"/>
      <c r="E3" s="2640"/>
      <c r="F3" s="2641"/>
      <c r="G3" s="2641"/>
      <c r="H3" s="2641"/>
      <c r="I3" s="2641"/>
      <c r="J3" s="2641"/>
      <c r="K3" s="2641"/>
      <c r="L3" s="2642"/>
      <c r="M3" s="2642"/>
      <c r="N3" s="2642"/>
      <c r="O3" s="2642"/>
      <c r="P3" s="2642"/>
      <c r="Q3" s="2642"/>
      <c r="R3" s="2642"/>
      <c r="S3" s="2642"/>
      <c r="T3" s="2642"/>
      <c r="U3" s="2642"/>
      <c r="V3" s="2642"/>
      <c r="W3" s="2642"/>
      <c r="X3" s="2642"/>
      <c r="Y3" s="2642"/>
      <c r="Z3" s="2642"/>
      <c r="AA3" s="2642"/>
      <c r="AB3" s="2641"/>
      <c r="AC3" s="2641"/>
      <c r="AD3" s="2641"/>
      <c r="AE3" s="2641"/>
      <c r="AF3" s="2641"/>
      <c r="AG3" s="2641"/>
      <c r="AH3" s="2641"/>
      <c r="AI3" s="2641"/>
      <c r="AL3" s="2584" t="s">
        <v>195</v>
      </c>
    </row>
    <row r="4" spans="1:39" ht="19.5" customHeight="1">
      <c r="A4" s="2638"/>
      <c r="B4" s="2646" t="s">
        <v>212</v>
      </c>
      <c r="C4" s="2639"/>
      <c r="D4" s="2639"/>
      <c r="E4" s="2640"/>
      <c r="F4" s="2641"/>
      <c r="G4" s="2641"/>
      <c r="H4" s="2641"/>
      <c r="I4" s="2641"/>
      <c r="J4" s="2641"/>
      <c r="K4" s="2641"/>
      <c r="L4" s="2642"/>
      <c r="M4" s="2642"/>
      <c r="N4" s="2642"/>
      <c r="O4" s="2642"/>
      <c r="P4" s="2642"/>
      <c r="Q4" s="2642"/>
      <c r="R4" s="2642"/>
      <c r="S4" s="2642"/>
      <c r="T4" s="2642"/>
      <c r="U4" s="2642"/>
      <c r="V4" s="2642"/>
      <c r="W4" s="2642"/>
      <c r="X4" s="2642"/>
      <c r="Y4" s="2642"/>
      <c r="Z4" s="2642"/>
      <c r="AA4" s="2642"/>
      <c r="AB4" s="2641"/>
      <c r="AC4" s="2641"/>
      <c r="AE4" s="3306"/>
      <c r="AF4" s="3306"/>
    </row>
    <row r="5" spans="1:39" ht="19.5" customHeight="1">
      <c r="A5" s="2638"/>
      <c r="B5" s="2484" t="s">
        <v>149</v>
      </c>
      <c r="C5" s="2639"/>
      <c r="D5" s="2639"/>
      <c r="E5" s="2640"/>
      <c r="F5" s="2641"/>
      <c r="G5" s="2641"/>
      <c r="H5" s="2641"/>
      <c r="I5" s="2641"/>
      <c r="J5" s="2641"/>
      <c r="K5" s="2641"/>
      <c r="L5" s="2642"/>
      <c r="M5" s="2642"/>
      <c r="N5" s="2642"/>
      <c r="O5" s="2642"/>
      <c r="P5" s="2642"/>
      <c r="Q5" s="2642"/>
      <c r="R5" s="2642"/>
      <c r="S5" s="2642"/>
      <c r="T5" s="2642"/>
      <c r="U5" s="2642"/>
      <c r="V5" s="2642"/>
      <c r="W5" s="2642"/>
      <c r="X5" s="2642"/>
      <c r="Y5" s="2642"/>
      <c r="Z5" s="2642"/>
      <c r="AA5" s="2642"/>
      <c r="AB5" s="2641"/>
      <c r="AC5" s="2641"/>
      <c r="AD5" s="2641"/>
      <c r="AE5" s="2641"/>
      <c r="AF5" s="2641"/>
      <c r="AG5" s="2641"/>
      <c r="AH5" s="2641"/>
      <c r="AI5" s="2641"/>
      <c r="AL5" s="2643"/>
    </row>
    <row r="6" spans="1:39" ht="19.5" customHeight="1">
      <c r="A6" s="2638"/>
      <c r="B6" s="2484" t="str">
        <f>'Cashflow Governmental'!A6</f>
        <v xml:space="preserve">FISCAL YEAR 2019-2020   </v>
      </c>
      <c r="C6" s="2639"/>
      <c r="D6" s="2639"/>
      <c r="E6" s="2640"/>
      <c r="F6" s="2641"/>
      <c r="G6" s="2641"/>
      <c r="H6" s="2644"/>
      <c r="I6" s="2641"/>
      <c r="J6" s="2641"/>
      <c r="K6" s="2641"/>
      <c r="L6" s="2642"/>
      <c r="M6" s="2642"/>
      <c r="N6" s="2642"/>
      <c r="O6" s="2642"/>
      <c r="P6" s="2642"/>
      <c r="Q6" s="2642"/>
      <c r="R6" s="2642"/>
      <c r="S6" s="2642"/>
      <c r="T6" s="2642"/>
      <c r="U6" s="2642"/>
      <c r="V6" s="2642"/>
      <c r="W6" s="2642"/>
      <c r="X6" s="2642"/>
      <c r="Y6" s="2642"/>
      <c r="Z6" s="2642"/>
      <c r="AA6" s="2642"/>
      <c r="AB6" s="2641"/>
      <c r="AC6" s="2641"/>
      <c r="AD6" s="2641"/>
      <c r="AE6" s="2645"/>
      <c r="AF6" s="2645"/>
      <c r="AG6" s="2645"/>
      <c r="AH6" s="2645"/>
      <c r="AI6" s="2645"/>
    </row>
    <row r="7" spans="1:39" ht="19.5" customHeight="1">
      <c r="A7" s="2638"/>
      <c r="B7" s="2646" t="s">
        <v>1417</v>
      </c>
      <c r="C7" s="2639"/>
      <c r="D7" s="2639"/>
      <c r="E7" s="2640"/>
      <c r="F7" s="2641"/>
      <c r="G7" s="2641"/>
      <c r="H7" s="2644"/>
      <c r="I7" s="2641"/>
      <c r="J7" s="2641"/>
      <c r="K7" s="2641"/>
      <c r="L7" s="2642"/>
      <c r="M7" s="2642"/>
      <c r="N7" s="2642"/>
      <c r="O7" s="2642"/>
      <c r="P7" s="2642"/>
      <c r="Q7" s="2642"/>
      <c r="R7" s="2642"/>
      <c r="S7" s="2642"/>
      <c r="T7" s="2642"/>
      <c r="U7" s="2642"/>
      <c r="V7" s="2642"/>
      <c r="W7" s="2642"/>
      <c r="X7" s="2642"/>
      <c r="Y7" s="2642"/>
      <c r="Z7" s="2642"/>
      <c r="AA7" s="2642"/>
      <c r="AB7" s="2641"/>
      <c r="AC7" s="2641"/>
      <c r="AD7" s="2641"/>
      <c r="AE7" s="2645"/>
      <c r="AF7" s="2645"/>
      <c r="AG7" s="2645"/>
      <c r="AH7" s="2645"/>
      <c r="AI7" s="2645"/>
    </row>
    <row r="8" spans="1:39" ht="19.5" customHeight="1">
      <c r="A8" s="2638"/>
      <c r="C8" s="2639"/>
      <c r="D8" s="2639"/>
      <c r="E8" s="2640"/>
      <c r="F8" s="2641"/>
      <c r="G8" s="2641"/>
      <c r="H8" s="2641"/>
      <c r="I8" s="2641"/>
      <c r="J8" s="2641"/>
      <c r="K8" s="2641"/>
      <c r="L8" s="2642"/>
      <c r="M8" s="2642"/>
      <c r="N8" s="2642"/>
      <c r="O8" s="2642"/>
      <c r="P8" s="2642"/>
      <c r="Q8" s="2642"/>
      <c r="R8" s="2642"/>
      <c r="S8" s="2642"/>
      <c r="T8" s="2642"/>
      <c r="U8" s="2642"/>
      <c r="V8" s="2642"/>
      <c r="W8" s="2642"/>
      <c r="X8" s="2642"/>
      <c r="Y8" s="2642"/>
      <c r="Z8" s="2642"/>
      <c r="AA8" s="2642"/>
      <c r="AB8" s="2641"/>
      <c r="AC8" s="2647"/>
    </row>
    <row r="9" spans="1:39" ht="15.75" customHeight="1">
      <c r="A9" s="2638"/>
      <c r="B9" s="2646"/>
      <c r="C9" s="2639"/>
      <c r="D9" s="2639"/>
      <c r="E9" s="2640"/>
      <c r="F9" s="2641"/>
      <c r="G9" s="2641"/>
      <c r="H9" s="2641"/>
      <c r="I9" s="2641"/>
      <c r="J9" s="2641"/>
      <c r="K9" s="2641"/>
      <c r="L9" s="2642"/>
      <c r="M9" s="2642"/>
      <c r="N9" s="2642"/>
      <c r="O9" s="2642"/>
      <c r="P9" s="2642"/>
      <c r="Q9" s="2642"/>
      <c r="R9" s="2642"/>
      <c r="S9" s="2642"/>
      <c r="T9" s="2642"/>
      <c r="U9" s="2642"/>
      <c r="V9" s="2642"/>
      <c r="W9" s="2642"/>
      <c r="X9" s="2642"/>
      <c r="Y9" s="2642"/>
      <c r="Z9" s="2642"/>
      <c r="AA9" s="2642"/>
      <c r="AB9" s="2641"/>
      <c r="AC9" s="2647"/>
    </row>
    <row r="10" spans="1:39" ht="15.75" customHeight="1">
      <c r="A10" s="2638"/>
      <c r="B10" s="2648"/>
      <c r="C10" s="2639"/>
      <c r="D10" s="2639"/>
      <c r="E10" s="2640"/>
      <c r="F10" s="2641"/>
      <c r="G10" s="2641"/>
      <c r="H10" s="2641"/>
      <c r="I10" s="2641"/>
      <c r="J10" s="2641"/>
      <c r="K10" s="2641"/>
      <c r="L10" s="2642"/>
      <c r="M10" s="2642"/>
      <c r="N10" s="2642"/>
      <c r="O10" s="2642"/>
      <c r="P10" s="2642"/>
      <c r="Q10" s="2642"/>
      <c r="R10" s="2642"/>
      <c r="S10" s="2642"/>
      <c r="T10" s="2642"/>
      <c r="U10" s="2642"/>
      <c r="V10" s="2642"/>
      <c r="W10" s="2642"/>
      <c r="X10" s="2642"/>
      <c r="Y10" s="2642"/>
      <c r="Z10" s="2642"/>
      <c r="AA10" s="2642"/>
      <c r="AB10" s="2641"/>
      <c r="AC10" s="2647"/>
      <c r="AD10" s="3928" t="s">
        <v>1594</v>
      </c>
      <c r="AE10" s="3928"/>
      <c r="AF10" s="3928"/>
      <c r="AG10" s="3928"/>
      <c r="AH10" s="3928"/>
      <c r="AI10" s="3928"/>
      <c r="AJ10" s="3928"/>
      <c r="AK10" s="3928"/>
      <c r="AL10" s="3928"/>
    </row>
    <row r="11" spans="1:39" ht="15.75" customHeight="1">
      <c r="A11" s="2649"/>
      <c r="B11" s="2649"/>
      <c r="C11" s="2649"/>
      <c r="D11" s="2649"/>
      <c r="E11" s="2650" t="str">
        <f>'Cashflow Governmental'!C13</f>
        <v>2019</v>
      </c>
      <c r="F11" s="2651"/>
      <c r="G11" s="2651"/>
      <c r="H11" s="2651"/>
      <c r="I11" s="2651"/>
      <c r="J11" s="2651"/>
      <c r="K11" s="2651"/>
      <c r="L11" s="2652"/>
      <c r="M11" s="2652"/>
      <c r="N11" s="2652"/>
      <c r="O11" s="2652"/>
      <c r="P11" s="2652"/>
      <c r="Q11" s="2652"/>
      <c r="R11" s="2652"/>
      <c r="S11" s="2652"/>
      <c r="T11" s="2652"/>
      <c r="U11" s="2652"/>
      <c r="V11" s="2652"/>
      <c r="W11" s="2586" t="str">
        <f>'Cashflow Governmental'!U13</f>
        <v>2020</v>
      </c>
      <c r="X11" s="2652"/>
      <c r="Y11" s="2652"/>
      <c r="Z11" s="2652"/>
      <c r="AA11" s="2652"/>
      <c r="AB11" s="2651"/>
      <c r="AC11" s="2651"/>
      <c r="AD11" s="2653"/>
      <c r="AE11" s="2653"/>
      <c r="AF11" s="2653"/>
      <c r="AG11" s="2653"/>
      <c r="AH11" s="2653"/>
      <c r="AI11" s="2653"/>
      <c r="AJ11" s="2654" t="s">
        <v>8</v>
      </c>
      <c r="AK11" s="2496"/>
      <c r="AL11" s="2655" t="s">
        <v>9</v>
      </c>
      <c r="AM11" s="2656"/>
    </row>
    <row r="12" spans="1:39" ht="15.75" customHeight="1">
      <c r="A12" s="2089"/>
      <c r="B12" s="2089"/>
      <c r="C12" s="2089"/>
      <c r="D12" s="2089"/>
      <c r="E12" s="2657" t="s">
        <v>125</v>
      </c>
      <c r="F12" s="2608"/>
      <c r="G12" s="2657" t="s">
        <v>126</v>
      </c>
      <c r="H12" s="2608"/>
      <c r="I12" s="2657" t="s">
        <v>127</v>
      </c>
      <c r="J12" s="2608"/>
      <c r="K12" s="2657" t="s">
        <v>128</v>
      </c>
      <c r="L12" s="2479"/>
      <c r="M12" s="2658" t="s">
        <v>129</v>
      </c>
      <c r="N12" s="2479"/>
      <c r="O12" s="2658" t="s">
        <v>144</v>
      </c>
      <c r="P12" s="2479"/>
      <c r="Q12" s="2658" t="s">
        <v>145</v>
      </c>
      <c r="R12" s="2479"/>
      <c r="S12" s="2658" t="s">
        <v>132</v>
      </c>
      <c r="T12" s="2479"/>
      <c r="U12" s="2658" t="s">
        <v>133</v>
      </c>
      <c r="V12" s="2479"/>
      <c r="W12" s="2658" t="s">
        <v>134</v>
      </c>
      <c r="X12" s="2479"/>
      <c r="Y12" s="2658" t="s">
        <v>135</v>
      </c>
      <c r="Z12" s="2479"/>
      <c r="AA12" s="2658" t="s">
        <v>186</v>
      </c>
      <c r="AB12" s="2608"/>
      <c r="AC12" s="2608"/>
      <c r="AD12" s="2657">
        <f>'Cashflow Governmental'!AB14</f>
        <v>2020</v>
      </c>
      <c r="AE12" s="2608"/>
      <c r="AF12" s="2608"/>
      <c r="AG12" s="2657">
        <f>'Cashflow Governmental'!AE14</f>
        <v>2019</v>
      </c>
      <c r="AH12" s="2659"/>
      <c r="AI12" s="2659"/>
      <c r="AJ12" s="2660" t="s">
        <v>12</v>
      </c>
      <c r="AK12" s="2492"/>
      <c r="AL12" s="2661" t="s">
        <v>13</v>
      </c>
      <c r="AM12" s="2656"/>
    </row>
    <row r="13" spans="1:39" ht="5.25" customHeight="1">
      <c r="A13" s="2089"/>
      <c r="B13" s="2479"/>
      <c r="C13" s="2479"/>
      <c r="D13" s="2089"/>
      <c r="E13" s="2036"/>
      <c r="F13" s="2036"/>
      <c r="G13" s="2036"/>
      <c r="H13" s="2036"/>
      <c r="I13" s="2036"/>
      <c r="J13" s="2036"/>
      <c r="K13" s="2036"/>
      <c r="L13" s="1491"/>
      <c r="M13" s="1491"/>
      <c r="N13" s="1491"/>
      <c r="O13" s="1491"/>
      <c r="P13" s="1491"/>
      <c r="Q13" s="1491"/>
      <c r="R13" s="1491"/>
      <c r="S13" s="1491"/>
      <c r="T13" s="1491"/>
      <c r="U13" s="1491"/>
      <c r="V13" s="1491"/>
      <c r="W13" s="1491"/>
      <c r="X13" s="1491"/>
      <c r="Y13" s="1491"/>
      <c r="Z13" s="1491"/>
      <c r="AA13" s="1491"/>
      <c r="AB13" s="2036"/>
      <c r="AC13" s="2041"/>
      <c r="AD13" s="2036"/>
      <c r="AE13" s="2036"/>
      <c r="AF13" s="2236"/>
      <c r="AG13" s="2036"/>
      <c r="AH13" s="2036"/>
      <c r="AI13" s="2662"/>
      <c r="AJ13" s="2663"/>
      <c r="AK13" s="2664"/>
      <c r="AL13" s="2664"/>
    </row>
    <row r="14" spans="1:39" ht="15.75">
      <c r="A14" s="2089"/>
      <c r="B14" s="1894" t="s">
        <v>1279</v>
      </c>
      <c r="C14" s="2479"/>
      <c r="D14" s="2089"/>
      <c r="E14" s="2505">
        <v>-633.20000000000005</v>
      </c>
      <c r="F14" s="2036"/>
      <c r="G14" s="2074">
        <f>E102</f>
        <v>-446.5</v>
      </c>
      <c r="H14" s="2665"/>
      <c r="I14" s="2074">
        <f>G102</f>
        <v>-699.4</v>
      </c>
      <c r="J14" s="2665"/>
      <c r="K14" s="2074">
        <f>I102</f>
        <v>-636.70000000000005</v>
      </c>
      <c r="L14" s="2666"/>
      <c r="M14" s="2507">
        <f>K102</f>
        <v>-771.8</v>
      </c>
      <c r="N14" s="1491"/>
      <c r="O14" s="2507">
        <f>M102</f>
        <v>-804.6</v>
      </c>
      <c r="P14" s="1491"/>
      <c r="Q14" s="2507">
        <f>O102</f>
        <v>-758.6</v>
      </c>
      <c r="R14" s="2507"/>
      <c r="S14" s="2507">
        <f>Q102</f>
        <v>-373.3</v>
      </c>
      <c r="T14" s="2507"/>
      <c r="U14" s="2507">
        <f>S102</f>
        <v>-491</v>
      </c>
      <c r="V14" s="2507"/>
      <c r="W14" s="2507">
        <f>U102</f>
        <v>-579.70000000000005</v>
      </c>
      <c r="X14" s="2507"/>
      <c r="Y14" s="2507">
        <f>W102</f>
        <v>-481.7</v>
      </c>
      <c r="Z14" s="2507"/>
      <c r="AA14" s="2507"/>
      <c r="AB14" s="2036"/>
      <c r="AC14" s="2041"/>
      <c r="AD14" s="2074">
        <f>E14</f>
        <v>-633.20000000000005</v>
      </c>
      <c r="AE14" s="2036"/>
      <c r="AF14" s="2236"/>
      <c r="AG14" s="3614">
        <v>-568.4</v>
      </c>
      <c r="AH14" s="2036"/>
      <c r="AI14" s="2662"/>
      <c r="AJ14" s="2074">
        <f>ROUND(AD14-AG14,1)</f>
        <v>-64.8</v>
      </c>
      <c r="AK14" s="2667"/>
      <c r="AL14" s="2668">
        <f>ROUND(IF(AG14=0,0,AJ14/ABS(AG14)),3)</f>
        <v>-0.114</v>
      </c>
    </row>
    <row r="15" spans="1:39" ht="15.75">
      <c r="A15" s="2089"/>
      <c r="B15" s="2479"/>
      <c r="C15" s="2479"/>
      <c r="D15" s="2089"/>
      <c r="E15" s="2036"/>
      <c r="F15" s="2036"/>
      <c r="G15" s="2036"/>
      <c r="H15" s="2036"/>
      <c r="I15" s="2036"/>
      <c r="J15" s="2036"/>
      <c r="K15" s="2036"/>
      <c r="L15" s="1491"/>
      <c r="M15" s="1491"/>
      <c r="N15" s="1491"/>
      <c r="O15" s="1491"/>
      <c r="P15" s="1491"/>
      <c r="Q15" s="1491"/>
      <c r="R15" s="1491"/>
      <c r="S15" s="1491"/>
      <c r="T15" s="1491"/>
      <c r="U15" s="1491"/>
      <c r="V15" s="1491"/>
      <c r="W15" s="1491"/>
      <c r="X15" s="1491"/>
      <c r="Y15" s="1491"/>
      <c r="Z15" s="1491"/>
      <c r="AA15" s="1491"/>
      <c r="AB15" s="2036"/>
      <c r="AC15" s="2041"/>
      <c r="AD15" s="2036"/>
      <c r="AE15" s="2036"/>
      <c r="AF15" s="2236"/>
      <c r="AG15" s="2036"/>
      <c r="AH15" s="2036"/>
      <c r="AI15" s="2662"/>
      <c r="AJ15" s="2663"/>
      <c r="AK15" s="2664"/>
      <c r="AL15" s="2664"/>
    </row>
    <row r="16" spans="1:39" ht="15.75">
      <c r="A16" s="2089"/>
      <c r="B16" s="2479" t="s">
        <v>196</v>
      </c>
      <c r="C16" s="2089"/>
      <c r="D16" s="2089"/>
      <c r="E16" s="2036"/>
      <c r="F16" s="2036"/>
      <c r="G16" s="2036"/>
      <c r="H16" s="2036"/>
      <c r="I16" s="2036"/>
      <c r="J16" s="2036"/>
      <c r="K16" s="2036"/>
      <c r="L16" s="1491"/>
      <c r="M16" s="1491"/>
      <c r="N16" s="1491"/>
      <c r="O16" s="1491"/>
      <c r="P16" s="1491"/>
      <c r="Q16" s="1491"/>
      <c r="R16" s="1491"/>
      <c r="S16" s="1491"/>
      <c r="T16" s="1491"/>
      <c r="U16" s="1491"/>
      <c r="V16" s="1491"/>
      <c r="W16" s="1491"/>
      <c r="X16" s="1491"/>
      <c r="Y16" s="1491"/>
      <c r="Z16" s="1491"/>
      <c r="AA16" s="1491"/>
      <c r="AB16" s="2036"/>
      <c r="AC16" s="2041"/>
      <c r="AD16" s="2036"/>
      <c r="AE16" s="3307"/>
      <c r="AF16" s="2063"/>
      <c r="AG16" s="2036"/>
      <c r="AH16" s="2036"/>
      <c r="AI16" s="2662"/>
      <c r="AJ16" s="2669"/>
      <c r="AK16" s="1492"/>
      <c r="AL16" s="1492"/>
    </row>
    <row r="17" spans="1:39" ht="15.75">
      <c r="A17" s="2089"/>
      <c r="B17" s="2514" t="s">
        <v>1097</v>
      </c>
      <c r="C17" s="2089"/>
      <c r="D17" s="2089"/>
      <c r="E17" s="2036"/>
      <c r="F17" s="2036"/>
      <c r="G17" s="2036"/>
      <c r="H17" s="2036"/>
      <c r="I17" s="2036"/>
      <c r="J17" s="2036"/>
      <c r="K17" s="2036"/>
      <c r="L17" s="1491"/>
      <c r="M17" s="1491"/>
      <c r="N17" s="1491"/>
      <c r="O17" s="1491"/>
      <c r="P17" s="1491"/>
      <c r="Q17" s="1491"/>
      <c r="R17" s="1491"/>
      <c r="S17" s="1491"/>
      <c r="T17" s="1491"/>
      <c r="U17" s="1491"/>
      <c r="V17" s="1491"/>
      <c r="W17" s="1491"/>
      <c r="X17" s="1491"/>
      <c r="Y17" s="1491"/>
      <c r="Z17" s="1491"/>
      <c r="AA17" s="1491"/>
      <c r="AB17" s="2036"/>
      <c r="AC17" s="2041"/>
      <c r="AD17" s="2036"/>
      <c r="AE17" s="3308"/>
      <c r="AF17" s="2063"/>
      <c r="AG17" s="2036"/>
      <c r="AH17" s="2036"/>
      <c r="AI17" s="2662"/>
      <c r="AJ17" s="2669"/>
      <c r="AK17" s="1492"/>
      <c r="AL17" s="1492"/>
    </row>
    <row r="18" spans="1:39" ht="15.75">
      <c r="A18" s="2089"/>
      <c r="B18" s="2515" t="s">
        <v>1110</v>
      </c>
      <c r="C18" s="2089"/>
      <c r="D18" s="2089"/>
      <c r="E18" s="2670"/>
      <c r="F18" s="2036"/>
      <c r="G18" s="2040"/>
      <c r="H18" s="2040"/>
      <c r="I18" s="2040"/>
      <c r="J18" s="2040"/>
      <c r="K18" s="2040"/>
      <c r="L18" s="2051"/>
      <c r="M18" s="2051"/>
      <c r="N18" s="2051"/>
      <c r="O18" s="2051"/>
      <c r="P18" s="2051"/>
      <c r="Q18" s="2051"/>
      <c r="R18" s="2051"/>
      <c r="S18" s="2051"/>
      <c r="T18" s="2051"/>
      <c r="U18" s="2051"/>
      <c r="V18" s="2051"/>
      <c r="W18" s="2051"/>
      <c r="X18" s="2051"/>
      <c r="Y18" s="2051"/>
      <c r="Z18" s="2051"/>
      <c r="AA18" s="2051"/>
      <c r="AB18" s="2040"/>
      <c r="AC18" s="2084"/>
      <c r="AD18" s="3309" t="s">
        <v>15</v>
      </c>
      <c r="AE18" s="3310"/>
      <c r="AF18" s="2021"/>
      <c r="AG18" s="2040" t="s">
        <v>15</v>
      </c>
      <c r="AH18" s="2040"/>
      <c r="AI18" s="2671"/>
      <c r="AJ18" s="2672"/>
      <c r="AK18" s="1492"/>
      <c r="AL18" s="1492"/>
    </row>
    <row r="19" spans="1:39" s="2636" customFormat="1">
      <c r="A19" s="2517"/>
      <c r="B19" s="2386" t="s">
        <v>1113</v>
      </c>
      <c r="C19" s="2517"/>
      <c r="D19" s="2673" t="s">
        <v>15</v>
      </c>
      <c r="E19" s="2045">
        <v>3.5</v>
      </c>
      <c r="F19" s="2045"/>
      <c r="G19" s="2045">
        <v>0.29999999999999982</v>
      </c>
      <c r="H19" s="2045"/>
      <c r="I19" s="2045">
        <v>19.5</v>
      </c>
      <c r="J19" s="2045"/>
      <c r="K19" s="2045">
        <v>9.9999999999997868E-2</v>
      </c>
      <c r="L19" s="2043"/>
      <c r="M19" s="2045">
        <v>0.10000000000000142</v>
      </c>
      <c r="N19" s="2032"/>
      <c r="O19" s="2045">
        <v>33.70000000000001</v>
      </c>
      <c r="P19" s="2032"/>
      <c r="Q19" s="1830">
        <v>-7.3000000000000078</v>
      </c>
      <c r="R19" s="2032"/>
      <c r="S19" s="1830">
        <v>0.10000000000000142</v>
      </c>
      <c r="T19" s="2032"/>
      <c r="U19" s="1830">
        <v>20.599999999999998</v>
      </c>
      <c r="V19" s="2032"/>
      <c r="W19" s="1830">
        <v>0</v>
      </c>
      <c r="X19" s="2032"/>
      <c r="Y19" s="1830">
        <f>$AD19-$E19-$G19-$I19-$K19-$M19-$O19-$Q19-$S19-$U19-$W19</f>
        <v>0.10000000000000853</v>
      </c>
      <c r="Z19" s="2032"/>
      <c r="AA19" s="1830"/>
      <c r="AB19" s="2045"/>
      <c r="AC19" s="2046"/>
      <c r="AD19" s="2045">
        <v>70.7</v>
      </c>
      <c r="AE19" s="3311"/>
      <c r="AF19" s="3312"/>
      <c r="AG19" s="2045">
        <v>67.900000000000006</v>
      </c>
      <c r="AH19" s="2674"/>
      <c r="AI19" s="2675"/>
      <c r="AJ19" s="2045">
        <f>ROUND(AD19-AG19,1)</f>
        <v>2.8</v>
      </c>
      <c r="AK19" s="2676"/>
      <c r="AL19" s="2677">
        <f>ROUND(IF(AG19=0,0,AJ19/ABS(AG19)),3)</f>
        <v>4.1000000000000002E-2</v>
      </c>
    </row>
    <row r="20" spans="1:39" s="2636" customFormat="1" ht="15.75">
      <c r="A20" s="2517"/>
      <c r="B20" s="2386" t="s">
        <v>1115</v>
      </c>
      <c r="C20" s="2517"/>
      <c r="D20" s="2517"/>
      <c r="E20" s="2045">
        <v>36.4</v>
      </c>
      <c r="F20" s="2045"/>
      <c r="G20" s="2045">
        <v>34.800000000000004</v>
      </c>
      <c r="H20" s="2045"/>
      <c r="I20" s="2045">
        <v>36.6</v>
      </c>
      <c r="J20" s="2045"/>
      <c r="K20" s="2045">
        <v>30.39999999999997</v>
      </c>
      <c r="L20" s="2678"/>
      <c r="M20" s="2045">
        <v>37.800000000000018</v>
      </c>
      <c r="N20" s="2678"/>
      <c r="O20" s="2045">
        <v>34.099999999999987</v>
      </c>
      <c r="P20" s="2678"/>
      <c r="Q20" s="1830">
        <v>37.300000000000018</v>
      </c>
      <c r="R20" s="2678"/>
      <c r="S20" s="1830">
        <v>32.9</v>
      </c>
      <c r="T20" s="2678"/>
      <c r="U20" s="1830">
        <v>31.400000000000013</v>
      </c>
      <c r="V20" s="2678"/>
      <c r="W20" s="1830">
        <v>33.499999999999993</v>
      </c>
      <c r="X20" s="2678"/>
      <c r="Y20" s="1830">
        <f t="shared" ref="Y20:Y21" si="0">$AD20-$E20-$G20-$I20-$K20-$M20-$O20-$Q20-$S20-$U20-$W20</f>
        <v>28.099999999999994</v>
      </c>
      <c r="Z20" s="2678"/>
      <c r="AA20" s="1830"/>
      <c r="AB20" s="2045"/>
      <c r="AC20" s="2084"/>
      <c r="AD20" s="2045">
        <v>373.3</v>
      </c>
      <c r="AE20" s="3310"/>
      <c r="AF20" s="2021"/>
      <c r="AG20" s="2045">
        <v>384.3</v>
      </c>
      <c r="AH20" s="2040"/>
      <c r="AI20" s="2671"/>
      <c r="AJ20" s="2040">
        <f>ROUND(AD20-AG20,1)</f>
        <v>-11</v>
      </c>
      <c r="AK20" s="2679"/>
      <c r="AL20" s="1690">
        <f>ROUND(IF(AG20=0,0,AJ20/ABS(AG20)),3)</f>
        <v>-2.9000000000000001E-2</v>
      </c>
      <c r="AM20" s="2669"/>
    </row>
    <row r="21" spans="1:39" s="2636" customFormat="1" ht="15.75">
      <c r="A21" s="2517"/>
      <c r="B21" s="2386" t="s">
        <v>1117</v>
      </c>
      <c r="C21" s="2517"/>
      <c r="D21" s="2517"/>
      <c r="E21" s="2045">
        <v>14.2</v>
      </c>
      <c r="F21" s="2045"/>
      <c r="G21" s="2045">
        <v>10.600000000000001</v>
      </c>
      <c r="H21" s="2045"/>
      <c r="I21" s="2045">
        <v>9.8000000000000007</v>
      </c>
      <c r="J21" s="2045"/>
      <c r="K21" s="2045">
        <v>14.500000000000004</v>
      </c>
      <c r="L21" s="2678"/>
      <c r="M21" s="2045">
        <v>10.699999999999989</v>
      </c>
      <c r="N21" s="2678"/>
      <c r="O21" s="2045">
        <v>10.999999999999996</v>
      </c>
      <c r="P21" s="2678"/>
      <c r="Q21" s="1830">
        <v>14.3</v>
      </c>
      <c r="R21" s="2678"/>
      <c r="S21" s="1830">
        <v>10.900000000000006</v>
      </c>
      <c r="T21" s="2678"/>
      <c r="U21" s="1830">
        <v>13.800000000000008</v>
      </c>
      <c r="V21" s="2678"/>
      <c r="W21" s="1830">
        <v>12.199999999999992</v>
      </c>
      <c r="X21" s="2678"/>
      <c r="Y21" s="1830">
        <f t="shared" si="0"/>
        <v>8.9000000000000057</v>
      </c>
      <c r="Z21" s="2678"/>
      <c r="AA21" s="1830"/>
      <c r="AB21" s="2045"/>
      <c r="AC21" s="2084"/>
      <c r="AD21" s="2045">
        <v>130.9</v>
      </c>
      <c r="AE21" s="3310"/>
      <c r="AF21" s="2021"/>
      <c r="AG21" s="2045">
        <v>138.80000000000001</v>
      </c>
      <c r="AH21" s="2040"/>
      <c r="AI21" s="2671"/>
      <c r="AJ21" s="2040">
        <f>ROUND(AD21-AG21,1)</f>
        <v>-7.9</v>
      </c>
      <c r="AK21" s="2679"/>
      <c r="AL21" s="2246">
        <f>ROUND(IF(AG21=0,0,AJ21/ABS(AG21)),3)</f>
        <v>-5.7000000000000002E-2</v>
      </c>
    </row>
    <row r="22" spans="1:39" ht="15.75">
      <c r="A22" s="2089"/>
      <c r="B22" s="2525" t="s">
        <v>1205</v>
      </c>
      <c r="C22" s="2089"/>
      <c r="D22" s="2089"/>
      <c r="E22" s="1488">
        <f>ROUND(SUM(E19:E21),1)</f>
        <v>54.1</v>
      </c>
      <c r="F22" s="2045"/>
      <c r="G22" s="1488">
        <f>ROUND(SUM(G19:G21),1)</f>
        <v>45.7</v>
      </c>
      <c r="H22" s="2045"/>
      <c r="I22" s="1488">
        <f>ROUND(SUM(I19:I21),1)</f>
        <v>65.900000000000006</v>
      </c>
      <c r="J22" s="2045"/>
      <c r="K22" s="1488">
        <f>ROUND(SUM(K19:K21),1)</f>
        <v>45</v>
      </c>
      <c r="L22" s="1471"/>
      <c r="M22" s="1488">
        <f>ROUND(SUM(M19:M21),1)</f>
        <v>48.6</v>
      </c>
      <c r="N22" s="1471"/>
      <c r="O22" s="1488">
        <f>ROUND(SUM(O19:O21),1)</f>
        <v>78.8</v>
      </c>
      <c r="P22" s="2051"/>
      <c r="Q22" s="1488">
        <f>ROUND(SUM(Q19:Q21),1)</f>
        <v>44.3</v>
      </c>
      <c r="R22" s="2051"/>
      <c r="S22" s="1488">
        <f>ROUND(SUM(S19:S21),1)</f>
        <v>43.9</v>
      </c>
      <c r="T22" s="2051"/>
      <c r="U22" s="1488">
        <f>ROUND(SUM(U19:U21),1)</f>
        <v>65.8</v>
      </c>
      <c r="V22" s="2051"/>
      <c r="W22" s="1488">
        <f>ROUND(SUM(W19:W21),1)</f>
        <v>45.7</v>
      </c>
      <c r="X22" s="2051"/>
      <c r="Y22" s="1488">
        <f>ROUND(SUM(Y19:Y21),1)</f>
        <v>37.1</v>
      </c>
      <c r="Z22" s="2051"/>
      <c r="AA22" s="1488">
        <f>ROUND(SUM(AA19:AA21),1)</f>
        <v>0</v>
      </c>
      <c r="AB22" s="2040"/>
      <c r="AC22" s="2084"/>
      <c r="AD22" s="1488">
        <f>ROUND(SUM(AD19:AD21),1)</f>
        <v>574.9</v>
      </c>
      <c r="AE22" s="3313"/>
      <c r="AF22" s="2021"/>
      <c r="AG22" s="1488">
        <f>ROUND(SUM(AG19:AG21),1)</f>
        <v>591</v>
      </c>
      <c r="AH22" s="2040"/>
      <c r="AI22" s="2671"/>
      <c r="AJ22" s="1488">
        <f>ROUND(SUM(AJ19:AJ21),1)</f>
        <v>-16.100000000000001</v>
      </c>
      <c r="AK22" s="2680"/>
      <c r="AL22" s="1470">
        <f>ROUND(IF(AG22=0,0,AJ22/ABS(AG22)),3)</f>
        <v>-2.7E-2</v>
      </c>
    </row>
    <row r="23" spans="1:39" ht="15.75">
      <c r="A23" s="2089"/>
      <c r="B23" s="2515" t="s">
        <v>1101</v>
      </c>
      <c r="C23" s="2089"/>
      <c r="D23" s="2089"/>
      <c r="E23" s="2045"/>
      <c r="F23" s="2045"/>
      <c r="G23" s="2045"/>
      <c r="H23" s="2045"/>
      <c r="I23" s="2045"/>
      <c r="J23" s="2045"/>
      <c r="K23" s="2045"/>
      <c r="L23" s="1471"/>
      <c r="M23" s="1471"/>
      <c r="N23" s="1471"/>
      <c r="O23" s="1471"/>
      <c r="P23" s="2051"/>
      <c r="Q23" s="2681"/>
      <c r="R23" s="2051"/>
      <c r="S23" s="2681"/>
      <c r="T23" s="2051"/>
      <c r="U23" s="2681"/>
      <c r="V23" s="2051"/>
      <c r="W23" s="2682"/>
      <c r="X23" s="2051"/>
      <c r="Y23" s="2681"/>
      <c r="Z23" s="2051"/>
      <c r="AA23" s="2682"/>
      <c r="AB23" s="2040"/>
      <c r="AC23" s="2084"/>
      <c r="AD23" s="2039"/>
      <c r="AE23" s="3310"/>
      <c r="AF23" s="2021"/>
      <c r="AG23" s="2039"/>
      <c r="AH23" s="2040"/>
      <c r="AI23" s="2671"/>
      <c r="AJ23" s="2039"/>
      <c r="AK23" s="1492"/>
      <c r="AL23" s="2683"/>
    </row>
    <row r="24" spans="1:39" s="2636" customFormat="1" ht="15.75">
      <c r="A24" s="2517"/>
      <c r="B24" s="2386" t="s">
        <v>1120</v>
      </c>
      <c r="C24" s="2517"/>
      <c r="D24" s="2517"/>
      <c r="E24" s="2045">
        <v>0</v>
      </c>
      <c r="F24" s="2045"/>
      <c r="G24" s="2045">
        <v>0</v>
      </c>
      <c r="H24" s="2045"/>
      <c r="I24" s="2045">
        <v>0</v>
      </c>
      <c r="J24" s="2045"/>
      <c r="K24" s="2045">
        <v>0</v>
      </c>
      <c r="L24" s="2678"/>
      <c r="M24" s="2045">
        <v>0</v>
      </c>
      <c r="N24" s="2678"/>
      <c r="O24" s="2045">
        <v>0</v>
      </c>
      <c r="P24" s="2678"/>
      <c r="Q24" s="1830">
        <v>0</v>
      </c>
      <c r="R24" s="2678"/>
      <c r="S24" s="1830">
        <v>0</v>
      </c>
      <c r="T24" s="2678"/>
      <c r="U24" s="1830">
        <v>0</v>
      </c>
      <c r="V24" s="2678"/>
      <c r="W24" s="1830">
        <v>0</v>
      </c>
      <c r="X24" s="2678"/>
      <c r="Y24" s="1830">
        <f t="shared" ref="Y24:Y26" si="1">$AD24-$E24-$G24-$I24-$K24-$M24-$O24-$Q24-$S24-$U24-$W24</f>
        <v>0</v>
      </c>
      <c r="Z24" s="2678"/>
      <c r="AA24" s="1830"/>
      <c r="AB24" s="2040"/>
      <c r="AC24" s="2084"/>
      <c r="AD24" s="2045">
        <v>0</v>
      </c>
      <c r="AE24" s="3313"/>
      <c r="AF24" s="2021"/>
      <c r="AG24" s="2045">
        <v>0</v>
      </c>
      <c r="AH24" s="2040"/>
      <c r="AI24" s="2671"/>
      <c r="AJ24" s="2040">
        <f>ROUND(AD24-AG24,1)</f>
        <v>0</v>
      </c>
      <c r="AK24" s="2669"/>
      <c r="AL24" s="1690">
        <f>ROUND(IF(AG24=0,0,AJ24/ABS(AG24)),3)</f>
        <v>0</v>
      </c>
    </row>
    <row r="25" spans="1:39" s="2636" customFormat="1" ht="15.75">
      <c r="A25" s="2517"/>
      <c r="B25" s="2386" t="s">
        <v>1121</v>
      </c>
      <c r="C25" s="2517"/>
      <c r="D25" s="2517"/>
      <c r="E25" s="2045">
        <v>3.3</v>
      </c>
      <c r="F25" s="2045"/>
      <c r="G25" s="2045">
        <v>-0.1</v>
      </c>
      <c r="H25" s="2045"/>
      <c r="I25" s="2045">
        <v>1.9</v>
      </c>
      <c r="J25" s="2045"/>
      <c r="K25" s="2045">
        <v>0</v>
      </c>
      <c r="L25" s="2678"/>
      <c r="M25" s="2045">
        <v>0</v>
      </c>
      <c r="N25" s="2678"/>
      <c r="O25" s="2045">
        <v>3.0999999999999992</v>
      </c>
      <c r="P25" s="2678"/>
      <c r="Q25" s="1830">
        <v>0.10000000000000142</v>
      </c>
      <c r="R25" s="2678"/>
      <c r="S25" s="1830">
        <v>9.9999999999999645E-2</v>
      </c>
      <c r="T25" s="2678"/>
      <c r="U25" s="1830">
        <v>2.6999999999999997</v>
      </c>
      <c r="V25" s="2678"/>
      <c r="W25" s="1830">
        <v>0</v>
      </c>
      <c r="X25" s="2678"/>
      <c r="Y25" s="1830">
        <f>$AD25-$E25-$G25-$I25-$K25-$M25-$O25-$Q25-$S25-$U25-$W25</f>
        <v>0</v>
      </c>
      <c r="Z25" s="2678"/>
      <c r="AA25" s="1830"/>
      <c r="AB25" s="2040"/>
      <c r="AC25" s="2084"/>
      <c r="AD25" s="2045">
        <v>11.1</v>
      </c>
      <c r="AE25" s="3313"/>
      <c r="AF25" s="2021"/>
      <c r="AG25" s="2045">
        <v>10.6</v>
      </c>
      <c r="AH25" s="2040"/>
      <c r="AI25" s="2671"/>
      <c r="AJ25" s="2040">
        <f>ROUND(AD25-AG25,1)</f>
        <v>0.5</v>
      </c>
      <c r="AK25" s="2669"/>
      <c r="AL25" s="1765">
        <f>ROUND(IF(AG25=0,1,AJ25/ABS(AG25)),3)</f>
        <v>4.7E-2</v>
      </c>
    </row>
    <row r="26" spans="1:39" s="2636" customFormat="1" ht="15.75">
      <c r="A26" s="2517"/>
      <c r="B26" s="2386" t="s">
        <v>1124</v>
      </c>
      <c r="C26" s="2608"/>
      <c r="D26" s="2517"/>
      <c r="E26" s="2045">
        <v>56.3</v>
      </c>
      <c r="F26" s="2045"/>
      <c r="G26" s="2045">
        <v>55.8</v>
      </c>
      <c r="H26" s="2045"/>
      <c r="I26" s="2045">
        <v>58.400000000000006</v>
      </c>
      <c r="J26" s="2045"/>
      <c r="K26" s="2045">
        <v>52.499999999999986</v>
      </c>
      <c r="L26" s="2678"/>
      <c r="M26" s="2045">
        <v>59.999999999999986</v>
      </c>
      <c r="N26" s="2678"/>
      <c r="O26" s="2045">
        <v>56.800000000000011</v>
      </c>
      <c r="P26" s="2678"/>
      <c r="Q26" s="1830">
        <v>60.2</v>
      </c>
      <c r="R26" s="2678"/>
      <c r="S26" s="1830">
        <v>52.199999999999918</v>
      </c>
      <c r="T26" s="2678"/>
      <c r="U26" s="1830">
        <v>51.5</v>
      </c>
      <c r="V26" s="2678"/>
      <c r="W26" s="1830">
        <v>54.900000000000105</v>
      </c>
      <c r="X26" s="2678"/>
      <c r="Y26" s="1830">
        <f t="shared" si="1"/>
        <v>44.999999999999986</v>
      </c>
      <c r="Z26" s="2678"/>
      <c r="AA26" s="1830"/>
      <c r="AB26" s="2040"/>
      <c r="AC26" s="2084"/>
      <c r="AD26" s="2045">
        <v>603.6</v>
      </c>
      <c r="AE26" s="3310"/>
      <c r="AF26" s="2021"/>
      <c r="AG26" s="2045">
        <v>599.20000000000005</v>
      </c>
      <c r="AH26" s="2040"/>
      <c r="AI26" s="2671"/>
      <c r="AJ26" s="2040">
        <f>ROUND(AD26-AG26,1)</f>
        <v>4.4000000000000004</v>
      </c>
      <c r="AK26" s="2679"/>
      <c r="AL26" s="2684">
        <f>ROUND(IF(AG26=0,0,AJ26/ABS(AG26)),3)</f>
        <v>7.0000000000000001E-3</v>
      </c>
    </row>
    <row r="27" spans="1:39" ht="15.75">
      <c r="A27" s="2089"/>
      <c r="B27" s="2525" t="s">
        <v>1206</v>
      </c>
      <c r="C27" s="2479"/>
      <c r="D27" s="2089"/>
      <c r="E27" s="1488">
        <f>ROUND(SUM(E24:E26),1)</f>
        <v>59.6</v>
      </c>
      <c r="F27" s="2045"/>
      <c r="G27" s="1488">
        <f>ROUND(SUM(G24:G26),1)</f>
        <v>55.7</v>
      </c>
      <c r="H27" s="2045"/>
      <c r="I27" s="1488">
        <f>ROUND(SUM(I24:I26),1)</f>
        <v>60.3</v>
      </c>
      <c r="J27" s="2045"/>
      <c r="K27" s="1488">
        <f>ROUND(SUM(K24:K26),1)</f>
        <v>52.5</v>
      </c>
      <c r="L27" s="1471"/>
      <c r="M27" s="1488">
        <f>ROUND(SUM(M24:M26),1)</f>
        <v>60</v>
      </c>
      <c r="N27" s="1471"/>
      <c r="O27" s="1488">
        <f>ROUND(SUM(O24:O26),1)</f>
        <v>59.9</v>
      </c>
      <c r="P27" s="2051"/>
      <c r="Q27" s="1488">
        <f>ROUND(SUM(Q24:Q26),1)</f>
        <v>60.3</v>
      </c>
      <c r="R27" s="2051"/>
      <c r="S27" s="1488">
        <f>ROUND(SUM(S24:S26),1)</f>
        <v>52.3</v>
      </c>
      <c r="T27" s="2051"/>
      <c r="U27" s="1488">
        <f>ROUND(SUM(U24:U26),1)</f>
        <v>54.2</v>
      </c>
      <c r="V27" s="2051"/>
      <c r="W27" s="1488">
        <f>ROUND(SUM(W24:W26),1)</f>
        <v>54.9</v>
      </c>
      <c r="X27" s="2051"/>
      <c r="Y27" s="1488">
        <f>ROUND(SUM(Y24:Y26),1)</f>
        <v>45</v>
      </c>
      <c r="Z27" s="2051"/>
      <c r="AA27" s="1488">
        <f>ROUND(SUM(AA24:AA26),1)</f>
        <v>0</v>
      </c>
      <c r="AB27" s="2040"/>
      <c r="AC27" s="2084"/>
      <c r="AD27" s="1488">
        <f>ROUND(SUM(AD24:AD26),1)</f>
        <v>614.70000000000005</v>
      </c>
      <c r="AE27" s="3313"/>
      <c r="AF27" s="2021"/>
      <c r="AG27" s="1488">
        <f>ROUND(SUM(AG24:AG26),1)</f>
        <v>609.79999999999995</v>
      </c>
      <c r="AH27" s="2040"/>
      <c r="AI27" s="2671"/>
      <c r="AJ27" s="1488">
        <f>ROUND(SUM(AJ24:AJ26),1)</f>
        <v>4.9000000000000004</v>
      </c>
      <c r="AK27" s="2680"/>
      <c r="AL27" s="1485">
        <f>ROUND(IF(AG27=0,0,AJ27/ABS(AG27)),3)</f>
        <v>8.0000000000000002E-3</v>
      </c>
    </row>
    <row r="28" spans="1:39" ht="15.75">
      <c r="A28" s="2089"/>
      <c r="B28" s="2515" t="s">
        <v>1102</v>
      </c>
      <c r="C28" s="2089"/>
      <c r="D28" s="2089"/>
      <c r="E28" s="2685"/>
      <c r="F28" s="2045"/>
      <c r="G28" s="2685"/>
      <c r="H28" s="2045"/>
      <c r="I28" s="2044"/>
      <c r="J28" s="2045"/>
      <c r="K28" s="2044"/>
      <c r="L28" s="1471"/>
      <c r="M28" s="1471"/>
      <c r="N28" s="1471"/>
      <c r="O28" s="1471"/>
      <c r="P28" s="2051"/>
      <c r="Q28" s="2681"/>
      <c r="R28" s="2051"/>
      <c r="S28" s="2681"/>
      <c r="T28" s="2051"/>
      <c r="U28" s="2681"/>
      <c r="V28" s="2051"/>
      <c r="W28" s="2681"/>
      <c r="X28" s="2051"/>
      <c r="Y28" s="2681"/>
      <c r="Z28" s="2051"/>
      <c r="AA28" s="2681"/>
      <c r="AB28" s="2040"/>
      <c r="AC28" s="2084"/>
      <c r="AD28" s="2040"/>
      <c r="AE28" s="3314"/>
      <c r="AF28" s="3315"/>
      <c r="AG28" s="2040"/>
      <c r="AH28" s="2039"/>
      <c r="AI28" s="2686"/>
      <c r="AJ28" s="2039"/>
      <c r="AK28" s="2687"/>
      <c r="AL28" s="1453"/>
      <c r="AM28" s="1492"/>
    </row>
    <row r="29" spans="1:39" ht="15.75">
      <c r="A29" s="2089"/>
      <c r="B29" s="2285" t="s">
        <v>1130</v>
      </c>
      <c r="C29" s="2089"/>
      <c r="D29" s="2089"/>
      <c r="E29" s="2045">
        <v>0</v>
      </c>
      <c r="F29" s="2045"/>
      <c r="G29" s="2045">
        <v>0</v>
      </c>
      <c r="H29" s="2045"/>
      <c r="I29" s="2045">
        <v>11.9</v>
      </c>
      <c r="J29" s="2045"/>
      <c r="K29" s="2045">
        <v>11.9</v>
      </c>
      <c r="L29" s="2678"/>
      <c r="M29" s="2045">
        <v>11.900000000000004</v>
      </c>
      <c r="N29" s="2678"/>
      <c r="O29" s="2045">
        <v>11.9</v>
      </c>
      <c r="P29" s="2678"/>
      <c r="Q29" s="1830">
        <v>11.999999999999998</v>
      </c>
      <c r="R29" s="2678"/>
      <c r="S29" s="1830">
        <v>11.9</v>
      </c>
      <c r="T29" s="2678"/>
      <c r="U29" s="1830">
        <v>11.899999999999997</v>
      </c>
      <c r="V29" s="2678"/>
      <c r="W29" s="1830">
        <v>11.899999999999986</v>
      </c>
      <c r="X29" s="2678"/>
      <c r="Y29" s="1830">
        <f>$AD29-$E29-$G29-$I29-$K29-$M29-$O29-$Q29-$S29-$U29-$W29</f>
        <v>11.900000000000004</v>
      </c>
      <c r="Z29" s="2678"/>
      <c r="AA29" s="1830"/>
      <c r="AB29" s="2040"/>
      <c r="AC29" s="2084"/>
      <c r="AD29" s="2045">
        <v>107.2</v>
      </c>
      <c r="AE29" s="3316"/>
      <c r="AF29" s="3315"/>
      <c r="AG29" s="2045">
        <v>107.2</v>
      </c>
      <c r="AH29" s="2039"/>
      <c r="AI29" s="2686"/>
      <c r="AJ29" s="2040">
        <f>ROUND(AD29-AG29,1)</f>
        <v>0</v>
      </c>
      <c r="AK29" s="2687"/>
      <c r="AL29" s="1454">
        <f>ROUND(IF(AG29=0,0,AJ29/ABS(AG29)),3)</f>
        <v>0</v>
      </c>
      <c r="AM29" s="1492"/>
    </row>
    <row r="30" spans="1:39" ht="15.75">
      <c r="B30" s="2525" t="s">
        <v>1207</v>
      </c>
      <c r="C30" s="2089"/>
      <c r="D30" s="2089"/>
      <c r="E30" s="1488">
        <f>ROUND(SUM(E29:E29),1)</f>
        <v>0</v>
      </c>
      <c r="F30" s="2045"/>
      <c r="G30" s="1488">
        <f>ROUND(SUM(G29:G29),1)</f>
        <v>0</v>
      </c>
      <c r="H30" s="2045"/>
      <c r="I30" s="1488">
        <f>ROUND(SUM(I29:I29),1)</f>
        <v>11.9</v>
      </c>
      <c r="J30" s="2045"/>
      <c r="K30" s="1488">
        <f>ROUND(SUM(K29:K29),1)</f>
        <v>11.9</v>
      </c>
      <c r="L30" s="1471"/>
      <c r="M30" s="1488">
        <f>ROUND(SUM(M29:M29),1)</f>
        <v>11.9</v>
      </c>
      <c r="N30" s="1471"/>
      <c r="O30" s="1488">
        <f>ROUND(SUM(O29:O29),1)</f>
        <v>11.9</v>
      </c>
      <c r="P30" s="2051"/>
      <c r="Q30" s="1488">
        <f>ROUND(SUM(Q29:Q29),1)</f>
        <v>12</v>
      </c>
      <c r="R30" s="2051"/>
      <c r="S30" s="1488">
        <f>ROUND(SUM(S29:S29),1)</f>
        <v>11.9</v>
      </c>
      <c r="T30" s="2051"/>
      <c r="U30" s="1488">
        <f>ROUND(SUM(U29:U29),1)</f>
        <v>11.9</v>
      </c>
      <c r="V30" s="2051"/>
      <c r="W30" s="1488">
        <f>ROUND(SUM(W29:W29),1)</f>
        <v>11.9</v>
      </c>
      <c r="X30" s="2051"/>
      <c r="Y30" s="1488">
        <f>ROUND(SUM(Y29:Y29),1)</f>
        <v>11.9</v>
      </c>
      <c r="Z30" s="2051"/>
      <c r="AA30" s="1488">
        <f>ROUND(SUM(AA29:AA29),1)</f>
        <v>0</v>
      </c>
      <c r="AB30" s="2040"/>
      <c r="AC30" s="2084"/>
      <c r="AD30" s="1488">
        <f>ROUND(SUM(AD29:AD29),1)</f>
        <v>107.2</v>
      </c>
      <c r="AE30" s="3316"/>
      <c r="AF30" s="3315"/>
      <c r="AG30" s="1488">
        <f>ROUND(SUM(AG29:AG29),1)</f>
        <v>107.2</v>
      </c>
      <c r="AH30" s="2039"/>
      <c r="AI30" s="2686"/>
      <c r="AJ30" s="1488">
        <f>ROUND(SUM(AJ29:AJ29),1)</f>
        <v>0</v>
      </c>
      <c r="AK30" s="2687"/>
      <c r="AL30" s="1470">
        <f>ROUND(IF(AG30=0,0,AJ30/ABS(AG30)),3)</f>
        <v>0</v>
      </c>
      <c r="AM30" s="1492"/>
    </row>
    <row r="31" spans="1:39" ht="15.75">
      <c r="A31" s="2089"/>
      <c r="B31" s="2479"/>
      <c r="C31" s="2089"/>
      <c r="D31" s="2089"/>
      <c r="E31" s="2685"/>
      <c r="F31" s="2045"/>
      <c r="G31" s="2685"/>
      <c r="H31" s="2045"/>
      <c r="I31" s="2044"/>
      <c r="J31" s="2045"/>
      <c r="K31" s="2044"/>
      <c r="L31" s="1471"/>
      <c r="M31" s="1471"/>
      <c r="N31" s="1471"/>
      <c r="O31" s="1471"/>
      <c r="P31" s="2051"/>
      <c r="Q31" s="2681"/>
      <c r="R31" s="2051"/>
      <c r="S31" s="2681"/>
      <c r="T31" s="2051"/>
      <c r="U31" s="2681"/>
      <c r="V31" s="2051"/>
      <c r="W31" s="2681"/>
      <c r="X31" s="2051"/>
      <c r="Y31" s="2681"/>
      <c r="Z31" s="2051"/>
      <c r="AA31" s="2681"/>
      <c r="AB31" s="2040"/>
      <c r="AC31" s="2084"/>
      <c r="AD31" s="2040"/>
      <c r="AE31" s="3316"/>
      <c r="AF31" s="3315"/>
      <c r="AG31" s="2040"/>
      <c r="AH31" s="2039"/>
      <c r="AI31" s="2686"/>
      <c r="AJ31" s="2039"/>
      <c r="AK31" s="2687"/>
      <c r="AL31" s="2688"/>
      <c r="AM31" s="1492"/>
    </row>
    <row r="32" spans="1:39" s="2692" customFormat="1" ht="15.75">
      <c r="A32" s="2479"/>
      <c r="B32" s="2525" t="s">
        <v>1126</v>
      </c>
      <c r="C32" s="2479"/>
      <c r="D32" s="2479"/>
      <c r="E32" s="2689">
        <f>ROUND(SUM(+E27+E22+E30),1)</f>
        <v>113.7</v>
      </c>
      <c r="F32" s="2095"/>
      <c r="G32" s="2689">
        <f>ROUND(SUM(+G27+G22+G30),1)</f>
        <v>101.4</v>
      </c>
      <c r="H32" s="2095"/>
      <c r="I32" s="2689">
        <f>ROUND(SUM(+I27+I22+I30),1)</f>
        <v>138.1</v>
      </c>
      <c r="J32" s="2095"/>
      <c r="K32" s="2689">
        <f>ROUND(SUM(+K27+K22+K30),1)</f>
        <v>109.4</v>
      </c>
      <c r="L32" s="1489"/>
      <c r="M32" s="2080">
        <f>ROUND(SUM(+M27+M22+M30),1)</f>
        <v>120.5</v>
      </c>
      <c r="N32" s="1489"/>
      <c r="O32" s="2080">
        <f>ROUND(SUM(+O27+O22+O30),1)</f>
        <v>150.6</v>
      </c>
      <c r="P32" s="1489"/>
      <c r="Q32" s="2080">
        <f>ROUND(SUM(+Q27+Q22+Q30),1)</f>
        <v>116.6</v>
      </c>
      <c r="R32" s="1489"/>
      <c r="S32" s="2080">
        <f>ROUND(SUM(+S27+S22+S30),1)</f>
        <v>108.1</v>
      </c>
      <c r="T32" s="1489"/>
      <c r="U32" s="2080">
        <f>ROUND(SUM(+U27+U22+U30),1)</f>
        <v>131.9</v>
      </c>
      <c r="V32" s="1489"/>
      <c r="W32" s="2080">
        <f>ROUND(SUM(+W27+W22+W30),1)</f>
        <v>112.5</v>
      </c>
      <c r="X32" s="1489"/>
      <c r="Y32" s="2080">
        <f>ROUND(SUM(+Y27+Y22+Y30),1)</f>
        <v>94</v>
      </c>
      <c r="Z32" s="1489"/>
      <c r="AA32" s="2080">
        <f>ROUND(SUM(+AA27+AA22+AA30),1)</f>
        <v>0</v>
      </c>
      <c r="AB32" s="2095"/>
      <c r="AC32" s="2609"/>
      <c r="AD32" s="2080">
        <f>ROUND(SUM(+AD27+AD22+AD30),1)</f>
        <v>1296.8</v>
      </c>
      <c r="AE32" s="3317"/>
      <c r="AF32" s="3318"/>
      <c r="AG32" s="2080">
        <f>ROUND(SUM(+AG27+AG22+AG30),1)</f>
        <v>1308</v>
      </c>
      <c r="AH32" s="2690"/>
      <c r="AI32" s="2686"/>
      <c r="AJ32" s="2080">
        <f>ROUND(SUM(+AJ27+AJ22+AJ30),1)</f>
        <v>-11.2</v>
      </c>
      <c r="AK32" s="2491"/>
      <c r="AL32" s="1485">
        <f>ROUND(IF(AG32=0,1,AJ32/ABS(AG32)),3)</f>
        <v>-8.9999999999999993E-3</v>
      </c>
      <c r="AM32" s="2691"/>
    </row>
    <row r="33" spans="1:40" ht="15.75">
      <c r="A33" s="2089"/>
      <c r="B33" s="2521"/>
      <c r="C33" s="2089"/>
      <c r="D33" s="2089"/>
      <c r="E33" s="2685"/>
      <c r="F33" s="2045"/>
      <c r="G33" s="2685"/>
      <c r="H33" s="2045"/>
      <c r="I33" s="2044"/>
      <c r="J33" s="2045"/>
      <c r="K33" s="2044"/>
      <c r="L33" s="1471"/>
      <c r="M33" s="1471"/>
      <c r="N33" s="1471"/>
      <c r="O33" s="1471"/>
      <c r="P33" s="2051"/>
      <c r="Q33" s="2681"/>
      <c r="R33" s="2051"/>
      <c r="S33" s="2681"/>
      <c r="T33" s="2051"/>
      <c r="U33" s="2693"/>
      <c r="V33" s="2040"/>
      <c r="W33" s="2693"/>
      <c r="X33" s="2040"/>
      <c r="Y33" s="2693"/>
      <c r="Z33" s="2040"/>
      <c r="AA33" s="2693"/>
      <c r="AB33" s="2040"/>
      <c r="AC33" s="2084"/>
      <c r="AD33" s="2040"/>
      <c r="AE33" s="3316"/>
      <c r="AF33" s="3315"/>
      <c r="AG33" s="2040"/>
      <c r="AH33" s="2039"/>
      <c r="AI33" s="2686"/>
      <c r="AJ33" s="2039"/>
      <c r="AK33" s="2694"/>
      <c r="AL33" s="1690"/>
      <c r="AM33" s="2669"/>
      <c r="AN33" s="2636"/>
    </row>
    <row r="34" spans="1:40" ht="15.75">
      <c r="A34" s="2089"/>
      <c r="B34" s="2514" t="s">
        <v>1033</v>
      </c>
      <c r="C34" s="2089"/>
      <c r="D34" s="2089"/>
      <c r="E34" s="2044"/>
      <c r="F34" s="2045"/>
      <c r="G34" s="2044"/>
      <c r="H34" s="2045"/>
      <c r="I34" s="2044"/>
      <c r="J34" s="2045"/>
      <c r="K34" s="2044"/>
      <c r="L34" s="1471"/>
      <c r="M34" s="1471"/>
      <c r="N34" s="1471"/>
      <c r="O34" s="1471"/>
      <c r="P34" s="2051"/>
      <c r="Q34" s="2681"/>
      <c r="R34" s="2051"/>
      <c r="S34" s="2681"/>
      <c r="T34" s="2051"/>
      <c r="U34" s="2693"/>
      <c r="V34" s="2040"/>
      <c r="W34" s="2693"/>
      <c r="X34" s="2040"/>
      <c r="Y34" s="2693"/>
      <c r="Z34" s="2040"/>
      <c r="AA34" s="2693"/>
      <c r="AB34" s="2040"/>
      <c r="AC34" s="2084"/>
      <c r="AD34" s="2040"/>
      <c r="AE34" s="3310"/>
      <c r="AF34" s="2021"/>
      <c r="AG34" s="2040"/>
      <c r="AH34" s="2039"/>
      <c r="AI34" s="2686"/>
      <c r="AJ34" s="2039"/>
      <c r="AK34" s="2679"/>
      <c r="AL34" s="1839"/>
      <c r="AM34" s="2636"/>
      <c r="AN34" s="2636"/>
    </row>
    <row r="35" spans="1:40" ht="15.75">
      <c r="A35" s="2089"/>
      <c r="B35" s="2538" t="s">
        <v>1154</v>
      </c>
      <c r="C35" s="2521"/>
      <c r="D35" s="2089"/>
      <c r="E35" s="2044"/>
      <c r="F35" s="2045"/>
      <c r="G35" s="2044"/>
      <c r="H35" s="2045"/>
      <c r="I35" s="2044"/>
      <c r="J35" s="2045"/>
      <c r="K35" s="2044"/>
      <c r="L35" s="1471"/>
      <c r="M35" s="1471"/>
      <c r="N35" s="1471"/>
      <c r="O35" s="1471"/>
      <c r="P35" s="2051"/>
      <c r="Q35" s="2681"/>
      <c r="R35" s="2051"/>
      <c r="S35" s="2681"/>
      <c r="T35" s="2051"/>
      <c r="U35" s="2693"/>
      <c r="V35" s="2040"/>
      <c r="W35" s="2693"/>
      <c r="X35" s="2040"/>
      <c r="Y35" s="2693"/>
      <c r="Z35" s="2040"/>
      <c r="AA35" s="2693"/>
      <c r="AB35" s="2040"/>
      <c r="AC35" s="2084"/>
      <c r="AD35" s="2040"/>
      <c r="AE35" s="3313"/>
      <c r="AF35" s="2021"/>
      <c r="AG35" s="2040"/>
      <c r="AH35" s="2039"/>
      <c r="AI35" s="2686"/>
      <c r="AJ35" s="2039"/>
      <c r="AK35" s="2679"/>
      <c r="AL35" s="1839"/>
      <c r="AM35" s="2636"/>
      <c r="AN35" s="2636"/>
    </row>
    <row r="36" spans="1:40" ht="15.75">
      <c r="A36" s="2089"/>
      <c r="B36" s="2538" t="s">
        <v>1067</v>
      </c>
      <c r="C36" s="2521"/>
      <c r="D36" s="2089"/>
      <c r="E36" s="2045">
        <v>0</v>
      </c>
      <c r="F36" s="2045"/>
      <c r="G36" s="2045">
        <v>0</v>
      </c>
      <c r="H36" s="2045"/>
      <c r="I36" s="2045">
        <v>23</v>
      </c>
      <c r="J36" s="2045"/>
      <c r="K36" s="2045">
        <v>0</v>
      </c>
      <c r="L36" s="2678"/>
      <c r="M36" s="2045">
        <v>0</v>
      </c>
      <c r="N36" s="2678"/>
      <c r="O36" s="2045">
        <v>0</v>
      </c>
      <c r="P36" s="2678"/>
      <c r="Q36" s="1830">
        <v>0</v>
      </c>
      <c r="R36" s="2678"/>
      <c r="S36" s="1830">
        <v>0</v>
      </c>
      <c r="T36" s="2678"/>
      <c r="U36" s="1830">
        <v>0</v>
      </c>
      <c r="V36" s="2678"/>
      <c r="W36" s="1830">
        <v>0</v>
      </c>
      <c r="X36" s="2678"/>
      <c r="Y36" s="1830">
        <f t="shared" ref="Y36:Y59" si="2">$AD36-$E36-$G36-$I36-$K36-$M36-$O36-$Q36-$S36-$U36-$W36</f>
        <v>0</v>
      </c>
      <c r="Z36" s="2678"/>
      <c r="AA36" s="1830"/>
      <c r="AB36" s="2040"/>
      <c r="AC36" s="2084"/>
      <c r="AD36" s="2045">
        <v>23</v>
      </c>
      <c r="AE36" s="3313"/>
      <c r="AF36" s="2021"/>
      <c r="AG36" s="2045">
        <v>23</v>
      </c>
      <c r="AH36" s="2039"/>
      <c r="AI36" s="2686"/>
      <c r="AJ36" s="2040">
        <f t="shared" ref="AJ36:AJ59" si="3">ROUND(AD36-AG36,1)</f>
        <v>0</v>
      </c>
      <c r="AK36" s="2679"/>
      <c r="AL36" s="1690">
        <f>ROUND(IF(AG36=0,0,AJ36/ABS(AG36)),3)</f>
        <v>0</v>
      </c>
      <c r="AM36" s="2636"/>
      <c r="AN36" s="2636"/>
    </row>
    <row r="37" spans="1:40" ht="15.75">
      <c r="A37" s="2089"/>
      <c r="B37" s="2538" t="s">
        <v>1155</v>
      </c>
      <c r="C37" s="2521"/>
      <c r="D37" s="2089"/>
      <c r="E37" s="2045" t="s">
        <v>15</v>
      </c>
      <c r="F37" s="2045"/>
      <c r="G37" s="2045"/>
      <c r="H37" s="2045"/>
      <c r="I37" s="2045"/>
      <c r="J37" s="2045"/>
      <c r="K37" s="2045"/>
      <c r="L37" s="2678"/>
      <c r="M37" s="2045"/>
      <c r="N37" s="2678"/>
      <c r="O37" s="2045"/>
      <c r="P37" s="2678"/>
      <c r="Q37" s="1830"/>
      <c r="R37" s="2678"/>
      <c r="S37" s="1830"/>
      <c r="T37" s="2678"/>
      <c r="U37" s="1830"/>
      <c r="V37" s="2678"/>
      <c r="W37" s="1830"/>
      <c r="X37" s="2678"/>
      <c r="Y37" s="1830"/>
      <c r="Z37" s="2678"/>
      <c r="AA37" s="1830"/>
      <c r="AB37" s="2040"/>
      <c r="AC37" s="2084"/>
      <c r="AD37" s="2693"/>
      <c r="AE37" s="3313"/>
      <c r="AF37" s="2021"/>
      <c r="AG37" s="2693"/>
      <c r="AH37" s="2039"/>
      <c r="AI37" s="2686"/>
      <c r="AJ37" s="2040"/>
      <c r="AK37" s="2679"/>
      <c r="AL37" s="1839"/>
      <c r="AM37" s="2636"/>
      <c r="AN37" s="2636"/>
    </row>
    <row r="38" spans="1:40" ht="15.75">
      <c r="A38" s="2089"/>
      <c r="B38" s="2538" t="s">
        <v>1068</v>
      </c>
      <c r="C38" s="2521"/>
      <c r="D38" s="2089"/>
      <c r="E38" s="2045">
        <v>10.1</v>
      </c>
      <c r="F38" s="2045"/>
      <c r="G38" s="2045">
        <v>9.2999999999999989</v>
      </c>
      <c r="H38" s="2045"/>
      <c r="I38" s="2045">
        <v>8.7000000000000011</v>
      </c>
      <c r="J38" s="2045"/>
      <c r="K38" s="2045">
        <v>8.1999999999999975</v>
      </c>
      <c r="L38" s="2678"/>
      <c r="M38" s="2045">
        <v>8.6</v>
      </c>
      <c r="N38" s="2678"/>
      <c r="O38" s="2045">
        <v>8.300000000000006</v>
      </c>
      <c r="P38" s="2678"/>
      <c r="Q38" s="1830">
        <v>8.2999999999999954</v>
      </c>
      <c r="R38" s="2678"/>
      <c r="S38" s="1830">
        <v>8.0000000000000018</v>
      </c>
      <c r="T38" s="2678"/>
      <c r="U38" s="1830">
        <v>7.6000000000000014</v>
      </c>
      <c r="V38" s="2678"/>
      <c r="W38" s="1830">
        <v>8.3000000000000096</v>
      </c>
      <c r="X38" s="2678"/>
      <c r="Y38" s="1830">
        <f t="shared" si="2"/>
        <v>8.3999999999999932</v>
      </c>
      <c r="Z38" s="2678"/>
      <c r="AA38" s="1830"/>
      <c r="AB38" s="2040"/>
      <c r="AC38" s="2084"/>
      <c r="AD38" s="2045">
        <v>93.8</v>
      </c>
      <c r="AE38" s="3313"/>
      <c r="AF38" s="2021"/>
      <c r="AG38" s="2045">
        <v>92.3</v>
      </c>
      <c r="AH38" s="2039"/>
      <c r="AI38" s="2686"/>
      <c r="AJ38" s="2040">
        <f t="shared" si="3"/>
        <v>1.5</v>
      </c>
      <c r="AK38" s="2679"/>
      <c r="AL38" s="1690">
        <f>ROUND(IF(AG38=0,0,AJ38/ABS(AG38)),3)</f>
        <v>1.6E-2</v>
      </c>
      <c r="AM38" s="2636"/>
      <c r="AN38" s="2636"/>
    </row>
    <row r="39" spans="1:40" s="2636" customFormat="1" ht="15.75">
      <c r="A39" s="2517"/>
      <c r="B39" s="2538" t="s">
        <v>1160</v>
      </c>
      <c r="C39" s="2558"/>
      <c r="D39" s="2517"/>
      <c r="E39" s="2045" t="s">
        <v>15</v>
      </c>
      <c r="F39" s="2045"/>
      <c r="G39" s="2045"/>
      <c r="H39" s="2045"/>
      <c r="I39" s="2045"/>
      <c r="J39" s="2045"/>
      <c r="K39" s="2045"/>
      <c r="L39" s="2678"/>
      <c r="M39" s="2045"/>
      <c r="N39" s="2678"/>
      <c r="O39" s="2045"/>
      <c r="P39" s="2678"/>
      <c r="Q39" s="1830"/>
      <c r="R39" s="2678"/>
      <c r="S39" s="1830"/>
      <c r="T39" s="2678"/>
      <c r="U39" s="1830"/>
      <c r="V39" s="2678"/>
      <c r="W39" s="1830"/>
      <c r="X39" s="2678"/>
      <c r="Y39" s="1830"/>
      <c r="Z39" s="2678"/>
      <c r="AA39" s="1830"/>
      <c r="AB39" s="2040"/>
      <c r="AC39" s="2084"/>
      <c r="AD39" s="2693"/>
      <c r="AE39" s="3313"/>
      <c r="AF39" s="2021"/>
      <c r="AG39" s="2693"/>
      <c r="AH39" s="2039"/>
      <c r="AI39" s="2686"/>
      <c r="AJ39" s="2040"/>
      <c r="AK39" s="2679"/>
      <c r="AL39" s="1839"/>
    </row>
    <row r="40" spans="1:40" ht="15.75">
      <c r="A40" s="2089"/>
      <c r="B40" s="2538" t="s">
        <v>1072</v>
      </c>
      <c r="C40" s="2521"/>
      <c r="D40" s="2089"/>
      <c r="E40" s="2045">
        <v>0.8</v>
      </c>
      <c r="F40" s="2045"/>
      <c r="G40" s="2045">
        <v>5.6000000000000005</v>
      </c>
      <c r="H40" s="2045"/>
      <c r="I40" s="2045">
        <v>3.6999999999999984</v>
      </c>
      <c r="J40" s="2045"/>
      <c r="K40" s="2045">
        <v>2.5</v>
      </c>
      <c r="L40" s="2678"/>
      <c r="M40" s="2045">
        <v>10.7</v>
      </c>
      <c r="N40" s="2678"/>
      <c r="O40" s="2045">
        <v>1.3000000000000007</v>
      </c>
      <c r="P40" s="2678"/>
      <c r="Q40" s="1830">
        <v>1.1999999999999993</v>
      </c>
      <c r="R40" s="2678"/>
      <c r="S40" s="1830">
        <v>2</v>
      </c>
      <c r="T40" s="2678"/>
      <c r="U40" s="1830">
        <v>0.59999999999999787</v>
      </c>
      <c r="V40" s="2678"/>
      <c r="W40" s="1830">
        <v>0.60000000000000142</v>
      </c>
      <c r="X40" s="2678"/>
      <c r="Y40" s="1830">
        <f t="shared" si="2"/>
        <v>2.3000000000000007</v>
      </c>
      <c r="Z40" s="2678"/>
      <c r="AA40" s="1830"/>
      <c r="AB40" s="2040"/>
      <c r="AC40" s="2084"/>
      <c r="AD40" s="2045">
        <v>31.3</v>
      </c>
      <c r="AE40" s="3313"/>
      <c r="AF40" s="2021"/>
      <c r="AG40" s="2045">
        <v>31.4</v>
      </c>
      <c r="AH40" s="2039"/>
      <c r="AI40" s="2686"/>
      <c r="AJ40" s="2040">
        <f t="shared" si="3"/>
        <v>-0.1</v>
      </c>
      <c r="AK40" s="2679"/>
      <c r="AL40" s="1690">
        <f>ROUND(IF(AG40=0,0,AJ40/ABS(AG40)),3)</f>
        <v>-3.0000000000000001E-3</v>
      </c>
      <c r="AM40" s="2636"/>
      <c r="AN40" s="2636"/>
    </row>
    <row r="41" spans="1:40" ht="15.75">
      <c r="A41" s="2089"/>
      <c r="B41" s="2538" t="s">
        <v>1221</v>
      </c>
      <c r="C41" s="2521"/>
      <c r="D41" s="2089"/>
      <c r="E41" s="2045">
        <v>0</v>
      </c>
      <c r="F41" s="2045"/>
      <c r="G41" s="2045">
        <v>0</v>
      </c>
      <c r="H41" s="2045"/>
      <c r="I41" s="2045">
        <v>0</v>
      </c>
      <c r="J41" s="2045"/>
      <c r="K41" s="2045">
        <v>0</v>
      </c>
      <c r="L41" s="2678"/>
      <c r="M41" s="2045">
        <v>0</v>
      </c>
      <c r="N41" s="2678"/>
      <c r="O41" s="2045">
        <v>0</v>
      </c>
      <c r="P41" s="2678"/>
      <c r="Q41" s="1830">
        <v>0</v>
      </c>
      <c r="R41" s="2678"/>
      <c r="S41" s="1830">
        <v>0</v>
      </c>
      <c r="T41" s="2678"/>
      <c r="U41" s="1830">
        <v>0</v>
      </c>
      <c r="V41" s="2678"/>
      <c r="W41" s="1830">
        <v>0</v>
      </c>
      <c r="X41" s="2678"/>
      <c r="Y41" s="1830">
        <f t="shared" si="2"/>
        <v>0</v>
      </c>
      <c r="Z41" s="2678"/>
      <c r="AA41" s="1830"/>
      <c r="AB41" s="2040"/>
      <c r="AC41" s="2084"/>
      <c r="AD41" s="2045">
        <v>0</v>
      </c>
      <c r="AE41" s="3319"/>
      <c r="AF41" s="2021"/>
      <c r="AG41" s="2045">
        <v>0</v>
      </c>
      <c r="AH41" s="2039"/>
      <c r="AI41" s="2686"/>
      <c r="AJ41" s="2040">
        <f>ROUND(AD41-AG41,1)</f>
        <v>0</v>
      </c>
      <c r="AK41" s="2679"/>
      <c r="AL41" s="1765">
        <f>ROUND(IF(AG41=0,0,AJ41/ABS(AG41)),3)</f>
        <v>0</v>
      </c>
      <c r="AM41" s="2636"/>
      <c r="AN41" s="2636"/>
    </row>
    <row r="42" spans="1:40" ht="15.75">
      <c r="A42" s="2089"/>
      <c r="B42" s="2538" t="s">
        <v>1075</v>
      </c>
      <c r="C42" s="2521"/>
      <c r="D42" s="2089"/>
      <c r="E42" s="2045">
        <v>67</v>
      </c>
      <c r="F42" s="2045"/>
      <c r="G42" s="2045">
        <v>69.300000000000011</v>
      </c>
      <c r="H42" s="2045"/>
      <c r="I42" s="2045">
        <v>65.399999999999977</v>
      </c>
      <c r="J42" s="2045"/>
      <c r="K42" s="2045">
        <v>60.800000000000011</v>
      </c>
      <c r="L42" s="2678"/>
      <c r="M42" s="2045">
        <v>63.600000000000023</v>
      </c>
      <c r="N42" s="2678"/>
      <c r="O42" s="2045">
        <v>60.399999999999977</v>
      </c>
      <c r="P42" s="2678"/>
      <c r="Q42" s="1830">
        <v>57.399999999999977</v>
      </c>
      <c r="R42" s="2678"/>
      <c r="S42" s="1830">
        <v>58.5</v>
      </c>
      <c r="T42" s="2678"/>
      <c r="U42" s="1830">
        <v>52.299999999999955</v>
      </c>
      <c r="V42" s="2678"/>
      <c r="W42" s="1830">
        <v>59.900000000000091</v>
      </c>
      <c r="X42" s="2678"/>
      <c r="Y42" s="1830">
        <f t="shared" si="2"/>
        <v>61.400000000000034</v>
      </c>
      <c r="Z42" s="2678"/>
      <c r="AA42" s="1830"/>
      <c r="AB42" s="2040"/>
      <c r="AC42" s="2084"/>
      <c r="AD42" s="2045">
        <v>676</v>
      </c>
      <c r="AE42" s="3313"/>
      <c r="AF42" s="2021"/>
      <c r="AG42" s="2045">
        <v>663.3</v>
      </c>
      <c r="AH42" s="2039"/>
      <c r="AI42" s="2686"/>
      <c r="AJ42" s="2040">
        <f t="shared" si="3"/>
        <v>12.7</v>
      </c>
      <c r="AK42" s="2679"/>
      <c r="AL42" s="1690">
        <f>ROUND(IF(AG42=0,0,AJ42/ABS(AG42)),3)</f>
        <v>1.9E-2</v>
      </c>
      <c r="AM42" s="2636"/>
      <c r="AN42" s="2636"/>
    </row>
    <row r="43" spans="1:40" ht="15.75">
      <c r="A43" s="2089"/>
      <c r="B43" s="2538" t="s">
        <v>1076</v>
      </c>
      <c r="C43" s="2521"/>
      <c r="D43" s="2089"/>
      <c r="E43" s="2045">
        <v>0.2</v>
      </c>
      <c r="F43" s="2045"/>
      <c r="G43" s="2045">
        <v>9.9999999999999978E-2</v>
      </c>
      <c r="H43" s="2045"/>
      <c r="I43" s="2045">
        <v>0</v>
      </c>
      <c r="J43" s="2045"/>
      <c r="K43" s="2045">
        <v>0</v>
      </c>
      <c r="L43" s="2678"/>
      <c r="M43" s="2045">
        <v>0</v>
      </c>
      <c r="N43" s="2678"/>
      <c r="O43" s="2045">
        <v>2.9999999999999996</v>
      </c>
      <c r="P43" s="2678"/>
      <c r="Q43" s="1830">
        <v>12.800000000000002</v>
      </c>
      <c r="R43" s="2678"/>
      <c r="S43" s="1830">
        <v>-1.2000000000000011</v>
      </c>
      <c r="T43" s="2678"/>
      <c r="U43" s="1830">
        <v>0</v>
      </c>
      <c r="V43" s="2678"/>
      <c r="W43" s="1830">
        <v>15.899999999999999</v>
      </c>
      <c r="X43" s="2678"/>
      <c r="Y43" s="1830">
        <f t="shared" si="2"/>
        <v>0.10000000000000142</v>
      </c>
      <c r="Z43" s="2678"/>
      <c r="AA43" s="1830"/>
      <c r="AB43" s="2040"/>
      <c r="AC43" s="2084"/>
      <c r="AD43" s="2045">
        <v>30.900000000000002</v>
      </c>
      <c r="AE43" s="3313"/>
      <c r="AF43" s="2021"/>
      <c r="AG43" s="2045">
        <v>33.4</v>
      </c>
      <c r="AH43" s="2039"/>
      <c r="AI43" s="2686"/>
      <c r="AJ43" s="2040">
        <f t="shared" si="3"/>
        <v>-2.5</v>
      </c>
      <c r="AK43" s="2679"/>
      <c r="AL43" s="1765">
        <f>ROUND(IF(AG43=0,1,AJ43/ABS(AG43)),3)</f>
        <v>-7.4999999999999997E-2</v>
      </c>
      <c r="AM43" s="2636"/>
      <c r="AN43" s="2636"/>
    </row>
    <row r="44" spans="1:40" ht="15.75">
      <c r="A44" s="2089"/>
      <c r="B44" s="2538" t="s">
        <v>1034</v>
      </c>
      <c r="C44" s="2521"/>
      <c r="D44" s="2089"/>
      <c r="E44" s="2045">
        <v>2.2999999999999998</v>
      </c>
      <c r="F44" s="2045"/>
      <c r="G44" s="2045">
        <v>2</v>
      </c>
      <c r="H44" s="2045"/>
      <c r="I44" s="2045">
        <v>2.3000000000000007</v>
      </c>
      <c r="J44" s="2045"/>
      <c r="K44" s="2045">
        <v>1.7000000000000002</v>
      </c>
      <c r="L44" s="2678"/>
      <c r="M44" s="2045">
        <v>1.6999999999999993</v>
      </c>
      <c r="N44" s="2678"/>
      <c r="O44" s="2045">
        <v>2.2999999999999998</v>
      </c>
      <c r="P44" s="2678"/>
      <c r="Q44" s="1830">
        <v>1.8999999999999986</v>
      </c>
      <c r="R44" s="2678"/>
      <c r="S44" s="1830">
        <v>5.1000000000000023</v>
      </c>
      <c r="T44" s="2678"/>
      <c r="U44" s="1830">
        <v>1.2999999999999998</v>
      </c>
      <c r="V44" s="2678"/>
      <c r="W44" s="1830">
        <v>1.5999999999999979</v>
      </c>
      <c r="X44" s="2678"/>
      <c r="Y44" s="1830">
        <f t="shared" si="2"/>
        <v>0.5</v>
      </c>
      <c r="Z44" s="2678"/>
      <c r="AA44" s="1830"/>
      <c r="AB44" s="2040"/>
      <c r="AC44" s="2084"/>
      <c r="AD44" s="2045">
        <v>22.7</v>
      </c>
      <c r="AE44" s="3313"/>
      <c r="AF44" s="2021"/>
      <c r="AG44" s="2045">
        <v>23.4</v>
      </c>
      <c r="AH44" s="2039"/>
      <c r="AI44" s="2686"/>
      <c r="AJ44" s="2040">
        <f t="shared" si="3"/>
        <v>-0.7</v>
      </c>
      <c r="AK44" s="2679"/>
      <c r="AL44" s="1770">
        <f>ROUND(IF(AG44=0,1,AJ44/ABS(AG44)),3)</f>
        <v>-0.03</v>
      </c>
      <c r="AM44" s="2636"/>
      <c r="AN44" s="2636"/>
    </row>
    <row r="45" spans="1:40" ht="15.75">
      <c r="A45" s="2089"/>
      <c r="B45" s="2538" t="s">
        <v>1035</v>
      </c>
      <c r="C45" s="2521"/>
      <c r="D45" s="2089"/>
      <c r="E45" s="2045">
        <v>1.1000000000000001</v>
      </c>
      <c r="F45" s="2045"/>
      <c r="G45" s="2045">
        <v>1</v>
      </c>
      <c r="H45" s="2045"/>
      <c r="I45" s="2045">
        <v>1</v>
      </c>
      <c r="J45" s="2045"/>
      <c r="K45" s="2045">
        <v>1.0999999999999992</v>
      </c>
      <c r="L45" s="2678"/>
      <c r="M45" s="2045">
        <v>1.0000000000000004</v>
      </c>
      <c r="N45" s="2678"/>
      <c r="O45" s="2045">
        <v>1</v>
      </c>
      <c r="P45" s="2678"/>
      <c r="Q45" s="1830">
        <v>1</v>
      </c>
      <c r="R45" s="2678"/>
      <c r="S45" s="1830">
        <v>0.90000000000000036</v>
      </c>
      <c r="T45" s="2678"/>
      <c r="U45" s="1830">
        <v>0.80000000000000027</v>
      </c>
      <c r="V45" s="2678"/>
      <c r="W45" s="1830">
        <v>0.79999999999999938</v>
      </c>
      <c r="X45" s="2678"/>
      <c r="Y45" s="1830">
        <f t="shared" si="2"/>
        <v>0.80000000000000071</v>
      </c>
      <c r="Z45" s="2678"/>
      <c r="AA45" s="1830"/>
      <c r="AB45" s="2040"/>
      <c r="AC45" s="2084"/>
      <c r="AD45" s="2045">
        <v>10.5</v>
      </c>
      <c r="AE45" s="3313"/>
      <c r="AF45" s="2021"/>
      <c r="AG45" s="2045">
        <v>10</v>
      </c>
      <c r="AH45" s="2039"/>
      <c r="AI45" s="2686"/>
      <c r="AJ45" s="2040">
        <f t="shared" si="3"/>
        <v>0.5</v>
      </c>
      <c r="AK45" s="2679"/>
      <c r="AL45" s="1765">
        <f>ROUND(IF(AG45=0,1,AJ45/ABS(AG45)),3)</f>
        <v>0.05</v>
      </c>
      <c r="AM45" s="2636"/>
      <c r="AN45" s="2636"/>
    </row>
    <row r="46" spans="1:40" ht="15.75">
      <c r="A46" s="2089"/>
      <c r="B46" s="2538" t="s">
        <v>1158</v>
      </c>
      <c r="C46" s="2521"/>
      <c r="D46" s="2089"/>
      <c r="E46" s="2045" t="s">
        <v>15</v>
      </c>
      <c r="F46" s="2045"/>
      <c r="G46" s="2045"/>
      <c r="H46" s="2045"/>
      <c r="I46" s="2045"/>
      <c r="J46" s="2045"/>
      <c r="K46" s="2045"/>
      <c r="L46" s="2678"/>
      <c r="M46" s="2045"/>
      <c r="N46" s="2678"/>
      <c r="O46" s="2045"/>
      <c r="P46" s="2678"/>
      <c r="Q46" s="1830"/>
      <c r="R46" s="2678"/>
      <c r="S46" s="1830"/>
      <c r="T46" s="2678"/>
      <c r="U46" s="1830"/>
      <c r="V46" s="2678"/>
      <c r="W46" s="1830"/>
      <c r="X46" s="2678"/>
      <c r="Y46" s="1830"/>
      <c r="Z46" s="2678"/>
      <c r="AA46" s="1830"/>
      <c r="AB46" s="2040"/>
      <c r="AC46" s="2084"/>
      <c r="AD46" s="2693"/>
      <c r="AE46" s="3313"/>
      <c r="AF46" s="2021"/>
      <c r="AG46" s="2693"/>
      <c r="AH46" s="2039"/>
      <c r="AI46" s="2686"/>
      <c r="AJ46" s="2040"/>
      <c r="AK46" s="2679"/>
      <c r="AL46" s="1839"/>
      <c r="AM46" s="2636"/>
      <c r="AN46" s="2636"/>
    </row>
    <row r="47" spans="1:40" ht="15.75">
      <c r="A47" s="2089"/>
      <c r="B47" s="2538" t="s">
        <v>1080</v>
      </c>
      <c r="C47" s="2521"/>
      <c r="D47" s="2089"/>
      <c r="E47" s="2045">
        <v>200.8</v>
      </c>
      <c r="F47" s="2045"/>
      <c r="G47" s="2045">
        <v>2.8</v>
      </c>
      <c r="H47" s="2045"/>
      <c r="I47" s="2045">
        <v>146.39999999999998</v>
      </c>
      <c r="J47" s="2045"/>
      <c r="K47" s="2045">
        <v>155.30000000000001</v>
      </c>
      <c r="L47" s="2678"/>
      <c r="M47" s="2045">
        <v>79.199999999999989</v>
      </c>
      <c r="N47" s="2678"/>
      <c r="O47" s="2045">
        <v>499.09999999999997</v>
      </c>
      <c r="P47" s="2678"/>
      <c r="Q47" s="1830">
        <v>1588.1999999999998</v>
      </c>
      <c r="R47" s="2678"/>
      <c r="S47" s="1830">
        <v>23.599999999999909</v>
      </c>
      <c r="T47" s="2678"/>
      <c r="U47" s="1830">
        <v>328.29999999999973</v>
      </c>
      <c r="V47" s="2678"/>
      <c r="W47" s="1830">
        <v>519.40000000000009</v>
      </c>
      <c r="X47" s="2678"/>
      <c r="Y47" s="1830">
        <f t="shared" si="2"/>
        <v>11.900000000000091</v>
      </c>
      <c r="Z47" s="2678"/>
      <c r="AA47" s="1830"/>
      <c r="AB47" s="2040"/>
      <c r="AC47" s="2084"/>
      <c r="AD47" s="2045">
        <v>3555</v>
      </c>
      <c r="AE47" s="3313"/>
      <c r="AF47" s="2021"/>
      <c r="AG47" s="2045">
        <v>4960.7</v>
      </c>
      <c r="AH47" s="2039"/>
      <c r="AI47" s="2686"/>
      <c r="AJ47" s="2040">
        <f t="shared" si="3"/>
        <v>-1405.7</v>
      </c>
      <c r="AK47" s="2679"/>
      <c r="AL47" s="1920">
        <f>ROUND(IF(AG47=0,1,AJ47/ABS(AG47)),3)</f>
        <v>-0.28299999999999997</v>
      </c>
      <c r="AM47" s="2636"/>
      <c r="AN47" s="2636"/>
    </row>
    <row r="48" spans="1:40" s="2698" customFormat="1" ht="15.75">
      <c r="A48" s="2695"/>
      <c r="B48" s="2538" t="s">
        <v>1082</v>
      </c>
      <c r="C48" s="2521"/>
      <c r="D48" s="2521"/>
      <c r="E48" s="2045">
        <v>0</v>
      </c>
      <c r="F48" s="2044"/>
      <c r="G48" s="2045">
        <v>0</v>
      </c>
      <c r="H48" s="2044"/>
      <c r="I48" s="2045">
        <v>0</v>
      </c>
      <c r="J48" s="2044"/>
      <c r="K48" s="2045">
        <v>0</v>
      </c>
      <c r="L48" s="2678"/>
      <c r="M48" s="2045">
        <v>0</v>
      </c>
      <c r="N48" s="2678"/>
      <c r="O48" s="2045">
        <v>0</v>
      </c>
      <c r="P48" s="2678"/>
      <c r="Q48" s="1830">
        <v>0</v>
      </c>
      <c r="R48" s="2678"/>
      <c r="S48" s="1830">
        <v>0</v>
      </c>
      <c r="T48" s="2678"/>
      <c r="U48" s="1830">
        <v>0</v>
      </c>
      <c r="V48" s="2678"/>
      <c r="W48" s="1830">
        <v>0</v>
      </c>
      <c r="X48" s="2678"/>
      <c r="Y48" s="1830">
        <f t="shared" si="2"/>
        <v>0</v>
      </c>
      <c r="Z48" s="2678"/>
      <c r="AA48" s="1830"/>
      <c r="AB48" s="2045"/>
      <c r="AC48" s="2046"/>
      <c r="AD48" s="2045">
        <v>0</v>
      </c>
      <c r="AE48" s="3320"/>
      <c r="AF48" s="2086"/>
      <c r="AG48" s="2045">
        <v>0</v>
      </c>
      <c r="AH48" s="2077"/>
      <c r="AI48" s="2686"/>
      <c r="AJ48" s="2045">
        <f t="shared" si="3"/>
        <v>0</v>
      </c>
      <c r="AK48" s="2696"/>
      <c r="AL48" s="1765">
        <f>ROUND(IF(AG48=0,0,AJ48/ABS(AG48)),3)</f>
        <v>0</v>
      </c>
      <c r="AM48" s="2697"/>
      <c r="AN48" s="2697"/>
    </row>
    <row r="49" spans="1:41" ht="15.75">
      <c r="A49" s="2089"/>
      <c r="B49" s="2538" t="s">
        <v>1083</v>
      </c>
      <c r="C49" s="2521"/>
      <c r="D49" s="2089"/>
      <c r="E49" s="2045">
        <v>3.5</v>
      </c>
      <c r="F49" s="2045"/>
      <c r="G49" s="2045">
        <v>0.10000000000000009</v>
      </c>
      <c r="H49" s="2045"/>
      <c r="I49" s="2045">
        <v>0.39999999999999991</v>
      </c>
      <c r="J49" s="2045"/>
      <c r="K49" s="2045">
        <v>-0.10000000000000009</v>
      </c>
      <c r="L49" s="2678"/>
      <c r="M49" s="2045">
        <v>0</v>
      </c>
      <c r="N49" s="2678"/>
      <c r="O49" s="2045">
        <v>0</v>
      </c>
      <c r="P49" s="2678"/>
      <c r="Q49" s="1830">
        <v>20.400000000000002</v>
      </c>
      <c r="R49" s="2678"/>
      <c r="S49" s="1830">
        <v>25.3</v>
      </c>
      <c r="T49" s="2678"/>
      <c r="U49" s="1830">
        <v>0.39999999999999858</v>
      </c>
      <c r="V49" s="2678"/>
      <c r="W49" s="1830">
        <v>2.2999999999999972</v>
      </c>
      <c r="X49" s="2678"/>
      <c r="Y49" s="1830">
        <f t="shared" si="2"/>
        <v>0.90000000000000568</v>
      </c>
      <c r="Z49" s="2678"/>
      <c r="AA49" s="1830"/>
      <c r="AB49" s="2040"/>
      <c r="AC49" s="2084"/>
      <c r="AD49" s="2045">
        <v>53.2</v>
      </c>
      <c r="AE49" s="3313"/>
      <c r="AF49" s="2021"/>
      <c r="AG49" s="2045">
        <v>5.6</v>
      </c>
      <c r="AH49" s="2039"/>
      <c r="AI49" s="2686"/>
      <c r="AJ49" s="2040">
        <f t="shared" si="3"/>
        <v>47.6</v>
      </c>
      <c r="AK49" s="2679"/>
      <c r="AL49" s="2699">
        <f>ROUND(IF(AG49=0,1,AJ49/ABS(AG49)),3)</f>
        <v>8.5</v>
      </c>
      <c r="AM49" s="2636"/>
      <c r="AN49" s="2636"/>
    </row>
    <row r="50" spans="1:41" ht="15.75">
      <c r="A50" s="2089"/>
      <c r="B50" s="2538" t="s">
        <v>1053</v>
      </c>
      <c r="C50" s="2521"/>
      <c r="D50" s="2089"/>
      <c r="E50" s="2045">
        <v>0.3</v>
      </c>
      <c r="F50" s="2045"/>
      <c r="G50" s="2045">
        <v>0</v>
      </c>
      <c r="H50" s="2045"/>
      <c r="I50" s="2045">
        <v>0.3</v>
      </c>
      <c r="J50" s="2045"/>
      <c r="K50" s="2045">
        <v>0</v>
      </c>
      <c r="L50" s="2678"/>
      <c r="M50" s="2045">
        <v>0.3000000000000001</v>
      </c>
      <c r="N50" s="2678"/>
      <c r="O50" s="2045">
        <v>0.1999999999999999</v>
      </c>
      <c r="P50" s="2678"/>
      <c r="Q50" s="1830">
        <v>0.19999999999999996</v>
      </c>
      <c r="R50" s="2678"/>
      <c r="S50" s="1830">
        <v>0.39999999999999991</v>
      </c>
      <c r="T50" s="2678"/>
      <c r="U50" s="1830">
        <v>0.10000000000000009</v>
      </c>
      <c r="V50" s="2678"/>
      <c r="W50" s="1830">
        <v>1.3000000000000005</v>
      </c>
      <c r="X50" s="2678"/>
      <c r="Y50" s="1830">
        <f t="shared" si="2"/>
        <v>0.69999999999999951</v>
      </c>
      <c r="Z50" s="2678"/>
      <c r="AA50" s="1830"/>
      <c r="AB50" s="2040"/>
      <c r="AC50" s="2084"/>
      <c r="AD50" s="2045">
        <v>3.8</v>
      </c>
      <c r="AE50" s="3313"/>
      <c r="AF50" s="2021"/>
      <c r="AG50" s="2045">
        <v>1.2</v>
      </c>
      <c r="AH50" s="2039"/>
      <c r="AI50" s="2686"/>
      <c r="AJ50" s="2040">
        <f t="shared" si="3"/>
        <v>2.6</v>
      </c>
      <c r="AK50" s="2679"/>
      <c r="AL50" s="1690">
        <f>ROUND(IF(AG50=0,1,AJ50/ABS(AG50)),3)</f>
        <v>2.1669999999999998</v>
      </c>
      <c r="AM50" s="2636"/>
      <c r="AN50" s="2636"/>
    </row>
    <row r="51" spans="1:41" ht="15.75">
      <c r="A51" s="2089"/>
      <c r="B51" s="2538" t="s">
        <v>1054</v>
      </c>
      <c r="C51" s="2521"/>
      <c r="D51" s="2089"/>
      <c r="E51" s="2045">
        <v>0.8</v>
      </c>
      <c r="F51" s="2045"/>
      <c r="G51" s="2045">
        <v>0.8</v>
      </c>
      <c r="H51" s="2045"/>
      <c r="I51" s="2045">
        <v>0.39999999999999991</v>
      </c>
      <c r="J51" s="2045"/>
      <c r="K51" s="2045">
        <v>0.5</v>
      </c>
      <c r="L51" s="2678"/>
      <c r="M51" s="2045">
        <v>1.6</v>
      </c>
      <c r="N51" s="2678"/>
      <c r="O51" s="2045">
        <v>0.59999999999999964</v>
      </c>
      <c r="P51" s="2678"/>
      <c r="Q51" s="1830">
        <v>0.60000000000000053</v>
      </c>
      <c r="R51" s="2678"/>
      <c r="S51" s="1830">
        <v>0.69999999999999973</v>
      </c>
      <c r="T51" s="2678"/>
      <c r="U51" s="1830">
        <v>0.40000000000000036</v>
      </c>
      <c r="V51" s="2678"/>
      <c r="W51" s="1830">
        <v>1</v>
      </c>
      <c r="X51" s="2678"/>
      <c r="Y51" s="1830">
        <f t="shared" si="2"/>
        <v>0.19999999999999929</v>
      </c>
      <c r="Z51" s="2678"/>
      <c r="AA51" s="1830"/>
      <c r="AB51" s="2040"/>
      <c r="AC51" s="2084"/>
      <c r="AD51" s="2045">
        <v>7.6</v>
      </c>
      <c r="AE51" s="3313"/>
      <c r="AF51" s="2021"/>
      <c r="AG51" s="2045">
        <v>11.2</v>
      </c>
      <c r="AH51" s="2039"/>
      <c r="AI51" s="2686"/>
      <c r="AJ51" s="2040">
        <f t="shared" si="3"/>
        <v>-3.6</v>
      </c>
      <c r="AK51" s="2679"/>
      <c r="AL51" s="1690">
        <f>ROUND(IF(AG51=0,0,AJ51/ABS(AG51)),3)</f>
        <v>-0.32100000000000001</v>
      </c>
      <c r="AM51" s="2636"/>
      <c r="AN51" s="2636"/>
    </row>
    <row r="52" spans="1:41" ht="15.75">
      <c r="A52" s="2089"/>
      <c r="B52" s="2538" t="s">
        <v>1159</v>
      </c>
      <c r="C52" s="2521"/>
      <c r="D52" s="2089"/>
      <c r="E52" s="2045" t="s">
        <v>15</v>
      </c>
      <c r="F52" s="2045"/>
      <c r="G52" s="2045"/>
      <c r="H52" s="2045"/>
      <c r="I52" s="2045"/>
      <c r="J52" s="2045"/>
      <c r="K52" s="2045"/>
      <c r="L52" s="2678"/>
      <c r="M52" s="2045"/>
      <c r="N52" s="2678"/>
      <c r="O52" s="2045"/>
      <c r="P52" s="2678"/>
      <c r="Q52" s="1830"/>
      <c r="R52" s="2678"/>
      <c r="S52" s="1830"/>
      <c r="T52" s="2678"/>
      <c r="U52" s="1830"/>
      <c r="V52" s="2678"/>
      <c r="W52" s="1830"/>
      <c r="X52" s="2678"/>
      <c r="Y52" s="1830"/>
      <c r="Z52" s="2678"/>
      <c r="AA52" s="1830"/>
      <c r="AB52" s="2040"/>
      <c r="AC52" s="2084"/>
      <c r="AD52" s="2693"/>
      <c r="AE52" s="3313"/>
      <c r="AF52" s="2021"/>
      <c r="AG52" s="2693"/>
      <c r="AH52" s="2039"/>
      <c r="AI52" s="2686"/>
      <c r="AJ52" s="2040"/>
      <c r="AK52" s="2679"/>
      <c r="AL52" s="1839"/>
      <c r="AM52" s="2636"/>
      <c r="AN52" s="2636"/>
    </row>
    <row r="53" spans="1:41" ht="15.75">
      <c r="A53" s="2089"/>
      <c r="B53" s="2538" t="s">
        <v>1084</v>
      </c>
      <c r="C53" s="2521"/>
      <c r="D53" s="2089"/>
      <c r="E53" s="2045">
        <v>0</v>
      </c>
      <c r="F53" s="2044"/>
      <c r="G53" s="2045">
        <v>0</v>
      </c>
      <c r="H53" s="2045"/>
      <c r="I53" s="2045">
        <v>0</v>
      </c>
      <c r="J53" s="2045"/>
      <c r="K53" s="2045">
        <v>0</v>
      </c>
      <c r="L53" s="2678"/>
      <c r="M53" s="2045">
        <v>0</v>
      </c>
      <c r="N53" s="2678"/>
      <c r="O53" s="2045">
        <v>0</v>
      </c>
      <c r="P53" s="2678"/>
      <c r="Q53" s="1830">
        <v>0</v>
      </c>
      <c r="R53" s="2678"/>
      <c r="S53" s="1830">
        <v>0</v>
      </c>
      <c r="T53" s="2678"/>
      <c r="U53" s="1830">
        <v>0</v>
      </c>
      <c r="V53" s="2678"/>
      <c r="W53" s="1830">
        <v>0</v>
      </c>
      <c r="X53" s="2678"/>
      <c r="Y53" s="1830">
        <f t="shared" si="2"/>
        <v>0</v>
      </c>
      <c r="Z53" s="2678"/>
      <c r="AA53" s="1830"/>
      <c r="AB53" s="2040"/>
      <c r="AC53" s="2084"/>
      <c r="AD53" s="2045">
        <v>0</v>
      </c>
      <c r="AE53" s="3313"/>
      <c r="AF53" s="2021"/>
      <c r="AG53" s="2045">
        <v>0</v>
      </c>
      <c r="AH53" s="2039"/>
      <c r="AI53" s="2686"/>
      <c r="AJ53" s="2040">
        <f t="shared" si="3"/>
        <v>0</v>
      </c>
      <c r="AK53" s="2679"/>
      <c r="AL53" s="1690">
        <f>ROUND(IF(AG53=0,0,AJ53/ABS(AG53)),3)</f>
        <v>0</v>
      </c>
      <c r="AM53" s="2636"/>
      <c r="AN53" s="2636"/>
    </row>
    <row r="54" spans="1:41" ht="15.75">
      <c r="A54" s="2089"/>
      <c r="B54" s="2538" t="s">
        <v>1086</v>
      </c>
      <c r="C54" s="2521"/>
      <c r="D54" s="2089"/>
      <c r="E54" s="2045">
        <v>10.1</v>
      </c>
      <c r="F54" s="2044"/>
      <c r="G54" s="2045">
        <v>0.5</v>
      </c>
      <c r="H54" s="2045"/>
      <c r="I54" s="2045">
        <v>0.30000000000000071</v>
      </c>
      <c r="J54" s="2045"/>
      <c r="K54" s="2045">
        <v>0.59999999999999964</v>
      </c>
      <c r="L54" s="2678"/>
      <c r="M54" s="2045">
        <v>0.30000000000000071</v>
      </c>
      <c r="N54" s="2678"/>
      <c r="O54" s="2045">
        <v>0.29999999999999893</v>
      </c>
      <c r="P54" s="2678"/>
      <c r="Q54" s="1830">
        <v>3.4000000000000004</v>
      </c>
      <c r="R54" s="2678"/>
      <c r="S54" s="1830">
        <v>1.6999999999999993</v>
      </c>
      <c r="T54" s="2678"/>
      <c r="U54" s="1830">
        <v>2.8000000000000007</v>
      </c>
      <c r="V54" s="2678"/>
      <c r="W54" s="1830">
        <v>0.39999999999999858</v>
      </c>
      <c r="X54" s="2678"/>
      <c r="Y54" s="1830">
        <f t="shared" si="2"/>
        <v>14.200000000000003</v>
      </c>
      <c r="Z54" s="2678"/>
      <c r="AA54" s="1830"/>
      <c r="AB54" s="2040"/>
      <c r="AC54" s="2084"/>
      <c r="AD54" s="2045">
        <v>34.6</v>
      </c>
      <c r="AE54" s="3313"/>
      <c r="AF54" s="2021"/>
      <c r="AG54" s="2045">
        <v>5.6</v>
      </c>
      <c r="AH54" s="2039"/>
      <c r="AI54" s="2686"/>
      <c r="AJ54" s="2040">
        <f t="shared" si="3"/>
        <v>29</v>
      </c>
      <c r="AK54" s="2679"/>
      <c r="AL54" s="2246">
        <f>ROUND(IF(AG54=0,1,AJ54/ABS(AG54)),3)</f>
        <v>5.1790000000000003</v>
      </c>
      <c r="AM54" s="2636"/>
      <c r="AN54" s="2636"/>
    </row>
    <row r="55" spans="1:41" ht="15.75">
      <c r="A55" s="2089"/>
      <c r="B55" s="2538" t="s">
        <v>1087</v>
      </c>
      <c r="C55" s="2521"/>
      <c r="D55" s="2089"/>
      <c r="E55" s="2045">
        <v>-0.9</v>
      </c>
      <c r="F55" s="2044"/>
      <c r="G55" s="2045">
        <v>0</v>
      </c>
      <c r="H55" s="2045"/>
      <c r="I55" s="2045">
        <v>0</v>
      </c>
      <c r="J55" s="2045"/>
      <c r="K55" s="2045">
        <v>0</v>
      </c>
      <c r="L55" s="2678"/>
      <c r="M55" s="2045">
        <v>0</v>
      </c>
      <c r="N55" s="2678"/>
      <c r="O55" s="2045">
        <v>0</v>
      </c>
      <c r="P55" s="2678"/>
      <c r="Q55" s="1830">
        <v>0</v>
      </c>
      <c r="R55" s="2678"/>
      <c r="S55" s="1830">
        <v>0</v>
      </c>
      <c r="T55" s="2678"/>
      <c r="U55" s="1830">
        <v>0</v>
      </c>
      <c r="V55" s="2678"/>
      <c r="W55" s="1830">
        <v>0</v>
      </c>
      <c r="X55" s="2678"/>
      <c r="Y55" s="1830">
        <f t="shared" si="2"/>
        <v>0</v>
      </c>
      <c r="Z55" s="2678"/>
      <c r="AA55" s="1830"/>
      <c r="AB55" s="2040"/>
      <c r="AC55" s="2084"/>
      <c r="AD55" s="2045">
        <v>-0.9</v>
      </c>
      <c r="AE55" s="2232"/>
      <c r="AF55" s="2021"/>
      <c r="AG55" s="2045">
        <v>0</v>
      </c>
      <c r="AH55" s="2039"/>
      <c r="AI55" s="2686"/>
      <c r="AJ55" s="2040">
        <f t="shared" si="3"/>
        <v>-0.9</v>
      </c>
      <c r="AK55" s="2679"/>
      <c r="AL55" s="1690">
        <f>ROUND(IF(AG55=0,-1,AJ55/ABS(AG55)),3)</f>
        <v>-1</v>
      </c>
      <c r="AM55" s="2636"/>
      <c r="AN55" s="2636"/>
    </row>
    <row r="56" spans="1:41" ht="15.75">
      <c r="A56" s="2089"/>
      <c r="B56" s="2538" t="s">
        <v>1089</v>
      </c>
      <c r="C56" s="2521"/>
      <c r="D56" s="2089"/>
      <c r="E56" s="2045">
        <v>0</v>
      </c>
      <c r="F56" s="2044"/>
      <c r="G56" s="2045">
        <v>0.1</v>
      </c>
      <c r="H56" s="2045"/>
      <c r="I56" s="2045">
        <v>0.1</v>
      </c>
      <c r="J56" s="2045"/>
      <c r="K56" s="2045">
        <v>0</v>
      </c>
      <c r="L56" s="2678"/>
      <c r="M56" s="2045">
        <v>0</v>
      </c>
      <c r="N56" s="2678"/>
      <c r="O56" s="2045">
        <v>0</v>
      </c>
      <c r="P56" s="2678"/>
      <c r="Q56" s="1830">
        <v>0</v>
      </c>
      <c r="R56" s="2678"/>
      <c r="S56" s="1830">
        <v>0</v>
      </c>
      <c r="T56" s="2678"/>
      <c r="U56" s="1830">
        <v>0</v>
      </c>
      <c r="V56" s="2678"/>
      <c r="W56" s="1830">
        <v>0</v>
      </c>
      <c r="X56" s="2678"/>
      <c r="Y56" s="1830">
        <f t="shared" si="2"/>
        <v>0</v>
      </c>
      <c r="Z56" s="2678"/>
      <c r="AA56" s="1830"/>
      <c r="AB56" s="2040"/>
      <c r="AC56" s="2084"/>
      <c r="AD56" s="2045">
        <v>0.2</v>
      </c>
      <c r="AE56" s="3321"/>
      <c r="AF56" s="2021"/>
      <c r="AG56" s="2045">
        <v>0.4</v>
      </c>
      <c r="AH56" s="2039"/>
      <c r="AI56" s="2686"/>
      <c r="AJ56" s="2040">
        <f>ROUND(AD56-AG56,1)</f>
        <v>-0.2</v>
      </c>
      <c r="AK56" s="2679"/>
      <c r="AL56" s="1690">
        <f>ROUND(IF(AG56=0,0,AJ56/ABS(AG56)),3)</f>
        <v>-0.5</v>
      </c>
      <c r="AM56" s="2636"/>
      <c r="AN56" s="2636"/>
    </row>
    <row r="57" spans="1:41" ht="15.75">
      <c r="A57" s="2089"/>
      <c r="B57" s="2538" t="s">
        <v>1090</v>
      </c>
      <c r="C57" s="2521"/>
      <c r="D57" s="2089"/>
      <c r="E57" s="2045">
        <v>0.2</v>
      </c>
      <c r="F57" s="2044"/>
      <c r="G57" s="2045">
        <v>0.49999999999999994</v>
      </c>
      <c r="H57" s="2045"/>
      <c r="I57" s="2045">
        <v>0.40000000000000019</v>
      </c>
      <c r="J57" s="2045"/>
      <c r="K57" s="2045">
        <v>9.9999999999999811E-2</v>
      </c>
      <c r="L57" s="2678"/>
      <c r="M57" s="2045">
        <v>0.20000000000000018</v>
      </c>
      <c r="N57" s="2678"/>
      <c r="O57" s="2045">
        <v>9.9999999999999867E-2</v>
      </c>
      <c r="P57" s="2678"/>
      <c r="Q57" s="1830">
        <v>2.5</v>
      </c>
      <c r="R57" s="2678"/>
      <c r="S57" s="1830">
        <v>0.29999999999999982</v>
      </c>
      <c r="T57" s="2678"/>
      <c r="U57" s="1830">
        <v>6.5000000000000027</v>
      </c>
      <c r="V57" s="2678"/>
      <c r="W57" s="1830">
        <v>1.1999999999999993</v>
      </c>
      <c r="X57" s="2678"/>
      <c r="Y57" s="1830">
        <f t="shared" si="2"/>
        <v>9.9999999999997868E-2</v>
      </c>
      <c r="Z57" s="2678"/>
      <c r="AA57" s="1830"/>
      <c r="AB57" s="2040"/>
      <c r="AC57" s="2084"/>
      <c r="AD57" s="2045">
        <v>12.1</v>
      </c>
      <c r="AE57" s="3313"/>
      <c r="AF57" s="2021"/>
      <c r="AG57" s="2045">
        <v>9</v>
      </c>
      <c r="AH57" s="2039"/>
      <c r="AI57" s="2686"/>
      <c r="AJ57" s="2040">
        <f t="shared" si="3"/>
        <v>3.1</v>
      </c>
      <c r="AK57" s="2679"/>
      <c r="AL57" s="1920">
        <f>ROUND(IF(AG57=0,1,AJ57/ABS(AG57)),3)</f>
        <v>0.34399999999999997</v>
      </c>
      <c r="AM57" s="2636"/>
      <c r="AN57" s="2636"/>
    </row>
    <row r="58" spans="1:41" ht="15.75">
      <c r="A58" s="2089"/>
      <c r="B58" s="2538" t="s">
        <v>1092</v>
      </c>
      <c r="C58" s="2521"/>
      <c r="D58" s="2089"/>
      <c r="E58" s="2045">
        <v>3.6</v>
      </c>
      <c r="F58" s="2044"/>
      <c r="G58" s="2045">
        <v>0.80000000000000027</v>
      </c>
      <c r="H58" s="2045"/>
      <c r="I58" s="2045">
        <v>1.0999999999999996</v>
      </c>
      <c r="J58" s="2045"/>
      <c r="K58" s="2045">
        <v>14.499999999999998</v>
      </c>
      <c r="L58" s="2678"/>
      <c r="M58" s="2045">
        <v>12.300000000000006</v>
      </c>
      <c r="N58" s="2678"/>
      <c r="O58" s="2045">
        <v>4.8999999999999968</v>
      </c>
      <c r="P58" s="2678"/>
      <c r="Q58" s="1830">
        <v>4.3999999999999986</v>
      </c>
      <c r="R58" s="2678"/>
      <c r="S58" s="1830">
        <v>3.1999999999999957</v>
      </c>
      <c r="T58" s="2678"/>
      <c r="U58" s="1830">
        <v>2.9000000000000057</v>
      </c>
      <c r="V58" s="2678"/>
      <c r="W58" s="1830">
        <v>6.6999999999999957</v>
      </c>
      <c r="X58" s="2678"/>
      <c r="Y58" s="1830">
        <f t="shared" si="2"/>
        <v>3.6000000000000014</v>
      </c>
      <c r="Z58" s="2678"/>
      <c r="AA58" s="1830"/>
      <c r="AB58" s="2040"/>
      <c r="AC58" s="2084"/>
      <c r="AD58" s="1847">
        <v>58</v>
      </c>
      <c r="AE58" s="3313"/>
      <c r="AF58" s="2021"/>
      <c r="AG58" s="1847">
        <v>15</v>
      </c>
      <c r="AH58" s="2039"/>
      <c r="AI58" s="2686"/>
      <c r="AJ58" s="2040">
        <f t="shared" si="3"/>
        <v>43</v>
      </c>
      <c r="AK58" s="2679"/>
      <c r="AL58" s="2246">
        <f>ROUND(IF(AG58=0,0,AJ58/ABS(AG58)),3)</f>
        <v>2.867</v>
      </c>
      <c r="AM58" s="2636"/>
      <c r="AN58" s="2636"/>
    </row>
    <row r="59" spans="1:41" ht="15.75">
      <c r="A59" s="2089"/>
      <c r="B59" s="2538" t="s">
        <v>1064</v>
      </c>
      <c r="C59" s="2521"/>
      <c r="D59" s="2089"/>
      <c r="E59" s="2045">
        <v>4.1999999999999993</v>
      </c>
      <c r="F59" s="2044"/>
      <c r="G59" s="2045">
        <v>0</v>
      </c>
      <c r="H59" s="2045"/>
      <c r="I59" s="2045">
        <v>0</v>
      </c>
      <c r="J59" s="2045"/>
      <c r="K59" s="2045">
        <v>0</v>
      </c>
      <c r="L59" s="2678"/>
      <c r="M59" s="2045">
        <v>0</v>
      </c>
      <c r="N59" s="2678"/>
      <c r="O59" s="2045">
        <v>0</v>
      </c>
      <c r="P59" s="2678"/>
      <c r="Q59" s="1830">
        <v>0.10000000000000053</v>
      </c>
      <c r="R59" s="2678"/>
      <c r="S59" s="1830">
        <v>0.19999999999999929</v>
      </c>
      <c r="T59" s="2678"/>
      <c r="U59" s="1830">
        <v>0.10000000000000053</v>
      </c>
      <c r="V59" s="2678"/>
      <c r="W59" s="1830">
        <v>0</v>
      </c>
      <c r="X59" s="2678"/>
      <c r="Y59" s="1830">
        <f t="shared" si="2"/>
        <v>0</v>
      </c>
      <c r="Z59" s="2678"/>
      <c r="AA59" s="1830"/>
      <c r="AB59" s="2040"/>
      <c r="AC59" s="2084"/>
      <c r="AD59" s="1847">
        <v>4.5999999999999996</v>
      </c>
      <c r="AE59" s="3313"/>
      <c r="AF59" s="2021"/>
      <c r="AG59" s="1847">
        <v>2.2000000000000002</v>
      </c>
      <c r="AH59" s="2039"/>
      <c r="AI59" s="2686"/>
      <c r="AJ59" s="2040">
        <f t="shared" si="3"/>
        <v>2.4</v>
      </c>
      <c r="AK59" s="2679"/>
      <c r="AL59" s="1835">
        <f>ROUND(IF(AG59=0,1,AJ59/ABS(AG59)),3)</f>
        <v>1.091</v>
      </c>
      <c r="AM59" s="2636"/>
      <c r="AN59" s="2700"/>
    </row>
    <row r="60" spans="1:41" s="2692" customFormat="1" ht="15.75" collapsed="1">
      <c r="A60" s="2479"/>
      <c r="B60" s="2525" t="s">
        <v>1201</v>
      </c>
      <c r="C60" s="2479"/>
      <c r="D60" s="2479"/>
      <c r="E60" s="1488">
        <f>ROUND(SUM(E34:E59),1)</f>
        <v>304.10000000000002</v>
      </c>
      <c r="F60" s="2095"/>
      <c r="G60" s="1488">
        <f>ROUND(SUM(G34:G59),1)</f>
        <v>92.9</v>
      </c>
      <c r="H60" s="2701"/>
      <c r="I60" s="1488">
        <f>ROUND(SUM(I34:I59),1)</f>
        <v>253.5</v>
      </c>
      <c r="J60" s="2095"/>
      <c r="K60" s="1488">
        <f>ROUND(SUM(K34:K59),1)</f>
        <v>245.2</v>
      </c>
      <c r="L60" s="1471"/>
      <c r="M60" s="1488">
        <f>ROUND(SUM(M34:M59),1)</f>
        <v>179.5</v>
      </c>
      <c r="N60" s="1471"/>
      <c r="O60" s="1488">
        <f>ROUND(SUM(O34:O59),1)</f>
        <v>581.5</v>
      </c>
      <c r="P60" s="2051"/>
      <c r="Q60" s="1488">
        <f>ROUND(SUM(Q34:Q59),1)</f>
        <v>1702.4</v>
      </c>
      <c r="R60" s="2051"/>
      <c r="S60" s="1488">
        <f>ROUND(SUM(S34:S59),1)</f>
        <v>128.69999999999999</v>
      </c>
      <c r="T60" s="2051"/>
      <c r="U60" s="1488">
        <f>ROUND(SUM(U34:U59),1)</f>
        <v>404.1</v>
      </c>
      <c r="V60" s="2040"/>
      <c r="W60" s="1488">
        <f>ROUND(SUM(W34:W59),1)</f>
        <v>619.4</v>
      </c>
      <c r="X60" s="2040"/>
      <c r="Y60" s="1488">
        <f>ROUND(SUM(Y34:Y59),1)</f>
        <v>105.1</v>
      </c>
      <c r="Z60" s="2040"/>
      <c r="AA60" s="1488">
        <f>ROUND(SUM(AA34:AA59),1)</f>
        <v>0</v>
      </c>
      <c r="AB60" s="2095"/>
      <c r="AC60" s="2609"/>
      <c r="AD60" s="1488">
        <f>ROUND(SUM(AD34:AD59),1)</f>
        <v>4616.3999999999996</v>
      </c>
      <c r="AE60" s="3322"/>
      <c r="AF60" s="1490"/>
      <c r="AG60" s="1488">
        <f>ROUND(SUM(AG34:AG59),1)</f>
        <v>5887.7</v>
      </c>
      <c r="AH60" s="2690"/>
      <c r="AI60" s="2686"/>
      <c r="AJ60" s="1488">
        <f>ROUND(SUM(AJ34:AJ59),1)</f>
        <v>-1271.3</v>
      </c>
      <c r="AK60" s="2702"/>
      <c r="AL60" s="2247">
        <f>ROUND(IF(AG60=0,0,AJ60/ABS(AG60)),3)</f>
        <v>-0.216</v>
      </c>
      <c r="AM60" s="2703"/>
      <c r="AN60" s="2703"/>
    </row>
    <row r="61" spans="1:41" s="2692" customFormat="1" ht="15.75">
      <c r="A61" s="2479"/>
      <c r="B61" s="2525"/>
      <c r="C61" s="2479"/>
      <c r="D61" s="2479"/>
      <c r="E61" s="1490"/>
      <c r="F61" s="2095"/>
      <c r="G61" s="1490"/>
      <c r="H61" s="2701"/>
      <c r="I61" s="1490"/>
      <c r="J61" s="2095"/>
      <c r="K61" s="1490"/>
      <c r="L61" s="2678"/>
      <c r="M61" s="1830"/>
      <c r="N61" s="2678"/>
      <c r="O61" s="1830"/>
      <c r="P61" s="2678"/>
      <c r="Q61" s="1830"/>
      <c r="R61" s="2678"/>
      <c r="S61" s="1830"/>
      <c r="T61" s="2678"/>
      <c r="U61" s="1830"/>
      <c r="V61" s="2678"/>
      <c r="W61" s="1830"/>
      <c r="X61" s="2678"/>
      <c r="Y61" s="1830"/>
      <c r="Z61" s="2678"/>
      <c r="AA61" s="1830"/>
      <c r="AB61" s="2095"/>
      <c r="AC61" s="2609"/>
      <c r="AD61" s="1490"/>
      <c r="AE61" s="3323"/>
      <c r="AF61" s="1490"/>
      <c r="AG61" s="1490"/>
      <c r="AH61" s="2690"/>
      <c r="AI61" s="2686"/>
      <c r="AJ61" s="1490"/>
      <c r="AK61" s="2702"/>
      <c r="AL61" s="2704"/>
      <c r="AM61" s="2703"/>
      <c r="AN61" s="2703"/>
    </row>
    <row r="62" spans="1:41" ht="15.75">
      <c r="A62" s="2089"/>
      <c r="B62" s="2089" t="s">
        <v>150</v>
      </c>
      <c r="C62" s="2089"/>
      <c r="D62" s="2089"/>
      <c r="E62" s="2045">
        <v>0</v>
      </c>
      <c r="F62" s="2045"/>
      <c r="G62" s="2045">
        <v>0</v>
      </c>
      <c r="H62" s="2045"/>
      <c r="I62" s="2045">
        <v>0</v>
      </c>
      <c r="J62" s="2045"/>
      <c r="K62" s="2045">
        <v>0</v>
      </c>
      <c r="L62" s="2678"/>
      <c r="M62" s="2045">
        <v>0</v>
      </c>
      <c r="N62" s="2678"/>
      <c r="O62" s="2045">
        <v>2.2999999999999998</v>
      </c>
      <c r="P62" s="2678"/>
      <c r="Q62" s="1830">
        <v>0</v>
      </c>
      <c r="R62" s="2678"/>
      <c r="S62" s="1830">
        <v>0</v>
      </c>
      <c r="T62" s="2678"/>
      <c r="U62" s="1830">
        <v>0</v>
      </c>
      <c r="V62" s="2678"/>
      <c r="W62" s="1830">
        <v>0</v>
      </c>
      <c r="X62" s="2678"/>
      <c r="Y62" s="1830">
        <f t="shared" ref="Y62" si="4">$AD62-$E62-$G62-$I62-$K62-$M62-$O62-$Q62-$S62-$U62-$W62</f>
        <v>0</v>
      </c>
      <c r="Z62" s="2678"/>
      <c r="AA62" s="1830"/>
      <c r="AB62" s="2040"/>
      <c r="AC62" s="2084"/>
      <c r="AD62" s="2045">
        <v>2.2999999999999998</v>
      </c>
      <c r="AE62" s="3310"/>
      <c r="AF62" s="2021"/>
      <c r="AG62" s="2045">
        <v>2.5</v>
      </c>
      <c r="AH62" s="2039"/>
      <c r="AI62" s="2671"/>
      <c r="AJ62" s="2040">
        <f>ROUND(AD62-AG62,1)</f>
        <v>-0.2</v>
      </c>
      <c r="AK62" s="2679"/>
      <c r="AL62" s="1690">
        <f>ROUND(IF(AG62=0,0,AJ62/ABS(AG62)),3)</f>
        <v>-0.08</v>
      </c>
      <c r="AM62" s="2636"/>
      <c r="AN62" s="2636"/>
    </row>
    <row r="63" spans="1:41" ht="15.75">
      <c r="A63" s="2089"/>
      <c r="B63" s="2089"/>
      <c r="C63" s="2089"/>
      <c r="D63" s="2089"/>
      <c r="E63" s="2547"/>
      <c r="F63" s="2045"/>
      <c r="G63" s="2547"/>
      <c r="H63" s="2045"/>
      <c r="I63" s="2547"/>
      <c r="J63" s="2045"/>
      <c r="K63" s="2705"/>
      <c r="L63" s="2678"/>
      <c r="M63" s="2706"/>
      <c r="N63" s="2707"/>
      <c r="O63" s="2706"/>
      <c r="P63" s="2707"/>
      <c r="Q63" s="2706"/>
      <c r="R63" s="2707"/>
      <c r="S63" s="2706"/>
      <c r="T63" s="2707"/>
      <c r="U63" s="2706"/>
      <c r="V63" s="2707"/>
      <c r="W63" s="2706"/>
      <c r="X63" s="2707"/>
      <c r="Y63" s="2706"/>
      <c r="Z63" s="2707"/>
      <c r="AA63" s="2706"/>
      <c r="AB63" s="2040"/>
      <c r="AC63" s="2084"/>
      <c r="AD63" s="2096"/>
      <c r="AE63" s="3310"/>
      <c r="AF63" s="2021"/>
      <c r="AG63" s="2096"/>
      <c r="AH63" s="2021"/>
      <c r="AI63" s="2671"/>
      <c r="AJ63" s="2096"/>
      <c r="AK63" s="2669"/>
      <c r="AL63" s="2220"/>
      <c r="AM63" s="2636"/>
      <c r="AN63" s="2636"/>
    </row>
    <row r="64" spans="1:41" ht="15.75">
      <c r="A64" s="2089"/>
      <c r="B64" s="2479" t="s">
        <v>197</v>
      </c>
      <c r="C64" s="2089"/>
      <c r="D64" s="2089"/>
      <c r="E64" s="2099">
        <f>ROUND(SUM(E32+E60+E62),1)</f>
        <v>417.8</v>
      </c>
      <c r="F64" s="2095"/>
      <c r="G64" s="2708">
        <f>ROUND(SUM(G32+G60+G62),1)</f>
        <v>194.3</v>
      </c>
      <c r="H64" s="2095"/>
      <c r="I64" s="2708">
        <f>ROUND(SUM(I32+I60+I62),1)</f>
        <v>391.6</v>
      </c>
      <c r="J64" s="2095"/>
      <c r="K64" s="2708">
        <f>ROUND(SUM(K32+K60+K62),1)</f>
        <v>354.6</v>
      </c>
      <c r="L64" s="1489"/>
      <c r="M64" s="1597">
        <f>ROUND(SUM(M32+M60+M62),1)</f>
        <v>300</v>
      </c>
      <c r="N64" s="1490"/>
      <c r="O64" s="1597">
        <f>ROUND(SUM(O32+O60+O62),1)</f>
        <v>734.4</v>
      </c>
      <c r="P64" s="1490"/>
      <c r="Q64" s="1597">
        <f>ROUND(SUM(Q32+Q60+Q62),1)</f>
        <v>1819</v>
      </c>
      <c r="R64" s="1490"/>
      <c r="S64" s="1597">
        <f>ROUND(SUM(S32+S60+S62),1)</f>
        <v>236.8</v>
      </c>
      <c r="T64" s="1490"/>
      <c r="U64" s="1597">
        <f>ROUND(SUM(U32+U60+U62),1)</f>
        <v>536</v>
      </c>
      <c r="V64" s="1490"/>
      <c r="W64" s="1597">
        <f>ROUND(SUM(W32+W60+W62),1)</f>
        <v>731.9</v>
      </c>
      <c r="X64" s="1490"/>
      <c r="Y64" s="1597">
        <f>ROUND(SUM(Y32+Y60+Y62),1)</f>
        <v>199.1</v>
      </c>
      <c r="Z64" s="1490"/>
      <c r="AA64" s="1597">
        <f>ROUND(SUM(AA32+AA60+AA62),1)</f>
        <v>0</v>
      </c>
      <c r="AB64" s="2095"/>
      <c r="AC64" s="2609"/>
      <c r="AD64" s="1597">
        <f>ROUND(SUM(AD32+AD60+AD62),1)</f>
        <v>5915.5</v>
      </c>
      <c r="AE64" s="3322"/>
      <c r="AF64" s="1490"/>
      <c r="AG64" s="1597">
        <f>ROUND(SUM(AG32+AG60+AG62),1)</f>
        <v>7198.2</v>
      </c>
      <c r="AH64" s="2690"/>
      <c r="AI64" s="2671"/>
      <c r="AJ64" s="1597">
        <f>ROUND(SUM(AJ32+AJ60+AJ62),1)</f>
        <v>-1282.7</v>
      </c>
      <c r="AK64" s="2709"/>
      <c r="AL64" s="2710">
        <f>ROUND(IF(AG64=0,0,AJ64/ABS(AG64)),3)</f>
        <v>-0.17799999999999999</v>
      </c>
      <c r="AM64" s="2703"/>
      <c r="AN64" s="2636"/>
      <c r="AO64" s="2711"/>
    </row>
    <row r="65" spans="1:41" ht="15.75">
      <c r="A65" s="2089"/>
      <c r="B65" s="2089"/>
      <c r="C65" s="2089"/>
      <c r="D65" s="2089"/>
      <c r="E65" s="2086"/>
      <c r="F65" s="2045"/>
      <c r="G65" s="2547"/>
      <c r="H65" s="2045"/>
      <c r="I65" s="2547"/>
      <c r="J65" s="2045"/>
      <c r="K65" s="2547"/>
      <c r="L65" s="2678"/>
      <c r="M65" s="1830"/>
      <c r="N65" s="2678"/>
      <c r="O65" s="1830"/>
      <c r="P65" s="2678"/>
      <c r="Q65" s="1830"/>
      <c r="R65" s="2678"/>
      <c r="S65" s="1830"/>
      <c r="T65" s="2678"/>
      <c r="U65" s="1830"/>
      <c r="V65" s="2678"/>
      <c r="W65" s="1830"/>
      <c r="X65" s="2678"/>
      <c r="Y65" s="1830"/>
      <c r="Z65" s="2678"/>
      <c r="AA65" s="1830"/>
      <c r="AB65" s="2232"/>
      <c r="AC65" s="2021"/>
      <c r="AD65" s="2096"/>
      <c r="AE65" s="2232"/>
      <c r="AF65" s="2021"/>
      <c r="AG65" s="2096"/>
      <c r="AH65" s="2021"/>
      <c r="AI65" s="2671"/>
      <c r="AJ65" s="2672"/>
      <c r="AK65" s="2669"/>
      <c r="AL65" s="1839"/>
      <c r="AM65" s="2636"/>
      <c r="AN65" s="2636"/>
    </row>
    <row r="66" spans="1:41" ht="15.75">
      <c r="A66" s="2089"/>
      <c r="B66" s="2479" t="s">
        <v>23</v>
      </c>
      <c r="C66" s="2089"/>
      <c r="D66" s="2089"/>
      <c r="E66" s="2045"/>
      <c r="F66" s="2045"/>
      <c r="G66" s="2045"/>
      <c r="H66" s="2045"/>
      <c r="I66" s="2045"/>
      <c r="J66" s="2045"/>
      <c r="K66" s="2045"/>
      <c r="L66" s="2678"/>
      <c r="M66" s="1830"/>
      <c r="N66" s="2678"/>
      <c r="O66" s="1830"/>
      <c r="P66" s="2678"/>
      <c r="Q66" s="1830"/>
      <c r="R66" s="2678"/>
      <c r="S66" s="1830"/>
      <c r="T66" s="2678"/>
      <c r="U66" s="1830"/>
      <c r="V66" s="2678"/>
      <c r="W66" s="1830"/>
      <c r="X66" s="2678"/>
      <c r="Y66" s="1830"/>
      <c r="Z66" s="2678"/>
      <c r="AA66" s="1830"/>
      <c r="AB66" s="2232"/>
      <c r="AC66" s="2021"/>
      <c r="AD66" s="2040"/>
      <c r="AE66" s="2232"/>
      <c r="AF66" s="2021"/>
      <c r="AG66" s="2040"/>
      <c r="AH66" s="2040"/>
      <c r="AI66" s="2671"/>
      <c r="AJ66" s="2672"/>
      <c r="AK66" s="2669"/>
      <c r="AL66" s="1839"/>
      <c r="AM66" s="2636"/>
      <c r="AN66" s="2636"/>
    </row>
    <row r="67" spans="1:41" ht="15.75">
      <c r="A67" s="2089"/>
      <c r="B67" s="2089" t="s">
        <v>152</v>
      </c>
      <c r="C67" s="2089"/>
      <c r="D67" s="2089"/>
      <c r="E67" s="2045"/>
      <c r="F67" s="2045"/>
      <c r="G67" s="2045"/>
      <c r="H67" s="2045"/>
      <c r="I67" s="2045"/>
      <c r="J67" s="2045"/>
      <c r="K67" s="2045"/>
      <c r="L67" s="2678"/>
      <c r="M67" s="1830"/>
      <c r="N67" s="2678"/>
      <c r="O67" s="1830"/>
      <c r="P67" s="2678"/>
      <c r="Q67" s="1830"/>
      <c r="R67" s="2678"/>
      <c r="S67" s="1830"/>
      <c r="T67" s="2678"/>
      <c r="U67" s="1830"/>
      <c r="V67" s="2678"/>
      <c r="W67" s="1830"/>
      <c r="X67" s="2678"/>
      <c r="Y67" s="1830"/>
      <c r="Z67" s="2678"/>
      <c r="AA67" s="1830"/>
      <c r="AB67" s="2040"/>
      <c r="AC67" s="2084"/>
      <c r="AD67" s="2040"/>
      <c r="AE67" s="3310"/>
      <c r="AF67" s="2021"/>
      <c r="AG67" s="2040"/>
      <c r="AH67" s="2040"/>
      <c r="AI67" s="2671"/>
      <c r="AJ67" s="2672"/>
      <c r="AK67" s="2669"/>
      <c r="AL67" s="1839"/>
      <c r="AM67" s="2636"/>
      <c r="AN67" s="2636"/>
    </row>
    <row r="68" spans="1:41" ht="15.75">
      <c r="A68" s="2089"/>
      <c r="B68" s="2089" t="s">
        <v>25</v>
      </c>
      <c r="C68" s="2089"/>
      <c r="D68" s="2089"/>
      <c r="E68" s="2045">
        <v>9.1999999999999993</v>
      </c>
      <c r="F68" s="2045"/>
      <c r="G68" s="2045">
        <v>3.2000000000000011</v>
      </c>
      <c r="H68" s="2045"/>
      <c r="I68" s="2045">
        <v>10.299999999999999</v>
      </c>
      <c r="J68" s="2045"/>
      <c r="K68" s="2045">
        <v>10.700000000000001</v>
      </c>
      <c r="L68" s="2678"/>
      <c r="M68" s="2045">
        <v>12.000000000000002</v>
      </c>
      <c r="N68" s="2678"/>
      <c r="O68" s="2045">
        <v>42.399999999999991</v>
      </c>
      <c r="P68" s="2678"/>
      <c r="Q68" s="1830">
        <v>14.400000000000006</v>
      </c>
      <c r="R68" s="2678"/>
      <c r="S68" s="1830">
        <v>18.200000000000003</v>
      </c>
      <c r="T68" s="2678"/>
      <c r="U68" s="1830">
        <v>24.900000000000006</v>
      </c>
      <c r="V68" s="2678"/>
      <c r="W68" s="1830">
        <v>19.900000000000006</v>
      </c>
      <c r="X68" s="2678"/>
      <c r="Y68" s="1830">
        <f t="shared" ref="Y68:Y77" si="5">$AD68-$E68-$G68-$I68-$K68-$M68-$O68-$Q68-$S68-$U68-$W68</f>
        <v>3.4000000000000057</v>
      </c>
      <c r="Z68" s="2678"/>
      <c r="AA68" s="1830"/>
      <c r="AB68" s="2040"/>
      <c r="AC68" s="2084"/>
      <c r="AD68" s="2045">
        <v>168.6</v>
      </c>
      <c r="AE68" s="3310"/>
      <c r="AF68" s="2021"/>
      <c r="AG68" s="2045">
        <v>138.30000000000001</v>
      </c>
      <c r="AH68" s="2039"/>
      <c r="AI68" s="2686"/>
      <c r="AJ68" s="2040">
        <f t="shared" ref="AJ68:AJ77" si="6">ROUND(AD68-AG68,1)</f>
        <v>30.3</v>
      </c>
      <c r="AK68" s="2679"/>
      <c r="AL68" s="1920">
        <f>ROUND(IF(AG68=0,1,AJ68/ABS(AG68)),3)</f>
        <v>0.219</v>
      </c>
      <c r="AM68" s="2636"/>
      <c r="AN68" s="2636"/>
    </row>
    <row r="69" spans="1:41" ht="15.75">
      <c r="A69" s="2089"/>
      <c r="B69" s="2089" t="s">
        <v>26</v>
      </c>
      <c r="C69" s="2089"/>
      <c r="D69" s="2089"/>
      <c r="E69" s="2045">
        <v>25.1</v>
      </c>
      <c r="F69" s="2045"/>
      <c r="G69" s="2045">
        <v>33.5</v>
      </c>
      <c r="H69" s="2045"/>
      <c r="I69" s="2045">
        <v>2.1000000000000014</v>
      </c>
      <c r="J69" s="2045"/>
      <c r="K69" s="2045">
        <v>15</v>
      </c>
      <c r="L69" s="2678"/>
      <c r="M69" s="2045">
        <v>13.999999999999993</v>
      </c>
      <c r="N69" s="2678"/>
      <c r="O69" s="2045">
        <v>17.599999999999994</v>
      </c>
      <c r="P69" s="2678"/>
      <c r="Q69" s="1830">
        <v>14.800000000000011</v>
      </c>
      <c r="R69" s="2678"/>
      <c r="S69" s="1830">
        <v>11.900000000000013</v>
      </c>
      <c r="T69" s="2678"/>
      <c r="U69" s="1830">
        <v>13.300000000000011</v>
      </c>
      <c r="V69" s="2678"/>
      <c r="W69" s="1830">
        <v>61.599999999999994</v>
      </c>
      <c r="X69" s="2678"/>
      <c r="Y69" s="1830">
        <f t="shared" si="5"/>
        <v>13.299999999999983</v>
      </c>
      <c r="Z69" s="2678"/>
      <c r="AA69" s="1830"/>
      <c r="AB69" s="2040"/>
      <c r="AC69" s="2084"/>
      <c r="AD69" s="2045">
        <v>222.2</v>
      </c>
      <c r="AE69" s="3310"/>
      <c r="AF69" s="2021"/>
      <c r="AG69" s="2045">
        <v>207</v>
      </c>
      <c r="AH69" s="2039"/>
      <c r="AI69" s="2686"/>
      <c r="AJ69" s="2040">
        <f t="shared" si="6"/>
        <v>15.2</v>
      </c>
      <c r="AK69" s="2679"/>
      <c r="AL69" s="1690">
        <f>ROUND(IF(AG69=0,0,AJ69/ABS(AG69)),3)</f>
        <v>7.2999999999999995E-2</v>
      </c>
      <c r="AM69" s="2636"/>
      <c r="AN69" s="2636"/>
    </row>
    <row r="70" spans="1:41" ht="15.75">
      <c r="A70" s="2089"/>
      <c r="B70" s="2089" t="s">
        <v>27</v>
      </c>
      <c r="C70" s="2089"/>
      <c r="D70" s="2089"/>
      <c r="E70" s="2045">
        <v>31.2</v>
      </c>
      <c r="F70" s="2045"/>
      <c r="G70" s="2045">
        <v>121.8</v>
      </c>
      <c r="H70" s="2045"/>
      <c r="I70" s="2045">
        <v>149</v>
      </c>
      <c r="J70" s="2045"/>
      <c r="K70" s="2045">
        <v>39.399999999999977</v>
      </c>
      <c r="L70" s="2678"/>
      <c r="M70" s="2045">
        <v>17.800000000000011</v>
      </c>
      <c r="N70" s="2678"/>
      <c r="O70" s="2045">
        <v>59.100000000000023</v>
      </c>
      <c r="P70" s="2678"/>
      <c r="Q70" s="1830">
        <v>128.39999999999998</v>
      </c>
      <c r="R70" s="2678"/>
      <c r="S70" s="1830">
        <v>18.599999999999909</v>
      </c>
      <c r="T70" s="2678"/>
      <c r="U70" s="1830">
        <v>140.60000000000008</v>
      </c>
      <c r="V70" s="2678"/>
      <c r="W70" s="1830">
        <v>55.300000000000068</v>
      </c>
      <c r="X70" s="2678"/>
      <c r="Y70" s="1830">
        <f t="shared" si="5"/>
        <v>25.899999999999977</v>
      </c>
      <c r="Z70" s="2678"/>
      <c r="AA70" s="1830"/>
      <c r="AB70" s="2040"/>
      <c r="AC70" s="2084"/>
      <c r="AD70" s="2045">
        <v>787.1</v>
      </c>
      <c r="AE70" s="3310"/>
      <c r="AF70" s="2021"/>
      <c r="AG70" s="2045">
        <v>855.8</v>
      </c>
      <c r="AH70" s="2039"/>
      <c r="AI70" s="2686"/>
      <c r="AJ70" s="2040">
        <f t="shared" si="6"/>
        <v>-68.7</v>
      </c>
      <c r="AK70" s="2679"/>
      <c r="AL70" s="1690">
        <f>ROUND(IF(AG70=0,0,AJ70/ABS(AG70)),3)</f>
        <v>-0.08</v>
      </c>
      <c r="AM70" s="2669"/>
      <c r="AN70" s="2636"/>
    </row>
    <row r="71" spans="1:41" ht="15.75">
      <c r="A71" s="2089"/>
      <c r="B71" s="2089" t="s">
        <v>28</v>
      </c>
      <c r="C71" s="2089"/>
      <c r="D71" s="2089"/>
      <c r="E71" s="2045" t="s">
        <v>15</v>
      </c>
      <c r="F71" s="2045"/>
      <c r="G71" s="2045"/>
      <c r="H71" s="2045"/>
      <c r="I71" s="2045"/>
      <c r="J71" s="2045"/>
      <c r="K71" s="2045"/>
      <c r="L71" s="2678"/>
      <c r="M71" s="2045"/>
      <c r="N71" s="2678"/>
      <c r="O71" s="2045"/>
      <c r="P71" s="2678"/>
      <c r="Q71" s="1830"/>
      <c r="R71" s="2678"/>
      <c r="S71" s="1830"/>
      <c r="T71" s="2678"/>
      <c r="U71" s="1830"/>
      <c r="V71" s="2678"/>
      <c r="W71" s="1830"/>
      <c r="X71" s="2678"/>
      <c r="Y71" s="1830"/>
      <c r="Z71" s="2678"/>
      <c r="AA71" s="1830"/>
      <c r="AB71" s="2040"/>
      <c r="AC71" s="2084"/>
      <c r="AD71" s="2045"/>
      <c r="AE71" s="3310"/>
      <c r="AF71" s="2021"/>
      <c r="AG71" s="2045"/>
      <c r="AH71" s="2040"/>
      <c r="AI71" s="2671"/>
      <c r="AJ71" s="2045"/>
      <c r="AK71" s="2679"/>
      <c r="AL71" s="1839"/>
      <c r="AM71" s="2669"/>
      <c r="AN71" s="2636"/>
    </row>
    <row r="72" spans="1:41" ht="15.75">
      <c r="A72" s="2089"/>
      <c r="B72" s="2089" t="s">
        <v>29</v>
      </c>
      <c r="C72" s="2479"/>
      <c r="D72" s="2089"/>
      <c r="E72" s="2045">
        <v>0</v>
      </c>
      <c r="F72" s="2045"/>
      <c r="G72" s="2045">
        <v>0</v>
      </c>
      <c r="H72" s="2045"/>
      <c r="I72" s="2045">
        <v>0</v>
      </c>
      <c r="J72" s="2045"/>
      <c r="K72" s="2045">
        <v>0</v>
      </c>
      <c r="L72" s="2678"/>
      <c r="M72" s="2045">
        <v>0</v>
      </c>
      <c r="N72" s="2678"/>
      <c r="O72" s="2045">
        <v>0</v>
      </c>
      <c r="P72" s="2678"/>
      <c r="Q72" s="1830">
        <v>0</v>
      </c>
      <c r="R72" s="2678"/>
      <c r="S72" s="1830">
        <v>0</v>
      </c>
      <c r="T72" s="2678"/>
      <c r="U72" s="1830">
        <v>0</v>
      </c>
      <c r="V72" s="2678"/>
      <c r="W72" s="1830">
        <v>0</v>
      </c>
      <c r="X72" s="2678"/>
      <c r="Y72" s="1830">
        <f t="shared" si="5"/>
        <v>0</v>
      </c>
      <c r="Z72" s="2678"/>
      <c r="AA72" s="1830"/>
      <c r="AB72" s="2040"/>
      <c r="AC72" s="2084"/>
      <c r="AD72" s="2045">
        <v>0</v>
      </c>
      <c r="AE72" s="3310"/>
      <c r="AF72" s="2021"/>
      <c r="AG72" s="2045">
        <v>0</v>
      </c>
      <c r="AH72" s="2040"/>
      <c r="AI72" s="2671"/>
      <c r="AJ72" s="2040">
        <f t="shared" si="6"/>
        <v>0</v>
      </c>
      <c r="AK72" s="2669"/>
      <c r="AL72" s="2246">
        <f>ROUND(IF(AG72=0,0,AJ72/ABS(AG72)),3)</f>
        <v>0</v>
      </c>
      <c r="AM72" s="2669"/>
      <c r="AN72" s="2636"/>
    </row>
    <row r="73" spans="1:41" ht="15.75">
      <c r="A73" s="2089"/>
      <c r="B73" s="2089" t="s">
        <v>30</v>
      </c>
      <c r="C73" s="2089"/>
      <c r="D73" s="2089"/>
      <c r="E73" s="2045">
        <v>30.8</v>
      </c>
      <c r="F73" s="2045"/>
      <c r="G73" s="2045">
        <v>41.600000000000009</v>
      </c>
      <c r="H73" s="2045"/>
      <c r="I73" s="2045">
        <v>20.599999999999994</v>
      </c>
      <c r="J73" s="2045"/>
      <c r="K73" s="2045">
        <v>75.59999999999998</v>
      </c>
      <c r="L73" s="2678"/>
      <c r="M73" s="2045">
        <v>17.700000000000017</v>
      </c>
      <c r="N73" s="2678"/>
      <c r="O73" s="2045">
        <v>19.399999999999963</v>
      </c>
      <c r="P73" s="2678"/>
      <c r="Q73" s="1830">
        <v>34.800000000000011</v>
      </c>
      <c r="R73" s="2678"/>
      <c r="S73" s="1830">
        <v>34.100000000000023</v>
      </c>
      <c r="T73" s="2678"/>
      <c r="U73" s="1830">
        <v>44.599999999999952</v>
      </c>
      <c r="V73" s="2678"/>
      <c r="W73" s="1830">
        <v>88.399999999999991</v>
      </c>
      <c r="X73" s="2678"/>
      <c r="Y73" s="1830">
        <f t="shared" si="5"/>
        <v>34.300000000000068</v>
      </c>
      <c r="Z73" s="2678"/>
      <c r="AA73" s="1830"/>
      <c r="AB73" s="2040"/>
      <c r="AC73" s="2084"/>
      <c r="AD73" s="2045">
        <v>441.9</v>
      </c>
      <c r="AE73" s="3310"/>
      <c r="AF73" s="2021"/>
      <c r="AG73" s="2045">
        <v>280</v>
      </c>
      <c r="AH73" s="2039"/>
      <c r="AI73" s="2686"/>
      <c r="AJ73" s="2040">
        <f t="shared" si="6"/>
        <v>161.9</v>
      </c>
      <c r="AK73" s="2679"/>
      <c r="AL73" s="1690">
        <f>ROUND(IF(AG73=0,0,AJ73/ABS(AG73)),3)</f>
        <v>0.57799999999999996</v>
      </c>
      <c r="AM73" s="2636"/>
      <c r="AN73" s="2636"/>
    </row>
    <row r="74" spans="1:41" ht="15.75">
      <c r="A74" s="2089"/>
      <c r="B74" s="2089" t="s">
        <v>31</v>
      </c>
      <c r="C74" s="2089"/>
      <c r="D74" s="2089"/>
      <c r="E74" s="2045">
        <v>10</v>
      </c>
      <c r="F74" s="2045"/>
      <c r="G74" s="2045">
        <v>-0.1</v>
      </c>
      <c r="H74" s="2045"/>
      <c r="I74" s="2045">
        <v>-10.8</v>
      </c>
      <c r="J74" s="2045"/>
      <c r="K74" s="2045">
        <v>0</v>
      </c>
      <c r="L74" s="2678"/>
      <c r="M74" s="2045">
        <v>0.30000000000000071</v>
      </c>
      <c r="N74" s="2678"/>
      <c r="O74" s="2045">
        <v>2</v>
      </c>
      <c r="P74" s="2678"/>
      <c r="Q74" s="1830">
        <v>1.1999999999999993</v>
      </c>
      <c r="R74" s="2678"/>
      <c r="S74" s="1830">
        <v>6.4</v>
      </c>
      <c r="T74" s="2678"/>
      <c r="U74" s="1830">
        <v>1.8000000000000007</v>
      </c>
      <c r="V74" s="2678"/>
      <c r="W74" s="1830">
        <v>44.7</v>
      </c>
      <c r="X74" s="2678"/>
      <c r="Y74" s="1830">
        <f t="shared" si="5"/>
        <v>2</v>
      </c>
      <c r="Z74" s="2678"/>
      <c r="AA74" s="1830"/>
      <c r="AB74" s="2040"/>
      <c r="AC74" s="2084"/>
      <c r="AD74" s="2045">
        <v>57.5</v>
      </c>
      <c r="AE74" s="3310"/>
      <c r="AF74" s="2021"/>
      <c r="AG74" s="2045">
        <v>27.2</v>
      </c>
      <c r="AH74" s="2039"/>
      <c r="AI74" s="2686"/>
      <c r="AJ74" s="2040">
        <f t="shared" si="6"/>
        <v>30.3</v>
      </c>
      <c r="AK74" s="2679"/>
      <c r="AL74" s="1770">
        <f>ROUND(IF(AG74=0,1,AJ74/ABS(AG74)),3)</f>
        <v>1.1140000000000001</v>
      </c>
      <c r="AM74" s="2669"/>
      <c r="AN74" s="2636"/>
    </row>
    <row r="75" spans="1:41" ht="15.75">
      <c r="A75" s="2089"/>
      <c r="B75" s="2089" t="s">
        <v>32</v>
      </c>
      <c r="C75" s="2089"/>
      <c r="D75" s="2089"/>
      <c r="E75" s="2045">
        <v>0</v>
      </c>
      <c r="F75" s="2045"/>
      <c r="G75" s="2045">
        <v>10.9</v>
      </c>
      <c r="H75" s="2045"/>
      <c r="I75" s="2045">
        <v>86.1</v>
      </c>
      <c r="J75" s="2045"/>
      <c r="K75" s="2045">
        <v>6</v>
      </c>
      <c r="L75" s="2678"/>
      <c r="M75" s="2045">
        <v>9.0999999999999943</v>
      </c>
      <c r="N75" s="2678"/>
      <c r="O75" s="2045">
        <v>42.800000000000011</v>
      </c>
      <c r="P75" s="2678"/>
      <c r="Q75" s="1830">
        <v>3.1999999999999886</v>
      </c>
      <c r="R75" s="2678"/>
      <c r="S75" s="1830">
        <v>83.1</v>
      </c>
      <c r="T75" s="2678"/>
      <c r="U75" s="1830">
        <v>13.300000000000011</v>
      </c>
      <c r="V75" s="2678"/>
      <c r="W75" s="1830">
        <v>98.899999999999977</v>
      </c>
      <c r="X75" s="2678"/>
      <c r="Y75" s="1830">
        <f t="shared" si="5"/>
        <v>14.700000000000017</v>
      </c>
      <c r="Z75" s="2678"/>
      <c r="AA75" s="1830"/>
      <c r="AB75" s="2040"/>
      <c r="AC75" s="2084"/>
      <c r="AD75" s="2045">
        <v>368.1</v>
      </c>
      <c r="AE75" s="3310"/>
      <c r="AF75" s="2021"/>
      <c r="AG75" s="2045">
        <v>269.60000000000002</v>
      </c>
      <c r="AH75" s="2040"/>
      <c r="AI75" s="2671"/>
      <c r="AJ75" s="2040">
        <f t="shared" si="6"/>
        <v>98.5</v>
      </c>
      <c r="AK75" s="2679"/>
      <c r="AL75" s="1765">
        <f>ROUND(IF(AG75=0,1,AJ75/ABS(AG75)),3)</f>
        <v>0.36499999999999999</v>
      </c>
      <c r="AM75" s="2669"/>
      <c r="AN75" s="2636"/>
    </row>
    <row r="76" spans="1:41" ht="15.75">
      <c r="A76" s="2089"/>
      <c r="B76" s="2089" t="s">
        <v>33</v>
      </c>
      <c r="C76" s="2479"/>
      <c r="D76" s="2089"/>
      <c r="E76" s="2045">
        <v>26.7</v>
      </c>
      <c r="F76" s="2045"/>
      <c r="G76" s="2045">
        <v>149.20000000000002</v>
      </c>
      <c r="H76" s="2045"/>
      <c r="I76" s="2045">
        <v>197.4</v>
      </c>
      <c r="J76" s="2045"/>
      <c r="K76" s="2045">
        <v>39.199999999999989</v>
      </c>
      <c r="L76" s="2678"/>
      <c r="M76" s="2045">
        <v>40.900000000000006</v>
      </c>
      <c r="N76" s="2678"/>
      <c r="O76" s="2045">
        <v>61.899999999999977</v>
      </c>
      <c r="P76" s="2678"/>
      <c r="Q76" s="1830">
        <v>37.999999999999886</v>
      </c>
      <c r="R76" s="2678"/>
      <c r="S76" s="1830">
        <v>43.800000000000068</v>
      </c>
      <c r="T76" s="2678"/>
      <c r="U76" s="1830">
        <v>102.60000000000005</v>
      </c>
      <c r="V76" s="2678"/>
      <c r="W76" s="1830">
        <v>31.799999999999926</v>
      </c>
      <c r="X76" s="2678"/>
      <c r="Y76" s="1830">
        <f t="shared" si="5"/>
        <v>101.29999999999995</v>
      </c>
      <c r="Z76" s="2678"/>
      <c r="AA76" s="1830"/>
      <c r="AB76" s="2040"/>
      <c r="AC76" s="2084"/>
      <c r="AD76" s="2045">
        <v>832.8</v>
      </c>
      <c r="AE76" s="3310"/>
      <c r="AF76" s="2021"/>
      <c r="AG76" s="2045">
        <v>946</v>
      </c>
      <c r="AH76" s="2040"/>
      <c r="AI76" s="2671"/>
      <c r="AJ76" s="2040">
        <f t="shared" si="6"/>
        <v>-113.2</v>
      </c>
      <c r="AK76" s="2669"/>
      <c r="AL76" s="1835">
        <f>ROUND(IF(AG76=0,0,AJ76/ABS(AG76)),3)</f>
        <v>-0.12</v>
      </c>
      <c r="AM76" s="2669"/>
      <c r="AN76" s="2636"/>
    </row>
    <row r="77" spans="1:41" ht="15.75">
      <c r="A77" s="2089"/>
      <c r="B77" s="2089" t="s">
        <v>34</v>
      </c>
      <c r="C77" s="2089"/>
      <c r="D77" s="2089"/>
      <c r="E77" s="2045">
        <v>192.7</v>
      </c>
      <c r="F77" s="2045"/>
      <c r="G77" s="2045">
        <v>7.1</v>
      </c>
      <c r="H77" s="2045"/>
      <c r="I77" s="2045">
        <v>23.20000000000001</v>
      </c>
      <c r="J77" s="2045"/>
      <c r="K77" s="2045">
        <v>19.300000000000011</v>
      </c>
      <c r="L77" s="2678"/>
      <c r="M77" s="2045">
        <v>5.7999999999999829</v>
      </c>
      <c r="N77" s="2678"/>
      <c r="O77" s="2045">
        <v>476.30000000000007</v>
      </c>
      <c r="P77" s="2678"/>
      <c r="Q77" s="1830">
        <v>29.599999999999795</v>
      </c>
      <c r="R77" s="2678"/>
      <c r="S77" s="1830">
        <v>4.7999999999999545</v>
      </c>
      <c r="T77" s="2678"/>
      <c r="U77" s="1830">
        <v>222.5</v>
      </c>
      <c r="V77" s="2678"/>
      <c r="W77" s="1830">
        <v>9.9000000000000909</v>
      </c>
      <c r="X77" s="2678"/>
      <c r="Y77" s="1830">
        <f t="shared" si="5"/>
        <v>8.0999999999999091</v>
      </c>
      <c r="Z77" s="2678"/>
      <c r="AA77" s="1830"/>
      <c r="AB77" s="2040"/>
      <c r="AC77" s="2084"/>
      <c r="AD77" s="2045">
        <v>999.3</v>
      </c>
      <c r="AE77" s="3310"/>
      <c r="AF77" s="2021"/>
      <c r="AG77" s="2045">
        <v>1179.5</v>
      </c>
      <c r="AH77" s="2021"/>
      <c r="AI77" s="2671"/>
      <c r="AJ77" s="2040">
        <f t="shared" si="6"/>
        <v>-180.2</v>
      </c>
      <c r="AK77" s="2679"/>
      <c r="AL77" s="2246">
        <f>ROUND(IF(AG77=0,0,AJ77/ABS(AG77)),3)</f>
        <v>-0.153</v>
      </c>
      <c r="AM77" s="2669"/>
      <c r="AN77" s="2636"/>
    </row>
    <row r="78" spans="1:41" ht="15.75">
      <c r="A78" s="2089"/>
      <c r="B78" s="2479" t="s">
        <v>198</v>
      </c>
      <c r="C78" s="2089"/>
      <c r="D78" s="2089"/>
      <c r="E78" s="2221">
        <f>ROUND(SUM(E68:E77),1)</f>
        <v>325.7</v>
      </c>
      <c r="F78" s="2095"/>
      <c r="G78" s="2221">
        <f>ROUND(SUM(G68:G77),1)</f>
        <v>367.2</v>
      </c>
      <c r="H78" s="2095"/>
      <c r="I78" s="2221">
        <f>ROUND(SUM(I68:I77),1)</f>
        <v>477.9</v>
      </c>
      <c r="J78" s="1490"/>
      <c r="K78" s="2221">
        <f>ROUND(SUM(K68:K77),1)</f>
        <v>205.2</v>
      </c>
      <c r="L78" s="1489"/>
      <c r="M78" s="2061">
        <f>ROUND(SUM(M68:M77),1)</f>
        <v>117.6</v>
      </c>
      <c r="N78" s="1472"/>
      <c r="O78" s="2061">
        <f>ROUND(SUM(O68:O77),1)</f>
        <v>721.5</v>
      </c>
      <c r="P78" s="1489"/>
      <c r="Q78" s="2061">
        <f>ROUND(SUM(Q68:Q77),1)</f>
        <v>264.39999999999998</v>
      </c>
      <c r="R78" s="1489"/>
      <c r="S78" s="2061">
        <f>ROUND(SUM(S68:S77),1)</f>
        <v>220.9</v>
      </c>
      <c r="T78" s="1489"/>
      <c r="U78" s="2221">
        <f>ROUND(SUM(U68:U77),1)</f>
        <v>563.6</v>
      </c>
      <c r="V78" s="2095"/>
      <c r="W78" s="2221">
        <f>ROUND(SUM(W68:W77),1)</f>
        <v>410.5</v>
      </c>
      <c r="X78" s="2095"/>
      <c r="Y78" s="2221">
        <f>ROUND(SUM(Y68:Y77),1)</f>
        <v>203</v>
      </c>
      <c r="Z78" s="2095"/>
      <c r="AA78" s="2221">
        <f>ROUND(SUM(AA68:AA77),1)</f>
        <v>0</v>
      </c>
      <c r="AB78" s="2095"/>
      <c r="AC78" s="2609"/>
      <c r="AD78" s="2221">
        <f>ROUND(SUM(AD68:AD77),1)</f>
        <v>3877.5</v>
      </c>
      <c r="AE78" s="3322"/>
      <c r="AF78" s="1490"/>
      <c r="AG78" s="2221">
        <f>ROUND(SUM(AG68:AG77),1)</f>
        <v>3903.4</v>
      </c>
      <c r="AH78" s="1490"/>
      <c r="AI78" s="2671"/>
      <c r="AJ78" s="2221">
        <f>ROUND(SUM(AJ68:AJ77),1)</f>
        <v>-25.9</v>
      </c>
      <c r="AK78" s="2712"/>
      <c r="AL78" s="2247">
        <f>ROUND(IF(AG78=0,0,AJ78/ABS(AG78)),3)</f>
        <v>-7.0000000000000001E-3</v>
      </c>
      <c r="AM78" s="2636"/>
      <c r="AN78" s="2636"/>
      <c r="AO78" s="2711"/>
    </row>
    <row r="79" spans="1:41" ht="15.75">
      <c r="A79" s="2089"/>
      <c r="B79" s="2089" t="s">
        <v>199</v>
      </c>
      <c r="C79" s="2089"/>
      <c r="D79" s="2089"/>
      <c r="E79" s="2045"/>
      <c r="F79" s="2045"/>
      <c r="G79" s="2045"/>
      <c r="H79" s="2045"/>
      <c r="I79" s="2045"/>
      <c r="J79" s="2045"/>
      <c r="K79" s="2045"/>
      <c r="L79" s="2051"/>
      <c r="M79" s="2051"/>
      <c r="N79" s="2051"/>
      <c r="O79" s="2051"/>
      <c r="P79" s="2051"/>
      <c r="Q79" s="2051"/>
      <c r="R79" s="2051"/>
      <c r="S79" s="2051"/>
      <c r="T79" s="2051"/>
      <c r="U79" s="2040"/>
      <c r="V79" s="2040"/>
      <c r="W79" s="2040"/>
      <c r="X79" s="2040"/>
      <c r="Y79" s="2040"/>
      <c r="Z79" s="2040"/>
      <c r="AA79" s="2040"/>
      <c r="AB79" s="2040"/>
      <c r="AC79" s="2084"/>
      <c r="AD79" s="2040"/>
      <c r="AE79" s="3310"/>
      <c r="AF79" s="2021"/>
      <c r="AG79" s="2040"/>
      <c r="AH79" s="2040"/>
      <c r="AI79" s="2671"/>
      <c r="AJ79" s="2672"/>
      <c r="AK79" s="2669"/>
      <c r="AL79" s="1839"/>
      <c r="AM79" s="2636"/>
      <c r="AN79" s="2636"/>
    </row>
    <row r="80" spans="1:41" ht="15.75">
      <c r="A80" s="2089"/>
      <c r="B80" s="2089" t="s">
        <v>200</v>
      </c>
      <c r="C80" s="2089"/>
      <c r="D80" s="2089"/>
      <c r="E80" s="2045">
        <v>0</v>
      </c>
      <c r="F80" s="2045"/>
      <c r="G80" s="2045">
        <v>0</v>
      </c>
      <c r="H80" s="2045"/>
      <c r="I80" s="2045">
        <v>0</v>
      </c>
      <c r="J80" s="2045"/>
      <c r="K80" s="2045">
        <v>0</v>
      </c>
      <c r="L80" s="2678"/>
      <c r="M80" s="2045">
        <v>0</v>
      </c>
      <c r="N80" s="2678"/>
      <c r="O80" s="2045">
        <v>0</v>
      </c>
      <c r="P80" s="2678"/>
      <c r="Q80" s="1830">
        <v>0</v>
      </c>
      <c r="R80" s="2678"/>
      <c r="S80" s="1830">
        <v>0</v>
      </c>
      <c r="T80" s="2678"/>
      <c r="U80" s="1830">
        <v>0</v>
      </c>
      <c r="V80" s="2678"/>
      <c r="W80" s="1830">
        <v>0</v>
      </c>
      <c r="X80" s="2678"/>
      <c r="Y80" s="1830">
        <f t="shared" ref="Y80:Y83" si="7">$AD80-$E80-$G80-$I80-$K80-$M80-$O80-$Q80-$S80-$U80-$W80</f>
        <v>0</v>
      </c>
      <c r="Z80" s="2678"/>
      <c r="AA80" s="1830"/>
      <c r="AB80" s="2040"/>
      <c r="AC80" s="2084"/>
      <c r="AD80" s="2045">
        <v>0</v>
      </c>
      <c r="AE80" s="3310"/>
      <c r="AF80" s="2021"/>
      <c r="AG80" s="2045">
        <v>0</v>
      </c>
      <c r="AH80" s="2713"/>
      <c r="AI80" s="2714"/>
      <c r="AJ80" s="2040">
        <f>ROUND(AD80-AG80,1)</f>
        <v>0</v>
      </c>
      <c r="AK80" s="2669"/>
      <c r="AL80" s="1690">
        <f>ROUND(IF(AG80=0,0,AJ80/ABS(AG80)),3)</f>
        <v>0</v>
      </c>
      <c r="AM80" s="2636"/>
      <c r="AN80" s="2636"/>
    </row>
    <row r="81" spans="1:41" ht="15.75">
      <c r="A81" s="2089"/>
      <c r="B81" s="2089" t="s">
        <v>201</v>
      </c>
      <c r="C81" s="2089"/>
      <c r="D81" s="2089"/>
      <c r="E81" s="2045">
        <v>0</v>
      </c>
      <c r="F81" s="2045"/>
      <c r="G81" s="2045">
        <v>0</v>
      </c>
      <c r="H81" s="2045"/>
      <c r="I81" s="2045">
        <v>0</v>
      </c>
      <c r="J81" s="2045"/>
      <c r="K81" s="2045">
        <v>0</v>
      </c>
      <c r="L81" s="2678"/>
      <c r="M81" s="2045">
        <v>0</v>
      </c>
      <c r="N81" s="2678"/>
      <c r="O81" s="2045">
        <v>0</v>
      </c>
      <c r="P81" s="2678"/>
      <c r="Q81" s="1830">
        <v>0</v>
      </c>
      <c r="R81" s="2678"/>
      <c r="S81" s="1830">
        <v>0</v>
      </c>
      <c r="T81" s="2678"/>
      <c r="U81" s="1830">
        <v>0</v>
      </c>
      <c r="V81" s="2678"/>
      <c r="W81" s="1830">
        <v>0</v>
      </c>
      <c r="X81" s="2678"/>
      <c r="Y81" s="1830">
        <f t="shared" si="7"/>
        <v>0</v>
      </c>
      <c r="Z81" s="2678"/>
      <c r="AA81" s="1830"/>
      <c r="AB81" s="2040"/>
      <c r="AC81" s="2084"/>
      <c r="AD81" s="2045">
        <v>0</v>
      </c>
      <c r="AE81" s="3310"/>
      <c r="AF81" s="2021"/>
      <c r="AG81" s="2045">
        <v>0</v>
      </c>
      <c r="AH81" s="2713"/>
      <c r="AI81" s="2714"/>
      <c r="AJ81" s="2040">
        <f>ROUND(AD81-AG81,1)</f>
        <v>0</v>
      </c>
      <c r="AK81" s="2669"/>
      <c r="AL81" s="1690">
        <f>ROUND(IF(AG81=0,0,AJ81/ABS(AG81)),3)</f>
        <v>0</v>
      </c>
      <c r="AM81" s="2636"/>
      <c r="AN81" s="2636"/>
    </row>
    <row r="82" spans="1:41" ht="15.75">
      <c r="A82" s="2089"/>
      <c r="B82" s="2089" t="s">
        <v>202</v>
      </c>
      <c r="C82" s="2089"/>
      <c r="D82" s="2089"/>
      <c r="E82" s="2045">
        <v>0</v>
      </c>
      <c r="F82" s="2045"/>
      <c r="G82" s="2045">
        <v>0</v>
      </c>
      <c r="H82" s="2045"/>
      <c r="I82" s="2045">
        <v>0</v>
      </c>
      <c r="J82" s="2045"/>
      <c r="K82" s="2045">
        <v>0</v>
      </c>
      <c r="L82" s="2678"/>
      <c r="M82" s="2045">
        <v>0</v>
      </c>
      <c r="N82" s="2678"/>
      <c r="O82" s="2045">
        <v>0</v>
      </c>
      <c r="P82" s="2678"/>
      <c r="Q82" s="1830">
        <v>0</v>
      </c>
      <c r="R82" s="2678"/>
      <c r="S82" s="1830">
        <v>0</v>
      </c>
      <c r="T82" s="2678"/>
      <c r="U82" s="1830">
        <v>0</v>
      </c>
      <c r="V82" s="2678"/>
      <c r="W82" s="1830">
        <v>0</v>
      </c>
      <c r="X82" s="2678"/>
      <c r="Y82" s="1830">
        <f t="shared" si="7"/>
        <v>0</v>
      </c>
      <c r="Z82" s="2678"/>
      <c r="AA82" s="1830"/>
      <c r="AB82" s="2715"/>
      <c r="AC82" s="2716"/>
      <c r="AD82" s="2045">
        <v>0</v>
      </c>
      <c r="AE82" s="3310"/>
      <c r="AF82" s="2021"/>
      <c r="AG82" s="2045">
        <v>0</v>
      </c>
      <c r="AH82" s="2713"/>
      <c r="AI82" s="2714"/>
      <c r="AJ82" s="2040">
        <f>ROUND(AD82-AG82,1)</f>
        <v>0</v>
      </c>
      <c r="AK82" s="1492"/>
      <c r="AL82" s="1453">
        <f>ROUND(IF(AG82=0,0,AJ82/ABS(AG82)),3)</f>
        <v>0</v>
      </c>
    </row>
    <row r="83" spans="1:41" ht="15.75">
      <c r="A83" s="2089"/>
      <c r="B83" s="2553" t="s">
        <v>173</v>
      </c>
      <c r="C83" s="2089"/>
      <c r="D83" s="2089"/>
      <c r="E83" s="2045">
        <v>368.7</v>
      </c>
      <c r="F83" s="2045"/>
      <c r="G83" s="2045">
        <v>444.7</v>
      </c>
      <c r="H83" s="2045"/>
      <c r="I83" s="2045">
        <v>435.8</v>
      </c>
      <c r="J83" s="2045"/>
      <c r="K83" s="2045">
        <v>496.2999999999999</v>
      </c>
      <c r="L83" s="2678"/>
      <c r="M83" s="2045">
        <v>632</v>
      </c>
      <c r="N83" s="2678"/>
      <c r="O83" s="2045">
        <v>465.70000000000005</v>
      </c>
      <c r="P83" s="2678"/>
      <c r="Q83" s="1830">
        <v>590.5</v>
      </c>
      <c r="R83" s="2678"/>
      <c r="S83" s="1830">
        <v>582.80000000000041</v>
      </c>
      <c r="T83" s="2678"/>
      <c r="U83" s="1830">
        <v>480.80000000000018</v>
      </c>
      <c r="V83" s="2678"/>
      <c r="W83" s="1830">
        <v>500.69999999999959</v>
      </c>
      <c r="X83" s="2678"/>
      <c r="Y83" s="1830">
        <f t="shared" si="7"/>
        <v>428.60000000000036</v>
      </c>
      <c r="Z83" s="2678"/>
      <c r="AA83" s="1830"/>
      <c r="AB83" s="2040"/>
      <c r="AC83" s="2084"/>
      <c r="AD83" s="3324">
        <v>5426.6</v>
      </c>
      <c r="AE83" s="3310"/>
      <c r="AF83" s="2021"/>
      <c r="AG83" s="3324">
        <v>5259.1</v>
      </c>
      <c r="AH83" s="2717"/>
      <c r="AI83" s="2686"/>
      <c r="AJ83" s="2718">
        <f>ROUND(AD83-AG83,1)</f>
        <v>167.5</v>
      </c>
      <c r="AK83" s="1492"/>
      <c r="AL83" s="1454">
        <f>ROUND(IF(AG83=0,0,AJ83/ABS(AG83)),3)</f>
        <v>3.2000000000000001E-2</v>
      </c>
    </row>
    <row r="84" spans="1:41" ht="15.75">
      <c r="A84" s="2089"/>
      <c r="B84" s="2089"/>
      <c r="C84" s="2089"/>
      <c r="D84" s="2089"/>
      <c r="E84" s="2547"/>
      <c r="F84" s="2045"/>
      <c r="G84" s="2547"/>
      <c r="H84" s="2045"/>
      <c r="I84" s="2547"/>
      <c r="J84" s="2045"/>
      <c r="K84" s="2547"/>
      <c r="L84" s="2051"/>
      <c r="M84" s="2050"/>
      <c r="N84" s="2051"/>
      <c r="O84" s="2050"/>
      <c r="P84" s="2051"/>
      <c r="Q84" s="2050"/>
      <c r="R84" s="2051"/>
      <c r="S84" s="2050"/>
      <c r="T84" s="2051"/>
      <c r="U84" s="2050"/>
      <c r="V84" s="2051"/>
      <c r="W84" s="2050"/>
      <c r="X84" s="2051"/>
      <c r="Y84" s="2050"/>
      <c r="Z84" s="2051"/>
      <c r="AA84" s="2096"/>
      <c r="AB84" s="2040"/>
      <c r="AC84" s="2084"/>
      <c r="AD84" s="2672"/>
      <c r="AE84" s="3310"/>
      <c r="AF84" s="2021"/>
      <c r="AG84" s="2672"/>
      <c r="AH84" s="2672"/>
      <c r="AI84" s="2719"/>
      <c r="AJ84" s="2672"/>
      <c r="AK84" s="1492"/>
      <c r="AL84" s="2683"/>
    </row>
    <row r="85" spans="1:41" ht="15.75">
      <c r="A85" s="2089"/>
      <c r="B85" s="2479" t="s">
        <v>203</v>
      </c>
      <c r="C85" s="2089"/>
      <c r="D85" s="2089"/>
      <c r="E85" s="2095">
        <f>ROUND(SUM(E78:E83),1)</f>
        <v>694.4</v>
      </c>
      <c r="F85" s="2095"/>
      <c r="G85" s="2095">
        <f>ROUND(SUM(G78:G83),1)</f>
        <v>811.9</v>
      </c>
      <c r="H85" s="2095"/>
      <c r="I85" s="2095">
        <f>ROUND(SUM(I78:I83),1)</f>
        <v>913.7</v>
      </c>
      <c r="J85" s="2095"/>
      <c r="K85" s="2095">
        <f>ROUND(SUM(K78:K83),1)</f>
        <v>701.5</v>
      </c>
      <c r="L85" s="1489"/>
      <c r="M85" s="1489">
        <f>ROUND(SUM(M78:M83),1)</f>
        <v>749.6</v>
      </c>
      <c r="N85" s="1489"/>
      <c r="O85" s="1489">
        <f>ROUND(SUM(O78:O83),1)</f>
        <v>1187.2</v>
      </c>
      <c r="P85" s="1489"/>
      <c r="Q85" s="1489">
        <f>ROUND(SUM(Q78:Q83),1)</f>
        <v>854.9</v>
      </c>
      <c r="R85" s="1489"/>
      <c r="S85" s="1489">
        <f>ROUND(SUM(S78:S83),1)</f>
        <v>803.7</v>
      </c>
      <c r="T85" s="1489"/>
      <c r="U85" s="1489">
        <f>ROUND(SUM(U78:U83),1)</f>
        <v>1044.4000000000001</v>
      </c>
      <c r="V85" s="1489"/>
      <c r="W85" s="1489">
        <f>ROUND(SUM(W78:W83),1)</f>
        <v>911.2</v>
      </c>
      <c r="X85" s="1489"/>
      <c r="Y85" s="1489">
        <f>ROUND(SUM(Y78:Y83),1)</f>
        <v>631.6</v>
      </c>
      <c r="Z85" s="1489"/>
      <c r="AA85" s="1489">
        <f>ROUND(SUM(AA78:AA83),1)</f>
        <v>0</v>
      </c>
      <c r="AB85" s="2095"/>
      <c r="AC85" s="2609"/>
      <c r="AD85" s="2095">
        <f>ROUND(SUM(AD78:AD83),1)</f>
        <v>9304.1</v>
      </c>
      <c r="AE85" s="3322"/>
      <c r="AF85" s="1490"/>
      <c r="AG85" s="2095">
        <f>ROUND(SUM(AG78:AG83),1)</f>
        <v>9162.5</v>
      </c>
      <c r="AH85" s="1490"/>
      <c r="AI85" s="2671"/>
      <c r="AJ85" s="2099">
        <f>ROUND(AD85-AG85,1)</f>
        <v>141.6</v>
      </c>
      <c r="AK85" s="2691"/>
      <c r="AL85" s="1485">
        <f>ROUND(IF(AG85=0,0,AJ85/ABS(AG85)),3)</f>
        <v>1.4999999999999999E-2</v>
      </c>
      <c r="AM85" s="2692"/>
      <c r="AN85" s="2692"/>
      <c r="AO85" s="2692"/>
    </row>
    <row r="86" spans="1:41" ht="15.75">
      <c r="A86" s="2089"/>
      <c r="B86" s="2089"/>
      <c r="C86" s="2089"/>
      <c r="D86" s="2089"/>
      <c r="E86" s="2547"/>
      <c r="F86" s="2045"/>
      <c r="G86" s="2547"/>
      <c r="H86" s="2045"/>
      <c r="I86" s="2547"/>
      <c r="J86" s="2045"/>
      <c r="K86" s="2547"/>
      <c r="L86" s="2051"/>
      <c r="M86" s="2050"/>
      <c r="N86" s="2051"/>
      <c r="O86" s="2050"/>
      <c r="P86" s="2051"/>
      <c r="Q86" s="2050"/>
      <c r="R86" s="2051"/>
      <c r="S86" s="2050"/>
      <c r="T86" s="2051"/>
      <c r="U86" s="2050"/>
      <c r="V86" s="2051"/>
      <c r="W86" s="2050"/>
      <c r="X86" s="2051"/>
      <c r="Y86" s="2050"/>
      <c r="Z86" s="2051"/>
      <c r="AA86" s="2050"/>
      <c r="AB86" s="2040"/>
      <c r="AC86" s="2084"/>
      <c r="AD86" s="2096"/>
      <c r="AE86" s="3310"/>
      <c r="AF86" s="2021"/>
      <c r="AG86" s="2096"/>
      <c r="AH86" s="2021"/>
      <c r="AI86" s="2671"/>
      <c r="AJ86" s="2672"/>
      <c r="AK86" s="1492"/>
      <c r="AL86" s="2683"/>
    </row>
    <row r="87" spans="1:41" ht="15.75">
      <c r="A87" s="2089"/>
      <c r="B87" s="2479" t="s">
        <v>204</v>
      </c>
      <c r="C87" s="2089"/>
      <c r="D87" s="2089"/>
      <c r="E87" s="2045"/>
      <c r="F87" s="2045"/>
      <c r="G87" s="2045"/>
      <c r="H87" s="2045"/>
      <c r="I87" s="2045"/>
      <c r="J87" s="2045"/>
      <c r="K87" s="2045"/>
      <c r="L87" s="2051"/>
      <c r="M87" s="2051"/>
      <c r="N87" s="2051"/>
      <c r="O87" s="2051"/>
      <c r="P87" s="2051"/>
      <c r="Q87" s="2051"/>
      <c r="R87" s="2051"/>
      <c r="S87" s="2051"/>
      <c r="T87" s="2051"/>
      <c r="U87" s="2051"/>
      <c r="V87" s="2051"/>
      <c r="W87" s="2051"/>
      <c r="X87" s="2051"/>
      <c r="Y87" s="2051"/>
      <c r="Z87" s="2051"/>
      <c r="AA87" s="2051"/>
      <c r="AB87" s="2040"/>
      <c r="AC87" s="2084"/>
      <c r="AD87" s="2672"/>
      <c r="AE87" s="3310"/>
      <c r="AF87" s="2021"/>
      <c r="AG87" s="2672"/>
      <c r="AH87" s="2672"/>
      <c r="AI87" s="2719"/>
      <c r="AJ87" s="2672"/>
      <c r="AK87" s="1492"/>
      <c r="AL87" s="2683"/>
    </row>
    <row r="88" spans="1:41" ht="15.75">
      <c r="A88" s="2089"/>
      <c r="B88" s="2479" t="s">
        <v>205</v>
      </c>
      <c r="C88" s="2089"/>
      <c r="D88" s="2089"/>
      <c r="E88" s="2095">
        <f>ROUND(SUM(E64-E85),1)</f>
        <v>-276.60000000000002</v>
      </c>
      <c r="F88" s="2095"/>
      <c r="G88" s="2095">
        <f>ROUND(SUM(G64-G85),1)</f>
        <v>-617.6</v>
      </c>
      <c r="H88" s="2095"/>
      <c r="I88" s="2095">
        <f>ROUND(SUM(I64-I85),1)</f>
        <v>-522.1</v>
      </c>
      <c r="J88" s="2095"/>
      <c r="K88" s="2095">
        <f>ROUND(SUM(K64-K85),1)</f>
        <v>-346.9</v>
      </c>
      <c r="L88" s="1489"/>
      <c r="M88" s="1489">
        <f>ROUND(SUM(M64-M85),1)</f>
        <v>-449.6</v>
      </c>
      <c r="N88" s="1489"/>
      <c r="O88" s="1489">
        <f>ROUND(SUM(O64-O85),1)</f>
        <v>-452.8</v>
      </c>
      <c r="P88" s="1489"/>
      <c r="Q88" s="1489">
        <f>ROUND(SUM(Q64-Q85),1)</f>
        <v>964.1</v>
      </c>
      <c r="R88" s="1489"/>
      <c r="S88" s="1489">
        <f>ROUND(SUM(S64-S85),1)</f>
        <v>-566.9</v>
      </c>
      <c r="T88" s="1489"/>
      <c r="U88" s="1489">
        <f>ROUND(SUM(U64-U85),1)</f>
        <v>-508.4</v>
      </c>
      <c r="V88" s="1489"/>
      <c r="W88" s="1489">
        <f>ROUND(SUM(W64-W85),1)</f>
        <v>-179.3</v>
      </c>
      <c r="X88" s="1489"/>
      <c r="Y88" s="1489">
        <f>ROUND(SUM(Y64-Y85),1)</f>
        <v>-432.5</v>
      </c>
      <c r="Z88" s="1489"/>
      <c r="AA88" s="1489">
        <f>ROUND(SUM(AA64-AA85),1)</f>
        <v>0</v>
      </c>
      <c r="AB88" s="2095"/>
      <c r="AC88" s="2609"/>
      <c r="AD88" s="2095">
        <f>ROUND(SUM(AD64-AD85),1)</f>
        <v>-3388.6</v>
      </c>
      <c r="AE88" s="3322"/>
      <c r="AF88" s="1490"/>
      <c r="AG88" s="2095">
        <f>ROUND(SUM(AG64-AG85),1)</f>
        <v>-1964.3</v>
      </c>
      <c r="AH88" s="1490"/>
      <c r="AI88" s="2671"/>
      <c r="AJ88" s="2099">
        <f>ROUND(AD88-AG88,1)</f>
        <v>-1424.3</v>
      </c>
      <c r="AK88" s="2691"/>
      <c r="AL88" s="1494">
        <f>ROUND(IF(AG88=0,0,AJ88/ABS(AG88)),3)</f>
        <v>-0.72499999999999998</v>
      </c>
      <c r="AM88" s="2692"/>
      <c r="AN88" s="2720"/>
    </row>
    <row r="89" spans="1:41" ht="15.75">
      <c r="A89" s="2089"/>
      <c r="B89" s="2089"/>
      <c r="C89" s="2089"/>
      <c r="D89" s="2089"/>
      <c r="E89" s="2547"/>
      <c r="F89" s="2045"/>
      <c r="G89" s="2547"/>
      <c r="H89" s="2045"/>
      <c r="I89" s="2547"/>
      <c r="J89" s="2045"/>
      <c r="K89" s="2547"/>
      <c r="L89" s="2051"/>
      <c r="M89" s="2050"/>
      <c r="N89" s="2051"/>
      <c r="O89" s="2050"/>
      <c r="P89" s="2051"/>
      <c r="Q89" s="2050"/>
      <c r="R89" s="2051"/>
      <c r="S89" s="2050"/>
      <c r="T89" s="2051"/>
      <c r="U89" s="2050"/>
      <c r="V89" s="2051"/>
      <c r="W89" s="2050"/>
      <c r="X89" s="2051"/>
      <c r="Y89" s="2050"/>
      <c r="Z89" s="2051"/>
      <c r="AA89" s="2050"/>
      <c r="AB89" s="2040"/>
      <c r="AC89" s="2084"/>
      <c r="AD89" s="2096"/>
      <c r="AE89" s="3310"/>
      <c r="AF89" s="2021"/>
      <c r="AG89" s="2096"/>
      <c r="AH89" s="2021"/>
      <c r="AI89" s="2671"/>
      <c r="AJ89" s="2672"/>
      <c r="AK89" s="1492"/>
      <c r="AL89" s="2683"/>
    </row>
    <row r="90" spans="1:41" ht="15.75">
      <c r="A90" s="2089"/>
      <c r="B90" s="2479" t="s">
        <v>206</v>
      </c>
      <c r="C90" s="2089"/>
      <c r="D90" s="2089"/>
      <c r="E90" s="2045"/>
      <c r="F90" s="2045"/>
      <c r="G90" s="2045"/>
      <c r="H90" s="2045"/>
      <c r="I90" s="2045"/>
      <c r="J90" s="2045"/>
      <c r="K90" s="2045"/>
      <c r="L90" s="2051"/>
      <c r="M90" s="2051"/>
      <c r="N90" s="2051"/>
      <c r="O90" s="2051"/>
      <c r="P90" s="2051"/>
      <c r="Q90" s="2051"/>
      <c r="R90" s="2051"/>
      <c r="S90" s="2051"/>
      <c r="T90" s="2051"/>
      <c r="U90" s="2051"/>
      <c r="V90" s="2051"/>
      <c r="W90" s="2051"/>
      <c r="X90" s="2051"/>
      <c r="Y90" s="2051"/>
      <c r="Z90" s="2051"/>
      <c r="AA90" s="2051"/>
      <c r="AB90" s="2040"/>
      <c r="AC90" s="2084"/>
      <c r="AD90" s="2713"/>
      <c r="AE90" s="3310"/>
      <c r="AF90" s="2021"/>
      <c r="AG90" s="2713"/>
      <c r="AH90" s="2713"/>
      <c r="AI90" s="2714"/>
      <c r="AJ90" s="2672"/>
      <c r="AK90" s="1492"/>
      <c r="AL90" s="2683"/>
    </row>
    <row r="91" spans="1:41" ht="15.75">
      <c r="A91" s="2089"/>
      <c r="B91" s="2089" t="s">
        <v>207</v>
      </c>
      <c r="C91" s="2089"/>
      <c r="D91" s="2089"/>
      <c r="E91" s="2045">
        <v>0</v>
      </c>
      <c r="F91" s="2045"/>
      <c r="G91" s="2045">
        <v>0</v>
      </c>
      <c r="H91" s="2045"/>
      <c r="I91" s="2045">
        <v>0</v>
      </c>
      <c r="J91" s="2045"/>
      <c r="K91" s="2045">
        <v>0</v>
      </c>
      <c r="L91" s="2678"/>
      <c r="M91" s="2045">
        <v>0</v>
      </c>
      <c r="N91" s="2678"/>
      <c r="O91" s="2045">
        <v>0</v>
      </c>
      <c r="P91" s="2678"/>
      <c r="Q91" s="1830">
        <v>0</v>
      </c>
      <c r="R91" s="2678"/>
      <c r="S91" s="1830">
        <v>0</v>
      </c>
      <c r="T91" s="2678"/>
      <c r="U91" s="1830">
        <v>0</v>
      </c>
      <c r="V91" s="2678"/>
      <c r="W91" s="1830">
        <v>0</v>
      </c>
      <c r="X91" s="2678"/>
      <c r="Y91" s="1830">
        <f t="shared" ref="Y91:Y93" si="8">$AD91-$E91-$G91-$I91-$K91-$M91-$O91-$Q91-$S91-$U91-$W91</f>
        <v>0</v>
      </c>
      <c r="Z91" s="2678"/>
      <c r="AA91" s="1830"/>
      <c r="AB91" s="2040"/>
      <c r="AC91" s="2084"/>
      <c r="AD91" s="2045">
        <v>0</v>
      </c>
      <c r="AE91" s="3310"/>
      <c r="AF91" s="2021"/>
      <c r="AG91" s="2045">
        <v>0</v>
      </c>
      <c r="AH91" s="2713"/>
      <c r="AI91" s="2714"/>
      <c r="AJ91" s="2040">
        <f>ROUND(AD91-AG91,1)</f>
        <v>0</v>
      </c>
      <c r="AK91" s="2680"/>
      <c r="AL91" s="1466">
        <f>ROUND(IF(AG91=0,0,AJ91/ABS(AG91)),3)</f>
        <v>0</v>
      </c>
    </row>
    <row r="92" spans="1:41" ht="15.75">
      <c r="A92" s="2089"/>
      <c r="B92" s="2553" t="s">
        <v>174</v>
      </c>
      <c r="C92" s="2089"/>
      <c r="D92" s="2089"/>
      <c r="E92" s="2045">
        <v>509.2</v>
      </c>
      <c r="F92" s="2045"/>
      <c r="G92" s="2045">
        <v>412.40000000000003</v>
      </c>
      <c r="H92" s="2045"/>
      <c r="I92" s="2045">
        <v>633.49999999999977</v>
      </c>
      <c r="J92" s="2045"/>
      <c r="K92" s="2045">
        <v>260.60000000000014</v>
      </c>
      <c r="L92" s="2678"/>
      <c r="M92" s="2045">
        <v>486.29999999999995</v>
      </c>
      <c r="N92" s="2678"/>
      <c r="O92" s="2045">
        <v>752.30000000000041</v>
      </c>
      <c r="P92" s="2678"/>
      <c r="Q92" s="1830">
        <v>-532.50000000000023</v>
      </c>
      <c r="R92" s="2678"/>
      <c r="S92" s="1830">
        <v>494.60000000000014</v>
      </c>
      <c r="T92" s="2678"/>
      <c r="U92" s="1830">
        <v>508.40000000000009</v>
      </c>
      <c r="V92" s="2678"/>
      <c r="W92" s="1830">
        <v>322.89999999999986</v>
      </c>
      <c r="X92" s="2678"/>
      <c r="Y92" s="1830">
        <f t="shared" si="8"/>
        <v>480.90000000000032</v>
      </c>
      <c r="Z92" s="2678"/>
      <c r="AA92" s="1830"/>
      <c r="AB92" s="2040"/>
      <c r="AC92" s="2084"/>
      <c r="AD92" s="2045">
        <v>4328.6000000000004</v>
      </c>
      <c r="AE92" s="3310"/>
      <c r="AF92" s="2021"/>
      <c r="AG92" s="2045">
        <v>2553</v>
      </c>
      <c r="AH92" s="2039"/>
      <c r="AI92" s="2686"/>
      <c r="AJ92" s="2040">
        <f>ROUND(AD92-AG92,1)</f>
        <v>1775.6</v>
      </c>
      <c r="AK92" s="1492"/>
      <c r="AL92" s="1453">
        <f>ROUND(IF(AG92=0,0,AJ92/ABS(AG92)),3)</f>
        <v>0.69499999999999995</v>
      </c>
      <c r="AM92" s="1492"/>
    </row>
    <row r="93" spans="1:41" ht="15.75">
      <c r="A93" s="2089"/>
      <c r="B93" s="2553" t="s">
        <v>208</v>
      </c>
      <c r="C93" s="2089"/>
      <c r="D93" s="2089"/>
      <c r="E93" s="2045">
        <v>-45.9</v>
      </c>
      <c r="F93" s="2045"/>
      <c r="G93" s="2045">
        <v>-47.70000000000001</v>
      </c>
      <c r="H93" s="2045"/>
      <c r="I93" s="2045">
        <v>-48.699999999999996</v>
      </c>
      <c r="J93" s="2045"/>
      <c r="K93" s="2045">
        <v>-48.799999999999976</v>
      </c>
      <c r="L93" s="2678"/>
      <c r="M93" s="2045">
        <v>-69.500000000000028</v>
      </c>
      <c r="N93" s="2678"/>
      <c r="O93" s="2045">
        <v>-253.50000000000009</v>
      </c>
      <c r="P93" s="2678"/>
      <c r="Q93" s="1830">
        <v>-46.299999999999983</v>
      </c>
      <c r="R93" s="2678"/>
      <c r="S93" s="1830">
        <v>-45.399999999999864</v>
      </c>
      <c r="T93" s="2678"/>
      <c r="U93" s="1830">
        <v>-88.700000000000045</v>
      </c>
      <c r="V93" s="2678"/>
      <c r="W93" s="1830">
        <v>-45.600000000000023</v>
      </c>
      <c r="X93" s="2678"/>
      <c r="Y93" s="1830">
        <f t="shared" si="8"/>
        <v>-66.799999999999926</v>
      </c>
      <c r="Z93" s="2678"/>
      <c r="AA93" s="1830"/>
      <c r="AB93" s="2040"/>
      <c r="AC93" s="2084"/>
      <c r="AD93" s="3324">
        <v>-806.9</v>
      </c>
      <c r="AE93" s="3310"/>
      <c r="AF93" s="2021"/>
      <c r="AG93" s="3324">
        <v>-543.70000000000005</v>
      </c>
      <c r="AH93" s="2021"/>
      <c r="AI93" s="2671"/>
      <c r="AJ93" s="2718">
        <f>ROUND(-AD93+AG93,1)</f>
        <v>263.2</v>
      </c>
      <c r="AK93" s="1492"/>
      <c r="AL93" s="1454">
        <f>ROUND(IF(AG93=0,0,AJ93/ABS(AG93)),3)</f>
        <v>0.48399999999999999</v>
      </c>
      <c r="AM93" s="1492"/>
    </row>
    <row r="94" spans="1:41" ht="15.75">
      <c r="A94" s="2089"/>
      <c r="B94" s="2089"/>
      <c r="C94" s="2089"/>
      <c r="D94" s="2089"/>
      <c r="E94" s="2096"/>
      <c r="F94" s="2040"/>
      <c r="G94" s="2096"/>
      <c r="H94" s="2040"/>
      <c r="I94" s="2096"/>
      <c r="J94" s="2040"/>
      <c r="K94" s="2096"/>
      <c r="L94" s="2051"/>
      <c r="M94" s="2050"/>
      <c r="N94" s="2051"/>
      <c r="O94" s="2050"/>
      <c r="P94" s="2051"/>
      <c r="Q94" s="2050"/>
      <c r="R94" s="2051"/>
      <c r="S94" s="2050"/>
      <c r="T94" s="2051"/>
      <c r="U94" s="2096"/>
      <c r="V94" s="2051"/>
      <c r="W94" s="2050"/>
      <c r="X94" s="2051"/>
      <c r="Y94" s="2050"/>
      <c r="Z94" s="2051"/>
      <c r="AA94" s="2050"/>
      <c r="AB94" s="2040"/>
      <c r="AC94" s="2084"/>
      <c r="AD94" s="2672"/>
      <c r="AE94" s="3310"/>
      <c r="AF94" s="2021"/>
      <c r="AG94" s="2672"/>
      <c r="AH94" s="2672"/>
      <c r="AI94" s="2719"/>
      <c r="AJ94" s="2672"/>
      <c r="AK94" s="1492"/>
      <c r="AL94" s="2683"/>
    </row>
    <row r="95" spans="1:41" ht="15.75">
      <c r="A95" s="2089"/>
      <c r="B95" s="2479" t="s">
        <v>1210</v>
      </c>
      <c r="C95" s="2089"/>
      <c r="D95" s="2089"/>
      <c r="E95" s="2095">
        <f>ROUND(SUM(E91:E93),1)</f>
        <v>463.3</v>
      </c>
      <c r="F95" s="2095"/>
      <c r="G95" s="2095">
        <f>ROUND(SUM(G91:G93),1)</f>
        <v>364.7</v>
      </c>
      <c r="H95" s="2095"/>
      <c r="I95" s="2095">
        <f>ROUND(SUM(I91:I93),1)</f>
        <v>584.79999999999995</v>
      </c>
      <c r="J95" s="2095"/>
      <c r="K95" s="2095">
        <f>ROUND(SUM(K91:K93),1)</f>
        <v>211.8</v>
      </c>
      <c r="L95" s="1489"/>
      <c r="M95" s="1489">
        <f>ROUND(SUM(M91:M93),1)</f>
        <v>416.8</v>
      </c>
      <c r="N95" s="1489"/>
      <c r="O95" s="1489">
        <f>ROUND(SUM(O91:O93),1)</f>
        <v>498.8</v>
      </c>
      <c r="P95" s="1489"/>
      <c r="Q95" s="1489">
        <f>ROUND(SUM(Q91:Q93),1)</f>
        <v>-578.79999999999995</v>
      </c>
      <c r="R95" s="1489"/>
      <c r="S95" s="1489">
        <f>ROUND(SUM(S91:S93),1)</f>
        <v>449.2</v>
      </c>
      <c r="T95" s="1489"/>
      <c r="U95" s="1489">
        <f>ROUND(SUM(U91:U93),1)</f>
        <v>419.7</v>
      </c>
      <c r="V95" s="1489"/>
      <c r="W95" s="1489">
        <f>ROUND(SUM(W91:W93),1)</f>
        <v>277.3</v>
      </c>
      <c r="X95" s="1489"/>
      <c r="Y95" s="1489">
        <f>ROUND(SUM(Y91:Y93),1)</f>
        <v>414.1</v>
      </c>
      <c r="Z95" s="1489"/>
      <c r="AA95" s="1489">
        <f>ROUND(SUM(AA91:AA93),1)</f>
        <v>0</v>
      </c>
      <c r="AB95" s="2095"/>
      <c r="AC95" s="2609"/>
      <c r="AD95" s="1490">
        <f>ROUND(SUM(AD91:AD93),1)</f>
        <v>3521.7</v>
      </c>
      <c r="AE95" s="3322"/>
      <c r="AF95" s="1490"/>
      <c r="AG95" s="1490">
        <f>ROUND(SUM(AG91:AG93),1)</f>
        <v>2009.3</v>
      </c>
      <c r="AH95" s="1490"/>
      <c r="AI95" s="2671"/>
      <c r="AJ95" s="2099">
        <f>ROUND(AD95-AG95,1)</f>
        <v>1512.4</v>
      </c>
      <c r="AK95" s="2691"/>
      <c r="AL95" s="1494">
        <f>ROUND(IF(AG95=0,0,AJ95/ABS(AG95)),3)</f>
        <v>0.753</v>
      </c>
      <c r="AM95" s="2692"/>
      <c r="AN95" s="2692"/>
      <c r="AO95" s="2720"/>
    </row>
    <row r="96" spans="1:41" ht="15.75">
      <c r="A96" s="2089"/>
      <c r="B96" s="2089"/>
      <c r="C96" s="2089"/>
      <c r="D96" s="2089"/>
      <c r="E96" s="2096"/>
      <c r="F96" s="2040"/>
      <c r="G96" s="2096"/>
      <c r="H96" s="2040"/>
      <c r="I96" s="2096"/>
      <c r="J96" s="2040"/>
      <c r="K96" s="2096"/>
      <c r="L96" s="2051"/>
      <c r="M96" s="2050"/>
      <c r="N96" s="2051"/>
      <c r="O96" s="2050"/>
      <c r="P96" s="2051"/>
      <c r="Q96" s="2050"/>
      <c r="R96" s="2051"/>
      <c r="S96" s="2050"/>
      <c r="T96" s="2051"/>
      <c r="U96" s="2050"/>
      <c r="V96" s="2051"/>
      <c r="W96" s="2050"/>
      <c r="X96" s="2051"/>
      <c r="Y96" s="2050"/>
      <c r="Z96" s="2051"/>
      <c r="AA96" s="2050"/>
      <c r="AB96" s="2040"/>
      <c r="AC96" s="2084"/>
      <c r="AD96" s="2096"/>
      <c r="AE96" s="3310"/>
      <c r="AF96" s="2021"/>
      <c r="AG96" s="2096"/>
      <c r="AH96" s="2021"/>
      <c r="AI96" s="2671"/>
      <c r="AJ96" s="2672"/>
      <c r="AK96" s="1492"/>
      <c r="AL96" s="2683"/>
      <c r="AO96" s="2711"/>
    </row>
    <row r="97" spans="1:41" ht="15.75">
      <c r="A97" s="2089"/>
      <c r="B97" s="2089"/>
      <c r="C97" s="2089"/>
      <c r="D97" s="2089"/>
      <c r="E97" s="2040" t="s">
        <v>15</v>
      </c>
      <c r="F97" s="2040" t="s">
        <v>15</v>
      </c>
      <c r="G97" s="2040" t="s">
        <v>15</v>
      </c>
      <c r="H97" s="2040"/>
      <c r="I97" s="2040" t="s">
        <v>15</v>
      </c>
      <c r="J97" s="2040"/>
      <c r="K97" s="2040" t="s">
        <v>15</v>
      </c>
      <c r="L97" s="2051"/>
      <c r="M97" s="2051" t="s">
        <v>15</v>
      </c>
      <c r="N97" s="2051"/>
      <c r="O97" s="2051" t="s">
        <v>15</v>
      </c>
      <c r="P97" s="2051"/>
      <c r="Q97" s="2051" t="s">
        <v>15</v>
      </c>
      <c r="R97" s="2051"/>
      <c r="S97" s="2051" t="s">
        <v>15</v>
      </c>
      <c r="T97" s="2051"/>
      <c r="U97" s="2051" t="s">
        <v>15</v>
      </c>
      <c r="V97" s="2051"/>
      <c r="W97" s="2051" t="s">
        <v>15</v>
      </c>
      <c r="X97" s="2051"/>
      <c r="Y97" s="2051" t="s">
        <v>15</v>
      </c>
      <c r="Z97" s="2051"/>
      <c r="AA97" s="2051" t="s">
        <v>15</v>
      </c>
      <c r="AB97" s="2040"/>
      <c r="AC97" s="2084"/>
      <c r="AD97" s="2040"/>
      <c r="AE97" s="3310"/>
      <c r="AF97" s="2021"/>
      <c r="AG97" s="2040"/>
      <c r="AH97" s="2040"/>
      <c r="AI97" s="2671"/>
      <c r="AJ97" s="2672" t="s">
        <v>15</v>
      </c>
      <c r="AK97" s="1492"/>
      <c r="AL97" s="2683"/>
    </row>
    <row r="98" spans="1:41" ht="15.75">
      <c r="A98" s="2089"/>
      <c r="B98" s="2479" t="s">
        <v>210</v>
      </c>
      <c r="C98" s="2089"/>
      <c r="D98" s="2089"/>
      <c r="E98" s="2040"/>
      <c r="F98" s="2040"/>
      <c r="G98" s="2040" t="s">
        <v>15</v>
      </c>
      <c r="H98" s="2040"/>
      <c r="I98" s="2040" t="s">
        <v>15</v>
      </c>
      <c r="J98" s="2040"/>
      <c r="K98" s="2040" t="s">
        <v>15</v>
      </c>
      <c r="L98" s="2051"/>
      <c r="M98" s="2051" t="s">
        <v>15</v>
      </c>
      <c r="N98" s="2051"/>
      <c r="O98" s="2051" t="s">
        <v>15</v>
      </c>
      <c r="P98" s="2051"/>
      <c r="Q98" s="2051" t="s">
        <v>15</v>
      </c>
      <c r="R98" s="2051"/>
      <c r="S98" s="2051" t="s">
        <v>15</v>
      </c>
      <c r="T98" s="2051"/>
      <c r="U98" s="2051" t="s">
        <v>15</v>
      </c>
      <c r="V98" s="2051"/>
      <c r="W98" s="2051" t="s">
        <v>15</v>
      </c>
      <c r="X98" s="2051"/>
      <c r="Y98" s="2051" t="s">
        <v>15</v>
      </c>
      <c r="Z98" s="2051"/>
      <c r="AA98" s="2051" t="s">
        <v>15</v>
      </c>
      <c r="AB98" s="2040"/>
      <c r="AC98" s="2084"/>
      <c r="AD98" s="2040"/>
      <c r="AE98" s="3310"/>
      <c r="AF98" s="2021"/>
      <c r="AG98" s="2040"/>
      <c r="AH98" s="2040"/>
      <c r="AI98" s="2671"/>
      <c r="AJ98" s="2672"/>
      <c r="AK98" s="1492"/>
      <c r="AL98" s="2683"/>
    </row>
    <row r="99" spans="1:41" ht="15.75">
      <c r="A99" s="2089"/>
      <c r="B99" s="2479" t="s">
        <v>211</v>
      </c>
      <c r="C99" s="2089"/>
      <c r="D99" s="2089"/>
      <c r="E99" s="2040" t="s">
        <v>15</v>
      </c>
      <c r="F99" s="2040"/>
      <c r="G99" s="2040"/>
      <c r="H99" s="2040"/>
      <c r="I99" s="2040"/>
      <c r="J99" s="2040"/>
      <c r="K99" s="2040"/>
      <c r="L99" s="2051"/>
      <c r="M99" s="2051"/>
      <c r="N99" s="2051"/>
      <c r="O99" s="2051"/>
      <c r="P99" s="2051"/>
      <c r="Q99" s="2051"/>
      <c r="R99" s="2051"/>
      <c r="S99" s="2051"/>
      <c r="T99" s="2051"/>
      <c r="U99" s="2051"/>
      <c r="V99" s="2051"/>
      <c r="W99" s="2051"/>
      <c r="X99" s="2051"/>
      <c r="Y99" s="2051"/>
      <c r="Z99" s="2051"/>
      <c r="AA99" s="2051"/>
      <c r="AB99" s="2040"/>
      <c r="AC99" s="2084"/>
      <c r="AD99" s="2672"/>
      <c r="AE99" s="3310"/>
      <c r="AF99" s="2021"/>
      <c r="AG99" s="2672"/>
      <c r="AH99" s="2672"/>
      <c r="AI99" s="2719"/>
      <c r="AJ99" s="2672"/>
      <c r="AK99" s="1492"/>
      <c r="AL99" s="2683"/>
      <c r="AO99" s="2721"/>
    </row>
    <row r="100" spans="1:41" s="2730" customFormat="1" ht="15.75">
      <c r="A100" s="2051"/>
      <c r="B100" s="1489" t="s">
        <v>1211</v>
      </c>
      <c r="C100" s="2051"/>
      <c r="D100" s="2051"/>
      <c r="E100" s="2722">
        <f>ROUND(SUM(E88+E95),1)</f>
        <v>186.7</v>
      </c>
      <c r="F100" s="2723"/>
      <c r="G100" s="2722">
        <f>ROUND(SUM(G88+G95),1)</f>
        <v>-252.9</v>
      </c>
      <c r="H100" s="2723"/>
      <c r="I100" s="2722">
        <f>ROUND(SUM(I88+I95),1)</f>
        <v>62.7</v>
      </c>
      <c r="J100" s="2723"/>
      <c r="K100" s="2722">
        <f>ROUND(SUM(K88+K95),1)</f>
        <v>-135.1</v>
      </c>
      <c r="L100" s="2724"/>
      <c r="M100" s="2722">
        <f>ROUND(SUM(M88+M95),1)</f>
        <v>-32.799999999999997</v>
      </c>
      <c r="N100" s="2724"/>
      <c r="O100" s="2722">
        <f>ROUND(SUM(O88+O95),1)</f>
        <v>46</v>
      </c>
      <c r="P100" s="2724"/>
      <c r="Q100" s="2722">
        <f>ROUND(SUM(Q88+Q95),1)</f>
        <v>385.3</v>
      </c>
      <c r="R100" s="2724"/>
      <c r="S100" s="2722">
        <f>ROUND(SUM(S88+S95),1)</f>
        <v>-117.7</v>
      </c>
      <c r="T100" s="2724"/>
      <c r="U100" s="2722">
        <f>ROUND(SUM(U88+U95),1)</f>
        <v>-88.7</v>
      </c>
      <c r="V100" s="2724"/>
      <c r="W100" s="2722">
        <f>ROUND(SUM(W88+W95),1)</f>
        <v>98</v>
      </c>
      <c r="X100" s="2725"/>
      <c r="Y100" s="2722">
        <f>ROUND(SUM(Y88+Y95),1)</f>
        <v>-18.399999999999999</v>
      </c>
      <c r="Z100" s="2724"/>
      <c r="AA100" s="2722">
        <f>ROUND(SUM(AA88+AA95),1)</f>
        <v>0</v>
      </c>
      <c r="AB100" s="2723"/>
      <c r="AC100" s="2726"/>
      <c r="AD100" s="2722">
        <f>ROUND(SUM(AD88+AD95),1)</f>
        <v>133.1</v>
      </c>
      <c r="AE100" s="3325"/>
      <c r="AF100" s="1490"/>
      <c r="AG100" s="2722">
        <f>ROUND(SUM(AG88+AG95),1)</f>
        <v>45</v>
      </c>
      <c r="AH100" s="2727"/>
      <c r="AI100" s="2719"/>
      <c r="AJ100" s="2722">
        <f>ROUND(SUM(AJ88+AJ95),1)</f>
        <v>88.1</v>
      </c>
      <c r="AK100" s="2728"/>
      <c r="AL100" s="1494">
        <f>ROUND(IF(AG100=0,0,AJ100/ABS(AG100)),3)</f>
        <v>1.958</v>
      </c>
      <c r="AM100" s="2729"/>
    </row>
    <row r="101" spans="1:41">
      <c r="B101" s="2731"/>
      <c r="X101" s="2732"/>
      <c r="AC101" s="2733"/>
      <c r="AF101" s="2733"/>
      <c r="AI101" s="2734"/>
    </row>
    <row r="102" spans="1:41" ht="16.5" thickBot="1">
      <c r="B102" s="2479" t="s">
        <v>1209</v>
      </c>
      <c r="C102" s="2735"/>
      <c r="D102" s="2735"/>
      <c r="E102" s="2736">
        <f>ROUND(SUM(E14+E100),1)</f>
        <v>-446.5</v>
      </c>
      <c r="F102" s="2737"/>
      <c r="G102" s="2736">
        <f>ROUND(SUM(G14+G100),1)</f>
        <v>-699.4</v>
      </c>
      <c r="I102" s="2736">
        <f>ROUND(SUM(I14+I100),1)</f>
        <v>-636.70000000000005</v>
      </c>
      <c r="K102" s="2736">
        <f>ROUND(SUM(K14+K100),1)</f>
        <v>-771.8</v>
      </c>
      <c r="M102" s="2738">
        <f>ROUND(SUM(M14+M100),1)</f>
        <v>-804.6</v>
      </c>
      <c r="O102" s="2738">
        <f>ROUND(SUM(O14+O100),1)</f>
        <v>-758.6</v>
      </c>
      <c r="Q102" s="2738">
        <f>ROUND(SUM(Q14+Q100),1)</f>
        <v>-373.3</v>
      </c>
      <c r="S102" s="2738">
        <f>ROUND(SUM(S14+S100),1)</f>
        <v>-491</v>
      </c>
      <c r="U102" s="2738">
        <f>ROUND(SUM(U14+U100),1)</f>
        <v>-579.70000000000005</v>
      </c>
      <c r="W102" s="2738">
        <f>ROUND(SUM(W14+W100),1)</f>
        <v>-481.7</v>
      </c>
      <c r="Y102" s="2738">
        <f>ROUND(SUM(Y14+Y100),1)</f>
        <v>-500.1</v>
      </c>
      <c r="AA102" s="2738">
        <f>ROUND(SUM(AA14+AA100),1)</f>
        <v>0</v>
      </c>
      <c r="AC102" s="2733"/>
      <c r="AD102" s="2736">
        <f>ROUND(SUM(AD14+AD100),1)</f>
        <v>-500.1</v>
      </c>
      <c r="AF102" s="2733"/>
      <c r="AG102" s="2736">
        <f>ROUND(SUM(AG14+AG100),1)</f>
        <v>-523.4</v>
      </c>
      <c r="AI102" s="2734"/>
      <c r="AJ102" s="2736">
        <f>ROUND(SUM(AJ14+AJ100),1)</f>
        <v>23.3</v>
      </c>
      <c r="AL102" s="2022">
        <f>ROUND(IF(AG102=0,0,AJ102/ABS(AG102)),3)</f>
        <v>4.4999999999999998E-2</v>
      </c>
    </row>
    <row r="103" spans="1:41" ht="15.75" thickTop="1">
      <c r="B103" s="2739"/>
      <c r="C103" s="2735"/>
      <c r="D103" s="2735"/>
      <c r="E103" s="2737"/>
      <c r="F103" s="2737"/>
      <c r="G103" s="2737"/>
      <c r="AG103" s="3615"/>
      <c r="AJ103" s="2740"/>
    </row>
    <row r="104" spans="1:41">
      <c r="B104" s="2741"/>
    </row>
    <row r="105" spans="1:41">
      <c r="B105" s="2741"/>
      <c r="AD105" s="3309"/>
    </row>
    <row r="106" spans="1:41">
      <c r="B106" s="2742"/>
    </row>
    <row r="107" spans="1:41">
      <c r="B107" s="2741"/>
    </row>
    <row r="108" spans="1:41">
      <c r="B108" s="2741"/>
    </row>
    <row r="109" spans="1:41">
      <c r="B109" s="2742"/>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workbookViewId="0"/>
  </sheetViews>
  <sheetFormatPr defaultColWidth="8.88671875" defaultRowHeight="15"/>
  <cols>
    <col min="1" max="1" width="2.5546875" style="101" customWidth="1"/>
    <col min="2" max="2" width="14.109375" style="101" customWidth="1"/>
    <col min="3" max="3" width="26.5546875" style="101" customWidth="1"/>
    <col min="4" max="4" width="2.109375" style="1104" customWidth="1"/>
    <col min="5" max="5" width="11.109375" style="1104" customWidth="1"/>
    <col min="6" max="6" width="1.88671875" style="1104" customWidth="1"/>
    <col min="7" max="7" width="11" style="1104" bestFit="1" customWidth="1"/>
    <col min="8" max="8" width="1.88671875" style="1104" customWidth="1"/>
    <col min="9" max="9" width="11" style="1104" bestFit="1" customWidth="1"/>
    <col min="10" max="10" width="1.88671875" style="1104" customWidth="1"/>
    <col min="11" max="11" width="12.109375" style="1104" customWidth="1"/>
    <col min="12" max="12" width="1.88671875" style="101" customWidth="1"/>
    <col min="13" max="13" width="11" style="101" customWidth="1"/>
    <col min="14" max="14" width="1.88671875" style="101" customWidth="1"/>
    <col min="15" max="15" width="13.88671875" style="101" customWidth="1"/>
    <col min="16" max="16" width="1.88671875" style="101" customWidth="1"/>
    <col min="17" max="17" width="12.44140625" style="101" customWidth="1"/>
    <col min="18" max="18" width="1.88671875" style="101" customWidth="1"/>
    <col min="19" max="19" width="12.5546875" style="101" customWidth="1"/>
    <col min="20" max="20" width="1.88671875" style="101" customWidth="1"/>
    <col min="21" max="21" width="10.88671875" style="101" customWidth="1"/>
    <col min="22" max="22" width="1.88671875" style="101" customWidth="1"/>
    <col min="23" max="23" width="10.5546875" style="101" customWidth="1"/>
    <col min="24" max="24" width="1.88671875" style="101" customWidth="1"/>
    <col min="25" max="25" width="10.88671875" style="101" customWidth="1"/>
    <col min="26" max="26" width="1.88671875" style="101" customWidth="1"/>
    <col min="27" max="27" width="11.88671875" style="1104" customWidth="1"/>
    <col min="28" max="29" width="1.88671875" style="1104" customWidth="1"/>
    <col min="30" max="30" width="10.5546875" style="1104" customWidth="1"/>
    <col min="31" max="32" width="1" style="1104" customWidth="1"/>
    <col min="33" max="33" width="12.88671875" style="1104" customWidth="1"/>
    <col min="34" max="35" width="1" style="1104" customWidth="1"/>
    <col min="36" max="36" width="13.109375" style="1104" bestFit="1" customWidth="1"/>
    <col min="37" max="37" width="1.109375" style="101" customWidth="1"/>
    <col min="38" max="38" width="11.5546875" style="101" customWidth="1"/>
    <col min="39" max="16384" width="8.88671875" style="101"/>
  </cols>
  <sheetData>
    <row r="1" spans="1:39">
      <c r="B1" s="653" t="s">
        <v>979</v>
      </c>
    </row>
    <row r="2" spans="1:39">
      <c r="B2" s="836"/>
    </row>
    <row r="3" spans="1:39" ht="19.5" customHeight="1">
      <c r="A3" s="316"/>
      <c r="B3" s="322" t="s">
        <v>0</v>
      </c>
      <c r="C3" s="317"/>
      <c r="D3" s="1105"/>
      <c r="E3" s="1105"/>
      <c r="F3" s="1106"/>
      <c r="G3" s="1106"/>
      <c r="H3" s="1106"/>
      <c r="I3" s="1106"/>
      <c r="J3" s="1106"/>
      <c r="K3" s="1106"/>
      <c r="L3" s="318"/>
      <c r="M3" s="318"/>
      <c r="N3" s="318"/>
      <c r="O3" s="318"/>
      <c r="P3" s="318"/>
      <c r="Q3" s="318"/>
      <c r="R3" s="318"/>
      <c r="S3" s="361"/>
      <c r="T3" s="318"/>
      <c r="U3" s="318"/>
      <c r="V3" s="318"/>
      <c r="W3" s="318"/>
      <c r="X3" s="318"/>
      <c r="Y3" s="318"/>
      <c r="Z3" s="318"/>
      <c r="AA3" s="1106"/>
      <c r="AB3" s="1106"/>
      <c r="AC3" s="1106"/>
      <c r="AD3" s="1106"/>
      <c r="AE3" s="1106"/>
      <c r="AF3" s="1106"/>
      <c r="AG3" s="1106"/>
      <c r="AH3" s="1106"/>
      <c r="AI3" s="1106"/>
      <c r="AL3" s="270" t="s">
        <v>195</v>
      </c>
    </row>
    <row r="4" spans="1:39" ht="19.5" customHeight="1">
      <c r="A4" s="316"/>
      <c r="B4" s="322" t="s">
        <v>213</v>
      </c>
      <c r="C4" s="317"/>
      <c r="D4" s="1105"/>
      <c r="E4" s="1105"/>
      <c r="F4" s="1106"/>
      <c r="G4" s="1106"/>
      <c r="H4" s="1106"/>
      <c r="I4" s="1106"/>
      <c r="J4" s="1106"/>
      <c r="K4" s="1106"/>
      <c r="L4" s="318"/>
      <c r="M4" s="318"/>
      <c r="N4" s="318"/>
      <c r="O4" s="318"/>
      <c r="P4" s="318"/>
      <c r="Q4" s="318"/>
      <c r="R4" s="318"/>
      <c r="S4" s="318"/>
      <c r="T4" s="318"/>
      <c r="U4" s="318"/>
      <c r="V4" s="318"/>
      <c r="W4" s="318"/>
      <c r="X4" s="318"/>
      <c r="Y4" s="318"/>
      <c r="Z4" s="318"/>
      <c r="AA4" s="1106"/>
      <c r="AB4" s="1106"/>
      <c r="AC4" s="1106"/>
      <c r="AE4" s="3326"/>
      <c r="AF4" s="3326"/>
    </row>
    <row r="5" spans="1:39" ht="19.5" customHeight="1">
      <c r="A5" s="316"/>
      <c r="B5" s="1569" t="s">
        <v>149</v>
      </c>
      <c r="C5" s="317"/>
      <c r="D5" s="1105"/>
      <c r="E5" s="1105"/>
      <c r="F5" s="1106"/>
      <c r="G5" s="1106"/>
      <c r="H5" s="1106"/>
      <c r="I5" s="1106"/>
      <c r="J5" s="1106"/>
      <c r="K5" s="1106"/>
      <c r="L5" s="318"/>
      <c r="M5" s="318"/>
      <c r="N5" s="318"/>
      <c r="O5" s="318"/>
      <c r="P5" s="318"/>
      <c r="Q5" s="318"/>
      <c r="R5" s="318"/>
      <c r="S5" s="318"/>
      <c r="T5" s="318"/>
      <c r="U5" s="318"/>
      <c r="V5" s="318"/>
      <c r="W5" s="318"/>
      <c r="X5" s="318"/>
      <c r="Y5" s="318"/>
      <c r="Z5" s="318"/>
      <c r="AA5" s="1106"/>
      <c r="AB5" s="1106"/>
      <c r="AC5" s="1106"/>
      <c r="AD5" s="1106"/>
      <c r="AE5" s="1106"/>
      <c r="AF5" s="1106"/>
      <c r="AG5" s="1106"/>
      <c r="AH5" s="1106"/>
      <c r="AI5" s="1106"/>
      <c r="AL5" s="270"/>
    </row>
    <row r="6" spans="1:39" ht="19.5" customHeight="1">
      <c r="A6" s="316"/>
      <c r="B6" s="1569" t="str">
        <f>'Cashflow Governmental'!A6</f>
        <v xml:space="preserve">FISCAL YEAR 2019-2020   </v>
      </c>
      <c r="C6" s="894"/>
      <c r="D6" s="1105"/>
      <c r="E6" s="1105"/>
      <c r="F6" s="1106"/>
      <c r="G6" s="1106"/>
      <c r="H6" s="1107"/>
      <c r="I6" s="1106"/>
      <c r="J6" s="1106"/>
      <c r="K6" s="1106"/>
      <c r="L6" s="318"/>
      <c r="M6" s="318"/>
      <c r="N6" s="318"/>
      <c r="O6" s="318"/>
      <c r="P6" s="318"/>
      <c r="Q6" s="318"/>
      <c r="R6" s="318"/>
      <c r="S6" s="318"/>
      <c r="T6" s="318"/>
      <c r="U6" s="318"/>
      <c r="V6" s="318"/>
      <c r="W6" s="318"/>
      <c r="X6" s="318"/>
      <c r="Y6" s="318"/>
      <c r="Z6" s="318"/>
      <c r="AA6" s="1106"/>
      <c r="AB6" s="1106"/>
      <c r="AC6" s="1106"/>
      <c r="AD6" s="1106"/>
      <c r="AE6" s="1111"/>
      <c r="AF6" s="1111"/>
      <c r="AG6" s="1111"/>
      <c r="AH6" s="1111"/>
      <c r="AI6" s="1111"/>
    </row>
    <row r="7" spans="1:39" ht="19.5" customHeight="1">
      <c r="A7" s="316"/>
      <c r="B7" s="322" t="s">
        <v>1417</v>
      </c>
      <c r="C7" s="317"/>
      <c r="D7" s="1105"/>
      <c r="E7" s="1105"/>
      <c r="F7" s="1106"/>
      <c r="G7" s="1106"/>
      <c r="H7" s="1107"/>
      <c r="I7" s="1106"/>
      <c r="J7" s="1106"/>
      <c r="K7" s="1106"/>
      <c r="L7" s="318"/>
      <c r="M7" s="318"/>
      <c r="N7" s="318"/>
      <c r="O7" s="318"/>
      <c r="P7" s="318"/>
      <c r="Q7" s="318"/>
      <c r="R7" s="318"/>
      <c r="S7" s="318"/>
      <c r="T7" s="318"/>
      <c r="U7" s="318"/>
      <c r="V7" s="318"/>
      <c r="W7" s="318"/>
      <c r="X7" s="318"/>
      <c r="Y7" s="318"/>
      <c r="Z7" s="318"/>
      <c r="AA7" s="1106"/>
      <c r="AB7" s="1106"/>
      <c r="AC7" s="1106"/>
      <c r="AD7" s="1106"/>
      <c r="AE7" s="1111"/>
      <c r="AF7" s="1111"/>
      <c r="AG7" s="1111"/>
      <c r="AH7" s="1111"/>
      <c r="AI7" s="1111"/>
    </row>
    <row r="8" spans="1:39" ht="19.5" customHeight="1">
      <c r="A8" s="316"/>
      <c r="B8" s="268"/>
      <c r="C8" s="317"/>
      <c r="D8" s="1105"/>
      <c r="E8" s="1105"/>
      <c r="F8" s="1106"/>
      <c r="G8" s="1106"/>
      <c r="H8" s="1107"/>
      <c r="I8" s="1106"/>
      <c r="J8" s="1106"/>
      <c r="K8" s="1106"/>
      <c r="L8" s="318"/>
      <c r="M8" s="318"/>
      <c r="N8" s="318"/>
      <c r="O8" s="318"/>
      <c r="P8" s="318"/>
      <c r="Q8" s="318"/>
      <c r="R8" s="318"/>
      <c r="S8" s="318"/>
      <c r="T8" s="318"/>
      <c r="U8" s="318"/>
      <c r="V8" s="318"/>
      <c r="W8" s="318"/>
      <c r="X8" s="318"/>
      <c r="Y8" s="318"/>
      <c r="Z8" s="318"/>
      <c r="AA8" s="1106"/>
      <c r="AB8" s="1106"/>
      <c r="AC8" s="1106"/>
      <c r="AD8" s="1106"/>
      <c r="AE8" s="1111"/>
      <c r="AF8" s="1111"/>
      <c r="AG8" s="1111"/>
      <c r="AH8" s="1111"/>
      <c r="AI8" s="1111"/>
    </row>
    <row r="9" spans="1:39" ht="15.75" customHeight="1">
      <c r="A9" s="316"/>
      <c r="B9" s="322"/>
      <c r="C9" s="317"/>
      <c r="D9" s="1105"/>
      <c r="E9" s="1105"/>
      <c r="F9" s="1106"/>
      <c r="G9" s="1106"/>
      <c r="H9" s="1106"/>
      <c r="I9" s="1106"/>
      <c r="J9" s="1106"/>
      <c r="K9" s="1106"/>
      <c r="L9" s="318"/>
      <c r="M9" s="318"/>
      <c r="N9" s="318"/>
      <c r="O9" s="318"/>
      <c r="P9" s="318"/>
      <c r="Q9" s="318"/>
      <c r="R9" s="318"/>
      <c r="S9" s="318"/>
      <c r="T9" s="318"/>
      <c r="U9" s="318"/>
      <c r="V9" s="318"/>
      <c r="W9" s="318"/>
      <c r="X9" s="318"/>
      <c r="Y9" s="318"/>
      <c r="Z9" s="318"/>
      <c r="AA9" s="1106"/>
      <c r="AB9" s="1106"/>
      <c r="AC9" s="1112"/>
    </row>
    <row r="10" spans="1:39" ht="23.25">
      <c r="A10" s="316"/>
      <c r="B10" s="322"/>
      <c r="C10" s="317"/>
      <c r="D10" s="1105"/>
      <c r="E10" s="1105"/>
      <c r="F10" s="1106"/>
      <c r="G10" s="1106"/>
      <c r="H10" s="1106"/>
      <c r="I10" s="1106"/>
      <c r="J10" s="1106"/>
      <c r="K10" s="1106"/>
      <c r="L10" s="318"/>
      <c r="M10" s="318"/>
      <c r="N10" s="318"/>
      <c r="O10" s="318"/>
      <c r="P10" s="318"/>
      <c r="Q10" s="318"/>
      <c r="R10" s="318"/>
      <c r="S10" s="318"/>
      <c r="T10" s="318"/>
      <c r="U10" s="318"/>
      <c r="V10" s="318"/>
      <c r="W10" s="318"/>
      <c r="X10" s="318"/>
      <c r="Y10" s="318"/>
      <c r="Z10" s="318"/>
      <c r="AA10" s="1106"/>
      <c r="AB10" s="1106"/>
      <c r="AC10" s="1112"/>
      <c r="AD10" s="3932" t="s">
        <v>1594</v>
      </c>
      <c r="AE10" s="3933"/>
      <c r="AF10" s="3933"/>
      <c r="AG10" s="3933"/>
      <c r="AH10" s="3933"/>
      <c r="AI10" s="3933"/>
      <c r="AJ10" s="3933"/>
      <c r="AK10" s="3933"/>
      <c r="AL10" s="3933"/>
    </row>
    <row r="11" spans="1:39" ht="15.75">
      <c r="A11" s="325"/>
      <c r="B11" s="325"/>
      <c r="C11" s="325"/>
      <c r="D11" s="1124"/>
      <c r="E11" s="751" t="str">
        <f>'Cashflow Governmental'!C13</f>
        <v>2019</v>
      </c>
      <c r="F11" s="1108"/>
      <c r="G11" s="1108"/>
      <c r="H11" s="1108"/>
      <c r="I11" s="1108"/>
      <c r="J11" s="1108"/>
      <c r="K11" s="1108"/>
      <c r="L11" s="769"/>
      <c r="M11" s="769"/>
      <c r="N11" s="769"/>
      <c r="O11" s="769"/>
      <c r="P11" s="769"/>
      <c r="Q11" s="769"/>
      <c r="R11" s="769"/>
      <c r="S11" s="769"/>
      <c r="T11" s="769"/>
      <c r="U11" s="769"/>
      <c r="V11" s="769"/>
      <c r="W11" s="756" t="str">
        <f>'Cashflow Governmental'!U13</f>
        <v>2020</v>
      </c>
      <c r="X11" s="769"/>
      <c r="Y11" s="769"/>
      <c r="Z11" s="769"/>
      <c r="AA11" s="1108"/>
      <c r="AB11" s="1108"/>
      <c r="AC11" s="1108"/>
      <c r="AD11" s="1113"/>
      <c r="AE11" s="1113"/>
      <c r="AF11" s="1113"/>
      <c r="AG11" s="1113"/>
      <c r="AH11" s="1113"/>
      <c r="AI11" s="1113"/>
      <c r="AJ11" s="1114" t="s">
        <v>8</v>
      </c>
      <c r="AK11" s="760"/>
      <c r="AL11" s="757" t="s">
        <v>9</v>
      </c>
      <c r="AM11" s="773"/>
    </row>
    <row r="12" spans="1:39" ht="15.75">
      <c r="A12" s="31"/>
      <c r="B12" s="31"/>
      <c r="C12" s="31"/>
      <c r="D12" s="107"/>
      <c r="E12" s="771" t="s">
        <v>125</v>
      </c>
      <c r="F12" s="105"/>
      <c r="G12" s="771" t="s">
        <v>126</v>
      </c>
      <c r="H12" s="105"/>
      <c r="I12" s="771" t="s">
        <v>127</v>
      </c>
      <c r="J12" s="105"/>
      <c r="K12" s="771" t="s">
        <v>128</v>
      </c>
      <c r="L12" s="29"/>
      <c r="M12" s="745" t="s">
        <v>129</v>
      </c>
      <c r="N12" s="29"/>
      <c r="O12" s="745" t="s">
        <v>144</v>
      </c>
      <c r="P12" s="29"/>
      <c r="Q12" s="745" t="s">
        <v>145</v>
      </c>
      <c r="R12" s="29"/>
      <c r="S12" s="745" t="s">
        <v>132</v>
      </c>
      <c r="T12" s="29"/>
      <c r="U12" s="745" t="s">
        <v>133</v>
      </c>
      <c r="V12" s="29"/>
      <c r="W12" s="745" t="s">
        <v>134</v>
      </c>
      <c r="X12" s="29"/>
      <c r="Y12" s="745" t="s">
        <v>135</v>
      </c>
      <c r="Z12" s="29"/>
      <c r="AA12" s="771" t="s">
        <v>186</v>
      </c>
      <c r="AB12" s="105"/>
      <c r="AC12" s="105"/>
      <c r="AD12" s="771">
        <f>'Cashflow Governmental'!AB14</f>
        <v>2020</v>
      </c>
      <c r="AE12" s="105" t="s">
        <v>15</v>
      </c>
      <c r="AF12" s="105"/>
      <c r="AG12" s="771">
        <f>'Cashflow Governmental'!AE14</f>
        <v>2019</v>
      </c>
      <c r="AH12" s="772"/>
      <c r="AI12" s="772"/>
      <c r="AJ12" s="1115" t="s">
        <v>12</v>
      </c>
      <c r="AK12" s="759"/>
      <c r="AL12" s="765" t="s">
        <v>13</v>
      </c>
      <c r="AM12" s="773"/>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083"/>
      <c r="AD13" s="140"/>
      <c r="AE13" s="140"/>
      <c r="AF13" s="3303"/>
      <c r="AG13" s="140"/>
      <c r="AH13" s="140"/>
      <c r="AI13" s="1001"/>
      <c r="AJ13" s="1116"/>
      <c r="AK13" s="327"/>
      <c r="AL13" s="327"/>
    </row>
    <row r="14" spans="1:39" ht="15.75">
      <c r="A14" s="31"/>
      <c r="B14" s="1879" t="s">
        <v>1247</v>
      </c>
      <c r="C14" s="29"/>
      <c r="D14" s="1890"/>
      <c r="E14" s="308">
        <v>-504.7</v>
      </c>
      <c r="F14" s="140"/>
      <c r="G14" s="308">
        <f>E82</f>
        <v>-571.70000000000005</v>
      </c>
      <c r="H14" s="140"/>
      <c r="I14" s="135">
        <f>G82</f>
        <v>-549.79999999999995</v>
      </c>
      <c r="J14" s="140"/>
      <c r="K14" s="135">
        <f>I82</f>
        <v>-575.79999999999995</v>
      </c>
      <c r="L14" s="165"/>
      <c r="M14" s="94">
        <f>K82</f>
        <v>-562.70000000000005</v>
      </c>
      <c r="N14" s="165"/>
      <c r="O14" s="94">
        <f>M82</f>
        <v>-546.79999999999995</v>
      </c>
      <c r="P14" s="165"/>
      <c r="Q14" s="94">
        <f>O82</f>
        <v>-529.5</v>
      </c>
      <c r="R14" s="667"/>
      <c r="S14" s="94">
        <f>Q82</f>
        <v>-572.9</v>
      </c>
      <c r="T14" s="50"/>
      <c r="U14" s="94">
        <f>S82</f>
        <v>-551.29999999999995</v>
      </c>
      <c r="V14" s="667"/>
      <c r="W14" s="94">
        <f>U82</f>
        <v>-547.6</v>
      </c>
      <c r="X14" s="667"/>
      <c r="Y14" s="94">
        <f>W82</f>
        <v>-465.2</v>
      </c>
      <c r="Z14" s="50"/>
      <c r="AA14" s="135"/>
      <c r="AB14" s="140"/>
      <c r="AC14" s="1083"/>
      <c r="AD14" s="1895">
        <f>E14</f>
        <v>-504.7</v>
      </c>
      <c r="AE14" s="140"/>
      <c r="AF14" s="3303"/>
      <c r="AG14" s="1895">
        <v>-582.79999999999995</v>
      </c>
      <c r="AH14" s="140"/>
      <c r="AI14" s="1001"/>
      <c r="AJ14" s="1896">
        <f>+AD14-AG14</f>
        <v>78.099999999999966</v>
      </c>
      <c r="AK14" s="327"/>
      <c r="AL14" s="331">
        <f>-ROUND((+AJ14/AG14),3)</f>
        <v>0.13400000000000001</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083"/>
      <c r="AD15" s="140"/>
      <c r="AE15" s="140"/>
      <c r="AF15" s="3303"/>
      <c r="AG15" s="140"/>
      <c r="AH15" s="140"/>
      <c r="AI15" s="1001"/>
      <c r="AJ15" s="1116"/>
      <c r="AK15" s="327"/>
      <c r="AL15" s="327"/>
    </row>
    <row r="16" spans="1:39" ht="15.75">
      <c r="A16" s="31"/>
      <c r="B16" s="29" t="s">
        <v>196</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083"/>
      <c r="AD16" s="140"/>
      <c r="AE16" s="117"/>
      <c r="AF16" s="3303"/>
      <c r="AG16" s="140"/>
      <c r="AH16" s="140"/>
      <c r="AI16" s="1001"/>
      <c r="AJ16" s="1116"/>
      <c r="AK16" s="327"/>
      <c r="AL16" s="327"/>
    </row>
    <row r="17" spans="1:38" ht="15.75">
      <c r="A17" s="31"/>
      <c r="B17" s="903" t="s">
        <v>1033</v>
      </c>
      <c r="C17" s="31"/>
      <c r="D17" s="107"/>
      <c r="E17" s="1094"/>
      <c r="F17" s="118"/>
      <c r="G17" s="1094"/>
      <c r="H17" s="118"/>
      <c r="I17" s="1094"/>
      <c r="J17" s="118"/>
      <c r="K17" s="1094"/>
      <c r="L17" s="118"/>
      <c r="M17" s="118"/>
      <c r="N17" s="118"/>
      <c r="O17" s="1094"/>
      <c r="P17" s="118"/>
      <c r="Q17" s="1094"/>
      <c r="R17" s="118"/>
      <c r="S17" s="1094"/>
      <c r="T17" s="118"/>
      <c r="U17" s="1094"/>
      <c r="V17" s="118"/>
      <c r="W17" s="1094"/>
      <c r="X17" s="118"/>
      <c r="Y17" s="1094"/>
      <c r="Z17" s="118"/>
      <c r="AA17" s="1094"/>
      <c r="AB17" s="118"/>
      <c r="AC17" s="687"/>
      <c r="AD17" s="3327"/>
      <c r="AE17" s="1095"/>
      <c r="AF17" s="67"/>
      <c r="AG17" s="118"/>
      <c r="AH17" s="119"/>
      <c r="AI17" s="1096"/>
      <c r="AJ17" s="119"/>
      <c r="AK17" s="1097"/>
      <c r="AL17" s="1098"/>
    </row>
    <row r="18" spans="1:38" ht="15.75">
      <c r="A18" s="31"/>
      <c r="B18" s="903" t="s">
        <v>1154</v>
      </c>
      <c r="C18" s="31"/>
      <c r="D18" s="107"/>
      <c r="E18" s="1094"/>
      <c r="F18" s="118"/>
      <c r="G18" s="1094"/>
      <c r="H18" s="118"/>
      <c r="I18" s="1094"/>
      <c r="J18" s="118"/>
      <c r="K18" s="1094"/>
      <c r="L18" s="66"/>
      <c r="M18" s="66"/>
      <c r="N18" s="66"/>
      <c r="O18" s="278"/>
      <c r="P18" s="66"/>
      <c r="Q18" s="278"/>
      <c r="R18" s="66"/>
      <c r="S18" s="278"/>
      <c r="T18" s="66"/>
      <c r="U18" s="278"/>
      <c r="V18" s="66"/>
      <c r="W18" s="278"/>
      <c r="X18" s="66"/>
      <c r="Y18" s="278"/>
      <c r="Z18" s="66"/>
      <c r="AA18" s="1094"/>
      <c r="AB18" s="118"/>
      <c r="AC18" s="687"/>
      <c r="AD18" s="3327"/>
      <c r="AE18" s="1099"/>
      <c r="AF18" s="67"/>
      <c r="AG18" s="118"/>
      <c r="AH18" s="119"/>
      <c r="AI18" s="1096"/>
      <c r="AJ18" s="119"/>
      <c r="AK18" s="336"/>
      <c r="AL18" s="8"/>
    </row>
    <row r="19" spans="1:38" s="1004" customFormat="1">
      <c r="A19" s="1005"/>
      <c r="B19" s="903" t="s">
        <v>1067</v>
      </c>
      <c r="C19" s="1005"/>
      <c r="D19" s="1005"/>
      <c r="E19" s="1575">
        <v>0</v>
      </c>
      <c r="F19" s="906"/>
      <c r="G19" s="1575">
        <v>0</v>
      </c>
      <c r="H19" s="906"/>
      <c r="I19" s="1575">
        <v>0</v>
      </c>
      <c r="J19" s="906"/>
      <c r="K19" s="1575">
        <v>0</v>
      </c>
      <c r="L19" s="906"/>
      <c r="M19" s="1575">
        <v>0</v>
      </c>
      <c r="N19" s="906"/>
      <c r="O19" s="1575">
        <v>0</v>
      </c>
      <c r="P19" s="906"/>
      <c r="Q19" s="1575">
        <v>0</v>
      </c>
      <c r="R19" s="906"/>
      <c r="S19" s="1575">
        <v>0</v>
      </c>
      <c r="T19" s="1441"/>
      <c r="U19" s="1575">
        <v>0</v>
      </c>
      <c r="V19" s="906"/>
      <c r="W19" s="1575">
        <v>0</v>
      </c>
      <c r="X19" s="906"/>
      <c r="Y19" s="1575">
        <f>$AD19-$E19-$G19-$I19-$K19-$M19-$O19-$Q19-$S19-$U19-$W19</f>
        <v>0</v>
      </c>
      <c r="Z19" s="906"/>
      <c r="AA19" s="1575"/>
      <c r="AB19" s="906"/>
      <c r="AC19" s="1442"/>
      <c r="AD19" s="1575">
        <v>0</v>
      </c>
      <c r="AE19" s="3328"/>
      <c r="AF19" s="1035"/>
      <c r="AG19" s="1575">
        <v>0</v>
      </c>
      <c r="AH19" s="693"/>
      <c r="AI19" s="1976"/>
      <c r="AJ19" s="693">
        <f>ROUND(AD19-AG19,1)</f>
        <v>0</v>
      </c>
      <c r="AK19" s="1764"/>
      <c r="AL19" s="1765">
        <f>ROUND(IF(AG19=0,0,AJ19/ABS(AG19)),3)</f>
        <v>0</v>
      </c>
    </row>
    <row r="20" spans="1:38" s="1004" customFormat="1" ht="15.75">
      <c r="A20" s="1005"/>
      <c r="B20" s="903" t="s">
        <v>1155</v>
      </c>
      <c r="C20" s="1005"/>
      <c r="D20" s="1005"/>
      <c r="E20" s="1575" t="s">
        <v>15</v>
      </c>
      <c r="F20" s="906"/>
      <c r="G20" s="1575"/>
      <c r="H20" s="906"/>
      <c r="I20" s="1575"/>
      <c r="J20" s="906"/>
      <c r="K20" s="1575"/>
      <c r="L20" s="906"/>
      <c r="M20" s="1575"/>
      <c r="N20" s="906"/>
      <c r="O20" s="1575"/>
      <c r="P20" s="906"/>
      <c r="Q20" s="1575"/>
      <c r="R20" s="906"/>
      <c r="S20" s="1575"/>
      <c r="T20" s="906"/>
      <c r="U20" s="1575"/>
      <c r="V20" s="906"/>
      <c r="W20" s="1575"/>
      <c r="X20" s="906"/>
      <c r="Y20" s="1575"/>
      <c r="Z20" s="906"/>
      <c r="AA20" s="1575"/>
      <c r="AB20" s="906"/>
      <c r="AC20" s="1442"/>
      <c r="AD20" s="906"/>
      <c r="AE20" s="3328"/>
      <c r="AF20" s="1035"/>
      <c r="AG20" s="906"/>
      <c r="AH20" s="693"/>
      <c r="AI20" s="1096"/>
      <c r="AJ20" s="693" t="s">
        <v>15</v>
      </c>
      <c r="AK20" s="1764"/>
      <c r="AL20" s="1766" t="s">
        <v>15</v>
      </c>
    </row>
    <row r="21" spans="1:38" s="1004" customFormat="1" ht="15.75">
      <c r="A21" s="1005"/>
      <c r="B21" s="903" t="s">
        <v>1068</v>
      </c>
      <c r="C21" s="1005"/>
      <c r="D21" s="1005"/>
      <c r="E21" s="1575">
        <v>0</v>
      </c>
      <c r="F21" s="906"/>
      <c r="G21" s="1575">
        <v>0</v>
      </c>
      <c r="H21" s="906"/>
      <c r="I21" s="1575">
        <v>0</v>
      </c>
      <c r="J21" s="906"/>
      <c r="K21" s="1575">
        <v>0</v>
      </c>
      <c r="L21" s="906"/>
      <c r="M21" s="1575">
        <v>0</v>
      </c>
      <c r="N21" s="906"/>
      <c r="O21" s="1575">
        <v>0</v>
      </c>
      <c r="P21" s="906"/>
      <c r="Q21" s="1575">
        <v>0</v>
      </c>
      <c r="R21" s="906"/>
      <c r="S21" s="1575">
        <v>0</v>
      </c>
      <c r="T21" s="1575"/>
      <c r="U21" s="1575">
        <v>0</v>
      </c>
      <c r="V21" s="906"/>
      <c r="W21" s="1575">
        <v>0</v>
      </c>
      <c r="X21" s="906"/>
      <c r="Y21" s="1575">
        <f t="shared" ref="Y21:Y41" si="0">$AD21-$E21-$G21-$I21-$K21-$M21-$O21-$Q21-$S21-$U21-$W21</f>
        <v>0</v>
      </c>
      <c r="Z21" s="906"/>
      <c r="AA21" s="1575"/>
      <c r="AB21" s="906"/>
      <c r="AC21" s="1442"/>
      <c r="AD21" s="1575">
        <v>0</v>
      </c>
      <c r="AE21" s="3328"/>
      <c r="AF21" s="1035"/>
      <c r="AG21" s="1575">
        <v>0</v>
      </c>
      <c r="AH21" s="693"/>
      <c r="AI21" s="1096"/>
      <c r="AJ21" s="693">
        <f t="shared" ref="AJ21:AJ41" si="1">ROUND(AD21-AG21,1)</f>
        <v>0</v>
      </c>
      <c r="AK21" s="1764"/>
      <c r="AL21" s="1766">
        <f>ROUND(IF(AG21=0,0,AJ21/ABS(AG21)),3)</f>
        <v>0</v>
      </c>
    </row>
    <row r="22" spans="1:38" s="1004" customFormat="1" ht="15.75">
      <c r="A22" s="1005"/>
      <c r="B22" s="903" t="s">
        <v>1160</v>
      </c>
      <c r="C22" s="1005"/>
      <c r="D22" s="1005"/>
      <c r="E22" s="1575" t="s">
        <v>15</v>
      </c>
      <c r="F22" s="906"/>
      <c r="G22" s="1575"/>
      <c r="H22" s="906"/>
      <c r="I22" s="1575"/>
      <c r="J22" s="906"/>
      <c r="K22" s="1575"/>
      <c r="L22" s="906"/>
      <c r="M22" s="1575"/>
      <c r="N22" s="906"/>
      <c r="O22" s="1575"/>
      <c r="P22" s="906"/>
      <c r="Q22" s="1575"/>
      <c r="R22" s="906"/>
      <c r="S22" s="1575"/>
      <c r="T22" s="906"/>
      <c r="U22" s="1575"/>
      <c r="V22" s="906"/>
      <c r="W22" s="1575"/>
      <c r="X22" s="906"/>
      <c r="Y22" s="1575"/>
      <c r="Z22" s="906"/>
      <c r="AA22" s="1575"/>
      <c r="AB22" s="906"/>
      <c r="AC22" s="1442"/>
      <c r="AD22" s="906"/>
      <c r="AE22" s="3328"/>
      <c r="AF22" s="1035"/>
      <c r="AG22" s="906"/>
      <c r="AH22" s="693"/>
      <c r="AI22" s="1096"/>
      <c r="AJ22" s="693" t="s">
        <v>15</v>
      </c>
      <c r="AK22" s="1764"/>
      <c r="AL22" s="1766" t="s">
        <v>15</v>
      </c>
    </row>
    <row r="23" spans="1:38" s="1004" customFormat="1" ht="15.75">
      <c r="A23" s="1005"/>
      <c r="B23" s="903" t="s">
        <v>1072</v>
      </c>
      <c r="C23" s="1005"/>
      <c r="D23" s="1005"/>
      <c r="E23" s="1575">
        <v>0</v>
      </c>
      <c r="F23" s="906"/>
      <c r="G23" s="1575">
        <v>0</v>
      </c>
      <c r="H23" s="906"/>
      <c r="I23" s="1575">
        <v>0</v>
      </c>
      <c r="J23" s="906"/>
      <c r="K23" s="1575">
        <v>0</v>
      </c>
      <c r="L23" s="906"/>
      <c r="M23" s="1575">
        <v>0</v>
      </c>
      <c r="N23" s="906"/>
      <c r="O23" s="1575">
        <v>0</v>
      </c>
      <c r="P23" s="906"/>
      <c r="Q23" s="1575">
        <v>0</v>
      </c>
      <c r="R23" s="906"/>
      <c r="S23" s="1575">
        <v>0</v>
      </c>
      <c r="T23" s="1575"/>
      <c r="U23" s="1575">
        <v>0</v>
      </c>
      <c r="V23" s="906"/>
      <c r="W23" s="1575">
        <v>0</v>
      </c>
      <c r="X23" s="906"/>
      <c r="Y23" s="1575">
        <f t="shared" si="0"/>
        <v>0</v>
      </c>
      <c r="Z23" s="906"/>
      <c r="AA23" s="1575"/>
      <c r="AB23" s="906"/>
      <c r="AC23" s="1442"/>
      <c r="AD23" s="1575">
        <v>0</v>
      </c>
      <c r="AE23" s="3328"/>
      <c r="AF23" s="1035"/>
      <c r="AG23" s="1575">
        <v>0</v>
      </c>
      <c r="AH23" s="693"/>
      <c r="AI23" s="1096"/>
      <c r="AJ23" s="693">
        <f t="shared" si="1"/>
        <v>0</v>
      </c>
      <c r="AK23" s="1764"/>
      <c r="AL23" s="1766">
        <f t="shared" ref="AL23:AL28" si="2">ROUND(IF(AG23=0,0,AJ23/ABS(AG23)),3)</f>
        <v>0</v>
      </c>
    </row>
    <row r="24" spans="1:38" s="1004" customFormat="1" ht="15.75">
      <c r="A24" s="1005"/>
      <c r="B24" s="903" t="s">
        <v>1221</v>
      </c>
      <c r="C24" s="1005"/>
      <c r="D24" s="1005"/>
      <c r="E24" s="1575">
        <v>0</v>
      </c>
      <c r="F24" s="906"/>
      <c r="G24" s="1575">
        <v>0</v>
      </c>
      <c r="H24" s="906"/>
      <c r="I24" s="1575">
        <v>0</v>
      </c>
      <c r="J24" s="906"/>
      <c r="K24" s="1575">
        <v>0</v>
      </c>
      <c r="L24" s="906"/>
      <c r="M24" s="1575">
        <v>0</v>
      </c>
      <c r="N24" s="906"/>
      <c r="O24" s="1575">
        <v>0</v>
      </c>
      <c r="P24" s="906"/>
      <c r="Q24" s="1575">
        <v>0</v>
      </c>
      <c r="R24" s="906"/>
      <c r="S24" s="1575">
        <v>0</v>
      </c>
      <c r="T24" s="1575"/>
      <c r="U24" s="1575">
        <v>0</v>
      </c>
      <c r="V24" s="906"/>
      <c r="W24" s="1575">
        <v>0</v>
      </c>
      <c r="X24" s="906"/>
      <c r="Y24" s="1575">
        <f t="shared" si="0"/>
        <v>0</v>
      </c>
      <c r="Z24" s="906"/>
      <c r="AA24" s="1575"/>
      <c r="AB24" s="906"/>
      <c r="AC24" s="1442"/>
      <c r="AD24" s="1575">
        <v>0</v>
      </c>
      <c r="AE24" s="3328"/>
      <c r="AF24" s="1035"/>
      <c r="AG24" s="1575">
        <v>0</v>
      </c>
      <c r="AH24" s="693"/>
      <c r="AI24" s="1096"/>
      <c r="AJ24" s="693">
        <f>ROUND(AD24-AG24,1)</f>
        <v>0</v>
      </c>
      <c r="AK24" s="1764"/>
      <c r="AL24" s="1766">
        <f t="shared" si="2"/>
        <v>0</v>
      </c>
    </row>
    <row r="25" spans="1:38" s="1004" customFormat="1" ht="15.75">
      <c r="A25" s="1005"/>
      <c r="B25" s="903" t="s">
        <v>1075</v>
      </c>
      <c r="C25" s="1005"/>
      <c r="D25" s="1005"/>
      <c r="E25" s="1575">
        <v>0</v>
      </c>
      <c r="F25" s="906"/>
      <c r="G25" s="1575">
        <v>0</v>
      </c>
      <c r="H25" s="906"/>
      <c r="I25" s="1575">
        <v>0</v>
      </c>
      <c r="J25" s="906"/>
      <c r="K25" s="1575">
        <v>0</v>
      </c>
      <c r="L25" s="906"/>
      <c r="M25" s="1575">
        <v>0</v>
      </c>
      <c r="N25" s="906"/>
      <c r="O25" s="1575">
        <v>0</v>
      </c>
      <c r="P25" s="906"/>
      <c r="Q25" s="1575">
        <v>0</v>
      </c>
      <c r="R25" s="906"/>
      <c r="S25" s="1575">
        <v>0</v>
      </c>
      <c r="T25" s="1575"/>
      <c r="U25" s="1575">
        <v>0</v>
      </c>
      <c r="V25" s="906"/>
      <c r="W25" s="1575">
        <v>0</v>
      </c>
      <c r="X25" s="906"/>
      <c r="Y25" s="1575">
        <f t="shared" si="0"/>
        <v>0</v>
      </c>
      <c r="Z25" s="906"/>
      <c r="AA25" s="1575"/>
      <c r="AB25" s="906"/>
      <c r="AC25" s="1442"/>
      <c r="AD25" s="1575">
        <v>0</v>
      </c>
      <c r="AE25" s="3328"/>
      <c r="AF25" s="1035"/>
      <c r="AG25" s="1575">
        <v>0</v>
      </c>
      <c r="AH25" s="693"/>
      <c r="AI25" s="1096"/>
      <c r="AJ25" s="693">
        <f t="shared" si="1"/>
        <v>0</v>
      </c>
      <c r="AK25" s="1764"/>
      <c r="AL25" s="1766">
        <f t="shared" si="2"/>
        <v>0</v>
      </c>
    </row>
    <row r="26" spans="1:38" s="1004" customFormat="1" ht="15.75">
      <c r="A26" s="1005"/>
      <c r="B26" s="903" t="s">
        <v>1076</v>
      </c>
      <c r="C26" s="1005"/>
      <c r="D26" s="1005"/>
      <c r="E26" s="1575">
        <v>0</v>
      </c>
      <c r="F26" s="906"/>
      <c r="G26" s="1575">
        <v>0</v>
      </c>
      <c r="H26" s="906"/>
      <c r="I26" s="1575">
        <v>0</v>
      </c>
      <c r="J26" s="906"/>
      <c r="K26" s="1575">
        <v>0</v>
      </c>
      <c r="L26" s="906"/>
      <c r="M26" s="1575">
        <v>0</v>
      </c>
      <c r="N26" s="906"/>
      <c r="O26" s="1575">
        <v>0</v>
      </c>
      <c r="P26" s="906"/>
      <c r="Q26" s="1575">
        <v>0</v>
      </c>
      <c r="R26" s="906"/>
      <c r="S26" s="1575">
        <v>0</v>
      </c>
      <c r="T26" s="1575"/>
      <c r="U26" s="1575">
        <v>0</v>
      </c>
      <c r="V26" s="906"/>
      <c r="W26" s="1575">
        <v>0</v>
      </c>
      <c r="X26" s="906"/>
      <c r="Y26" s="1575">
        <f t="shared" si="0"/>
        <v>0</v>
      </c>
      <c r="Z26" s="906"/>
      <c r="AA26" s="1575"/>
      <c r="AB26" s="906"/>
      <c r="AC26" s="1442"/>
      <c r="AD26" s="1575">
        <v>0</v>
      </c>
      <c r="AE26" s="3328"/>
      <c r="AF26" s="1035"/>
      <c r="AG26" s="1575">
        <v>0</v>
      </c>
      <c r="AH26" s="693"/>
      <c r="AI26" s="1096"/>
      <c r="AJ26" s="693">
        <f t="shared" si="1"/>
        <v>0</v>
      </c>
      <c r="AK26" s="1764"/>
      <c r="AL26" s="1766">
        <f t="shared" si="2"/>
        <v>0</v>
      </c>
    </row>
    <row r="27" spans="1:38" s="1004" customFormat="1" ht="15.75">
      <c r="A27" s="1005"/>
      <c r="B27" s="903" t="s">
        <v>1034</v>
      </c>
      <c r="C27" s="1005"/>
      <c r="D27" s="1005"/>
      <c r="E27" s="1575">
        <v>0</v>
      </c>
      <c r="F27" s="906"/>
      <c r="G27" s="1575">
        <v>0</v>
      </c>
      <c r="H27" s="906"/>
      <c r="I27" s="1575">
        <v>0</v>
      </c>
      <c r="J27" s="906"/>
      <c r="K27" s="1575">
        <v>0</v>
      </c>
      <c r="L27" s="906"/>
      <c r="M27" s="1575">
        <v>0</v>
      </c>
      <c r="N27" s="906"/>
      <c r="O27" s="1575">
        <v>0</v>
      </c>
      <c r="P27" s="906"/>
      <c r="Q27" s="1575">
        <v>0</v>
      </c>
      <c r="R27" s="906"/>
      <c r="S27" s="1575">
        <v>0</v>
      </c>
      <c r="T27" s="1575"/>
      <c r="U27" s="1575">
        <v>0</v>
      </c>
      <c r="V27" s="906"/>
      <c r="W27" s="1575">
        <v>0</v>
      </c>
      <c r="X27" s="906"/>
      <c r="Y27" s="1575">
        <f t="shared" si="0"/>
        <v>0</v>
      </c>
      <c r="Z27" s="906"/>
      <c r="AA27" s="1575"/>
      <c r="AB27" s="906"/>
      <c r="AC27" s="1442"/>
      <c r="AD27" s="1575">
        <v>0</v>
      </c>
      <c r="AE27" s="3328"/>
      <c r="AF27" s="1035"/>
      <c r="AG27" s="1575">
        <v>0</v>
      </c>
      <c r="AH27" s="693"/>
      <c r="AI27" s="1096"/>
      <c r="AJ27" s="693">
        <f t="shared" si="1"/>
        <v>0</v>
      </c>
      <c r="AK27" s="1764"/>
      <c r="AL27" s="1766">
        <f t="shared" si="2"/>
        <v>0</v>
      </c>
    </row>
    <row r="28" spans="1:38" s="1004" customFormat="1" ht="15.75">
      <c r="A28" s="1005"/>
      <c r="B28" s="903" t="s">
        <v>1035</v>
      </c>
      <c r="C28" s="1005"/>
      <c r="D28" s="1005"/>
      <c r="E28" s="1575">
        <v>0</v>
      </c>
      <c r="F28" s="906"/>
      <c r="G28" s="1575">
        <v>0</v>
      </c>
      <c r="H28" s="906"/>
      <c r="I28" s="1575">
        <v>0</v>
      </c>
      <c r="J28" s="906"/>
      <c r="K28" s="1575">
        <v>0</v>
      </c>
      <c r="L28" s="906"/>
      <c r="M28" s="1575">
        <v>0</v>
      </c>
      <c r="N28" s="906"/>
      <c r="O28" s="1575">
        <v>0</v>
      </c>
      <c r="P28" s="906"/>
      <c r="Q28" s="1575">
        <v>0</v>
      </c>
      <c r="R28" s="906"/>
      <c r="S28" s="1575">
        <v>0</v>
      </c>
      <c r="T28" s="1575"/>
      <c r="U28" s="1575">
        <v>0</v>
      </c>
      <c r="V28" s="906"/>
      <c r="W28" s="1575">
        <v>0</v>
      </c>
      <c r="X28" s="906"/>
      <c r="Y28" s="1575">
        <f t="shared" si="0"/>
        <v>0</v>
      </c>
      <c r="Z28" s="906"/>
      <c r="AA28" s="1575"/>
      <c r="AB28" s="906"/>
      <c r="AC28" s="1442"/>
      <c r="AD28" s="1575">
        <v>0</v>
      </c>
      <c r="AE28" s="3328"/>
      <c r="AF28" s="1035"/>
      <c r="AG28" s="1575">
        <v>0</v>
      </c>
      <c r="AH28" s="693"/>
      <c r="AI28" s="1096"/>
      <c r="AJ28" s="693">
        <f t="shared" si="1"/>
        <v>0</v>
      </c>
      <c r="AK28" s="1764"/>
      <c r="AL28" s="1766">
        <f t="shared" si="2"/>
        <v>0</v>
      </c>
    </row>
    <row r="29" spans="1:38" s="1004" customFormat="1" ht="15.75">
      <c r="A29" s="1005"/>
      <c r="B29" s="903" t="s">
        <v>1158</v>
      </c>
      <c r="C29" s="1005"/>
      <c r="D29" s="1005"/>
      <c r="E29" s="1575" t="s">
        <v>15</v>
      </c>
      <c r="F29" s="906"/>
      <c r="G29" s="1575"/>
      <c r="H29" s="906"/>
      <c r="I29" s="1575"/>
      <c r="J29" s="906"/>
      <c r="K29" s="1575"/>
      <c r="L29" s="906"/>
      <c r="M29" s="1575"/>
      <c r="N29" s="906"/>
      <c r="O29" s="1575"/>
      <c r="P29" s="906"/>
      <c r="Q29" s="1575"/>
      <c r="R29" s="906"/>
      <c r="S29" s="1575"/>
      <c r="T29" s="906"/>
      <c r="U29" s="1575"/>
      <c r="V29" s="906"/>
      <c r="W29" s="1575"/>
      <c r="X29" s="906"/>
      <c r="Y29" s="1575"/>
      <c r="Z29" s="906"/>
      <c r="AA29" s="1575"/>
      <c r="AB29" s="906"/>
      <c r="AC29" s="1442"/>
      <c r="AD29" s="906"/>
      <c r="AE29" s="3328"/>
      <c r="AF29" s="1035"/>
      <c r="AG29" s="906"/>
      <c r="AH29" s="693"/>
      <c r="AI29" s="1096"/>
      <c r="AJ29" s="693" t="s">
        <v>15</v>
      </c>
      <c r="AK29" s="1764"/>
      <c r="AL29" s="1766" t="s">
        <v>15</v>
      </c>
    </row>
    <row r="30" spans="1:38" s="1004" customFormat="1" ht="15.75">
      <c r="A30" s="1005"/>
      <c r="B30" s="903" t="s">
        <v>1080</v>
      </c>
      <c r="C30" s="1005"/>
      <c r="D30" s="1005"/>
      <c r="E30" s="1575">
        <v>0</v>
      </c>
      <c r="F30" s="906"/>
      <c r="G30" s="1575">
        <v>0</v>
      </c>
      <c r="H30" s="906"/>
      <c r="I30" s="1575">
        <v>0</v>
      </c>
      <c r="J30" s="906"/>
      <c r="K30" s="1575">
        <v>0</v>
      </c>
      <c r="L30" s="906"/>
      <c r="M30" s="1575">
        <v>0</v>
      </c>
      <c r="N30" s="906"/>
      <c r="O30" s="1575">
        <v>0</v>
      </c>
      <c r="P30" s="906"/>
      <c r="Q30" s="1575">
        <v>0</v>
      </c>
      <c r="R30" s="906"/>
      <c r="S30" s="1575">
        <v>0</v>
      </c>
      <c r="T30" s="1575"/>
      <c r="U30" s="1575">
        <v>0</v>
      </c>
      <c r="V30" s="906"/>
      <c r="W30" s="1575">
        <v>0</v>
      </c>
      <c r="X30" s="906"/>
      <c r="Y30" s="1575">
        <f t="shared" si="0"/>
        <v>0</v>
      </c>
      <c r="Z30" s="906"/>
      <c r="AA30" s="1575"/>
      <c r="AB30" s="906"/>
      <c r="AC30" s="1442"/>
      <c r="AD30" s="1575">
        <v>0</v>
      </c>
      <c r="AE30" s="3328"/>
      <c r="AF30" s="1035"/>
      <c r="AG30" s="1575">
        <v>0</v>
      </c>
      <c r="AH30" s="693"/>
      <c r="AI30" s="1096"/>
      <c r="AJ30" s="693">
        <f t="shared" si="1"/>
        <v>0</v>
      </c>
      <c r="AK30" s="1764"/>
      <c r="AL30" s="1766">
        <f>ROUND(IF(AG30=0,0,AJ30/ABS(AG30)),3)</f>
        <v>0</v>
      </c>
    </row>
    <row r="31" spans="1:38" s="1004" customFormat="1" ht="15.75">
      <c r="A31" s="1005"/>
      <c r="B31" s="903" t="s">
        <v>1082</v>
      </c>
      <c r="C31" s="1005"/>
      <c r="D31" s="1005"/>
      <c r="E31" s="1575">
        <v>0</v>
      </c>
      <c r="F31" s="1575"/>
      <c r="G31" s="1575">
        <v>0</v>
      </c>
      <c r="H31" s="1575"/>
      <c r="I31" s="1575">
        <v>0</v>
      </c>
      <c r="J31" s="1575"/>
      <c r="K31" s="1575">
        <v>0</v>
      </c>
      <c r="L31" s="906"/>
      <c r="M31" s="1575">
        <v>0</v>
      </c>
      <c r="N31" s="906"/>
      <c r="O31" s="1575">
        <v>0</v>
      </c>
      <c r="P31" s="906"/>
      <c r="Q31" s="1575">
        <v>0</v>
      </c>
      <c r="R31" s="906"/>
      <c r="S31" s="1575">
        <v>0</v>
      </c>
      <c r="T31" s="1575"/>
      <c r="U31" s="1575">
        <v>0</v>
      </c>
      <c r="V31" s="906"/>
      <c r="W31" s="1575">
        <v>0</v>
      </c>
      <c r="X31" s="906"/>
      <c r="Y31" s="1575">
        <f t="shared" si="0"/>
        <v>0</v>
      </c>
      <c r="Z31" s="906"/>
      <c r="AA31" s="1575"/>
      <c r="AB31" s="906"/>
      <c r="AC31" s="1442"/>
      <c r="AD31" s="1575">
        <v>0</v>
      </c>
      <c r="AE31" s="3328"/>
      <c r="AF31" s="1035"/>
      <c r="AG31" s="1575">
        <v>0</v>
      </c>
      <c r="AH31" s="693"/>
      <c r="AI31" s="1096"/>
      <c r="AJ31" s="693">
        <f t="shared" si="1"/>
        <v>0</v>
      </c>
      <c r="AK31" s="1764"/>
      <c r="AL31" s="1766">
        <f>ROUND(IF(AG31=0,0,AJ31/ABS(AG31)),3)</f>
        <v>0</v>
      </c>
    </row>
    <row r="32" spans="1:38" s="1004" customFormat="1" ht="15.75">
      <c r="A32" s="1005"/>
      <c r="B32" s="903" t="s">
        <v>1083</v>
      </c>
      <c r="C32" s="1005"/>
      <c r="D32" s="1005"/>
      <c r="E32" s="1575">
        <v>0</v>
      </c>
      <c r="F32" s="906"/>
      <c r="G32" s="1575">
        <v>0</v>
      </c>
      <c r="H32" s="906"/>
      <c r="I32" s="1575">
        <v>0</v>
      </c>
      <c r="J32" s="906"/>
      <c r="K32" s="1575">
        <v>0</v>
      </c>
      <c r="L32" s="906"/>
      <c r="M32" s="1575">
        <v>0</v>
      </c>
      <c r="N32" s="906"/>
      <c r="O32" s="1575">
        <v>0</v>
      </c>
      <c r="P32" s="906"/>
      <c r="Q32" s="1575">
        <v>0</v>
      </c>
      <c r="R32" s="906"/>
      <c r="S32" s="1575">
        <v>0</v>
      </c>
      <c r="T32" s="1575"/>
      <c r="U32" s="1575">
        <v>0</v>
      </c>
      <c r="V32" s="906"/>
      <c r="W32" s="1575">
        <v>0</v>
      </c>
      <c r="X32" s="906"/>
      <c r="Y32" s="1575">
        <f t="shared" si="0"/>
        <v>0</v>
      </c>
      <c r="Z32" s="906"/>
      <c r="AA32" s="1575"/>
      <c r="AB32" s="906"/>
      <c r="AC32" s="1442"/>
      <c r="AD32" s="1575">
        <v>0</v>
      </c>
      <c r="AE32" s="3328"/>
      <c r="AF32" s="1035"/>
      <c r="AG32" s="1575">
        <v>0</v>
      </c>
      <c r="AH32" s="693"/>
      <c r="AI32" s="1096"/>
      <c r="AJ32" s="693">
        <f>ROUND(AD32-AG32,1)</f>
        <v>0</v>
      </c>
      <c r="AK32" s="1764"/>
      <c r="AL32" s="1766">
        <f>ROUND(IF(AG32=0,0,AJ32/ABS(AG32)),3)</f>
        <v>0</v>
      </c>
    </row>
    <row r="33" spans="1:39" s="1104" customFormat="1" ht="15.75">
      <c r="A33" s="107"/>
      <c r="B33" s="903" t="s">
        <v>1053</v>
      </c>
      <c r="C33" s="107"/>
      <c r="D33" s="107"/>
      <c r="E33" s="1575">
        <v>0</v>
      </c>
      <c r="F33" s="906"/>
      <c r="G33" s="1575">
        <v>0</v>
      </c>
      <c r="H33" s="906"/>
      <c r="I33" s="1575">
        <v>0</v>
      </c>
      <c r="J33" s="906"/>
      <c r="K33" s="1575">
        <v>0</v>
      </c>
      <c r="L33" s="906"/>
      <c r="M33" s="1575">
        <v>0</v>
      </c>
      <c r="N33" s="906"/>
      <c r="O33" s="1575">
        <v>0</v>
      </c>
      <c r="P33" s="906"/>
      <c r="Q33" s="1575">
        <v>0</v>
      </c>
      <c r="R33" s="906"/>
      <c r="S33" s="1575">
        <v>0</v>
      </c>
      <c r="T33" s="1575"/>
      <c r="U33" s="1575">
        <v>0</v>
      </c>
      <c r="V33" s="906"/>
      <c r="W33" s="1575">
        <v>0</v>
      </c>
      <c r="X33" s="906"/>
      <c r="Y33" s="1575">
        <f t="shared" si="0"/>
        <v>0</v>
      </c>
      <c r="Z33" s="906"/>
      <c r="AA33" s="1575"/>
      <c r="AB33" s="906"/>
      <c r="AC33" s="1442"/>
      <c r="AD33" s="1575">
        <v>0</v>
      </c>
      <c r="AE33" s="3328"/>
      <c r="AF33" s="1035"/>
      <c r="AG33" s="1575">
        <v>0</v>
      </c>
      <c r="AH33" s="119"/>
      <c r="AI33" s="1096"/>
      <c r="AJ33" s="119">
        <f t="shared" si="1"/>
        <v>0</v>
      </c>
      <c r="AK33" s="1097"/>
      <c r="AL33" s="1768">
        <f>ROUND(IF(AG33=0,0,AJ33/ABS(AG33)),3)</f>
        <v>0</v>
      </c>
    </row>
    <row r="34" spans="1:39" s="1104" customFormat="1" ht="15.75">
      <c r="A34" s="107"/>
      <c r="B34" s="903" t="s">
        <v>1054</v>
      </c>
      <c r="C34" s="107"/>
      <c r="D34" s="107"/>
      <c r="E34" s="1575">
        <v>0.1</v>
      </c>
      <c r="F34" s="906"/>
      <c r="G34" s="1575">
        <v>0</v>
      </c>
      <c r="H34" s="906"/>
      <c r="I34" s="1575">
        <v>0.1</v>
      </c>
      <c r="J34" s="906"/>
      <c r="K34" s="1575">
        <v>9.9999999999999978E-2</v>
      </c>
      <c r="L34" s="906"/>
      <c r="M34" s="1575">
        <v>0</v>
      </c>
      <c r="N34" s="906"/>
      <c r="O34" s="1575">
        <v>0.10000000000000006</v>
      </c>
      <c r="P34" s="906"/>
      <c r="Q34" s="1575">
        <v>0.1</v>
      </c>
      <c r="R34" s="906"/>
      <c r="S34" s="1575">
        <v>9.9999999999999978E-2</v>
      </c>
      <c r="T34" s="1575"/>
      <c r="U34" s="1575">
        <v>0</v>
      </c>
      <c r="V34" s="906"/>
      <c r="W34" s="1575">
        <v>9.999999999999995E-2</v>
      </c>
      <c r="X34" s="906"/>
      <c r="Y34" s="1575">
        <f t="shared" si="0"/>
        <v>0</v>
      </c>
      <c r="Z34" s="906"/>
      <c r="AA34" s="1575"/>
      <c r="AB34" s="906"/>
      <c r="AC34" s="1442"/>
      <c r="AD34" s="1575">
        <v>0.7</v>
      </c>
      <c r="AE34" s="3328"/>
      <c r="AF34" s="1035"/>
      <c r="AG34" s="1575">
        <v>0.7</v>
      </c>
      <c r="AH34" s="119"/>
      <c r="AI34" s="1096"/>
      <c r="AJ34" s="119">
        <f t="shared" si="1"/>
        <v>0</v>
      </c>
      <c r="AK34" s="1097"/>
      <c r="AL34" s="1690">
        <f>ROUND(IF(AG34=0,1,AJ34/ABS(AG34)),3)</f>
        <v>0</v>
      </c>
    </row>
    <row r="35" spans="1:39" s="1104" customFormat="1" ht="15.75">
      <c r="A35" s="107"/>
      <c r="B35" s="903" t="s">
        <v>1159</v>
      </c>
      <c r="C35" s="107"/>
      <c r="D35" s="107"/>
      <c r="E35" s="1575" t="s">
        <v>15</v>
      </c>
      <c r="F35" s="906"/>
      <c r="G35" s="1575"/>
      <c r="H35" s="906"/>
      <c r="I35" s="1575"/>
      <c r="J35" s="906"/>
      <c r="K35" s="1575"/>
      <c r="L35" s="118"/>
      <c r="M35" s="1575"/>
      <c r="N35" s="118"/>
      <c r="O35" s="1575"/>
      <c r="P35" s="118"/>
      <c r="Q35" s="1575"/>
      <c r="R35" s="118"/>
      <c r="S35" s="1575"/>
      <c r="T35" s="118"/>
      <c r="U35" s="1575"/>
      <c r="V35" s="118"/>
      <c r="W35" s="1575"/>
      <c r="X35" s="118"/>
      <c r="Y35" s="1575"/>
      <c r="Z35" s="118"/>
      <c r="AA35" s="1575"/>
      <c r="AB35" s="118"/>
      <c r="AC35" s="687"/>
      <c r="AD35" s="118"/>
      <c r="AE35" s="1099"/>
      <c r="AF35" s="67"/>
      <c r="AG35" s="118"/>
      <c r="AH35" s="119"/>
      <c r="AI35" s="1096"/>
      <c r="AJ35" s="693" t="s">
        <v>15</v>
      </c>
      <c r="AK35" s="1097"/>
      <c r="AL35" s="1766" t="s">
        <v>15</v>
      </c>
    </row>
    <row r="36" spans="1:39" s="1104" customFormat="1" ht="15.75">
      <c r="A36" s="107"/>
      <c r="B36" s="903" t="s">
        <v>1084</v>
      </c>
      <c r="C36" s="107"/>
      <c r="D36" s="107"/>
      <c r="E36" s="1575">
        <v>0</v>
      </c>
      <c r="F36" s="906"/>
      <c r="G36" s="1575">
        <v>0</v>
      </c>
      <c r="H36" s="906"/>
      <c r="I36" s="1575">
        <v>0</v>
      </c>
      <c r="J36" s="906"/>
      <c r="K36" s="1575">
        <v>0</v>
      </c>
      <c r="L36" s="906"/>
      <c r="M36" s="1575">
        <v>0</v>
      </c>
      <c r="N36" s="906"/>
      <c r="O36" s="1575">
        <v>0</v>
      </c>
      <c r="P36" s="906"/>
      <c r="Q36" s="1575">
        <v>0</v>
      </c>
      <c r="R36" s="906"/>
      <c r="S36" s="1575">
        <v>0</v>
      </c>
      <c r="T36" s="1575"/>
      <c r="U36" s="1575">
        <v>0</v>
      </c>
      <c r="V36" s="906"/>
      <c r="W36" s="1575">
        <v>0</v>
      </c>
      <c r="X36" s="906"/>
      <c r="Y36" s="1575">
        <f t="shared" si="0"/>
        <v>0</v>
      </c>
      <c r="Z36" s="906"/>
      <c r="AA36" s="1575"/>
      <c r="AB36" s="906"/>
      <c r="AC36" s="1442"/>
      <c r="AD36" s="1575">
        <v>0</v>
      </c>
      <c r="AE36" s="3328"/>
      <c r="AF36" s="1035"/>
      <c r="AG36" s="1575">
        <v>0</v>
      </c>
      <c r="AH36" s="119"/>
      <c r="AI36" s="1096"/>
      <c r="AJ36" s="119">
        <f t="shared" si="1"/>
        <v>0</v>
      </c>
      <c r="AK36" s="1097"/>
      <c r="AL36" s="1768">
        <f t="shared" ref="AL36:AL42" si="3">ROUND(IF(AG36=0,0,AJ36/ABS(AG36)),3)</f>
        <v>0</v>
      </c>
    </row>
    <row r="37" spans="1:39" s="1104" customFormat="1" ht="15.75">
      <c r="A37" s="107"/>
      <c r="B37" s="903" t="s">
        <v>1086</v>
      </c>
      <c r="C37" s="107"/>
      <c r="D37" s="107"/>
      <c r="E37" s="1575">
        <v>0</v>
      </c>
      <c r="F37" s="906"/>
      <c r="G37" s="1575">
        <v>0</v>
      </c>
      <c r="H37" s="906"/>
      <c r="I37" s="1575">
        <v>0</v>
      </c>
      <c r="J37" s="906"/>
      <c r="K37" s="1575">
        <v>0</v>
      </c>
      <c r="L37" s="906"/>
      <c r="M37" s="1575">
        <v>0</v>
      </c>
      <c r="N37" s="906"/>
      <c r="O37" s="1575">
        <v>0</v>
      </c>
      <c r="P37" s="906"/>
      <c r="Q37" s="1575">
        <v>0</v>
      </c>
      <c r="R37" s="906"/>
      <c r="S37" s="1575">
        <v>0</v>
      </c>
      <c r="T37" s="1575"/>
      <c r="U37" s="1575">
        <v>0</v>
      </c>
      <c r="V37" s="906"/>
      <c r="W37" s="1575">
        <v>0</v>
      </c>
      <c r="X37" s="906"/>
      <c r="Y37" s="1575">
        <f t="shared" si="0"/>
        <v>0</v>
      </c>
      <c r="Z37" s="906"/>
      <c r="AA37" s="1575"/>
      <c r="AB37" s="906"/>
      <c r="AC37" s="1442"/>
      <c r="AD37" s="1575">
        <v>0</v>
      </c>
      <c r="AE37" s="3328"/>
      <c r="AF37" s="1035"/>
      <c r="AG37" s="1575">
        <v>0</v>
      </c>
      <c r="AH37" s="119"/>
      <c r="AI37" s="1096"/>
      <c r="AJ37" s="119">
        <f t="shared" si="1"/>
        <v>0</v>
      </c>
      <c r="AK37" s="1097"/>
      <c r="AL37" s="1768">
        <f t="shared" si="3"/>
        <v>0</v>
      </c>
    </row>
    <row r="38" spans="1:39" s="1104" customFormat="1" ht="15.75">
      <c r="A38" s="107"/>
      <c r="B38" s="903" t="s">
        <v>1087</v>
      </c>
      <c r="C38" s="107"/>
      <c r="D38" s="107"/>
      <c r="E38" s="1575">
        <v>0</v>
      </c>
      <c r="F38" s="906"/>
      <c r="G38" s="1575">
        <v>0</v>
      </c>
      <c r="H38" s="906"/>
      <c r="I38" s="1575">
        <v>0</v>
      </c>
      <c r="J38" s="906"/>
      <c r="K38" s="1575">
        <v>0</v>
      </c>
      <c r="L38" s="906"/>
      <c r="M38" s="1575">
        <v>0</v>
      </c>
      <c r="N38" s="906"/>
      <c r="O38" s="1575">
        <v>0</v>
      </c>
      <c r="P38" s="906"/>
      <c r="Q38" s="1575">
        <v>0</v>
      </c>
      <c r="R38" s="906"/>
      <c r="S38" s="1575">
        <v>0</v>
      </c>
      <c r="T38" s="1575"/>
      <c r="U38" s="1575">
        <v>0</v>
      </c>
      <c r="V38" s="906"/>
      <c r="W38" s="1575">
        <v>0</v>
      </c>
      <c r="X38" s="906"/>
      <c r="Y38" s="1575">
        <f t="shared" si="0"/>
        <v>0</v>
      </c>
      <c r="Z38" s="906"/>
      <c r="AA38" s="1575"/>
      <c r="AB38" s="906"/>
      <c r="AC38" s="1442"/>
      <c r="AD38" s="1575">
        <v>0</v>
      </c>
      <c r="AE38" s="3328"/>
      <c r="AF38" s="1035"/>
      <c r="AG38" s="1575">
        <v>0</v>
      </c>
      <c r="AH38" s="119"/>
      <c r="AI38" s="1096"/>
      <c r="AJ38" s="119">
        <f t="shared" si="1"/>
        <v>0</v>
      </c>
      <c r="AK38" s="1097"/>
      <c r="AL38" s="1768">
        <f t="shared" si="3"/>
        <v>0</v>
      </c>
    </row>
    <row r="39" spans="1:39" s="1104" customFormat="1" ht="15.75">
      <c r="A39" s="107"/>
      <c r="B39" s="903" t="s">
        <v>1090</v>
      </c>
      <c r="C39" s="107"/>
      <c r="D39" s="107"/>
      <c r="E39" s="1575">
        <v>0</v>
      </c>
      <c r="F39" s="906"/>
      <c r="G39" s="1575">
        <v>0</v>
      </c>
      <c r="H39" s="906"/>
      <c r="I39" s="1575">
        <v>0</v>
      </c>
      <c r="J39" s="906"/>
      <c r="K39" s="1575">
        <v>0</v>
      </c>
      <c r="L39" s="906"/>
      <c r="M39" s="1575">
        <v>0</v>
      </c>
      <c r="N39" s="906"/>
      <c r="O39" s="1575">
        <v>0</v>
      </c>
      <c r="P39" s="906"/>
      <c r="Q39" s="1575">
        <v>0</v>
      </c>
      <c r="R39" s="906"/>
      <c r="S39" s="1575">
        <v>0</v>
      </c>
      <c r="T39" s="1575"/>
      <c r="U39" s="1575">
        <v>0</v>
      </c>
      <c r="V39" s="906"/>
      <c r="W39" s="1575">
        <v>0</v>
      </c>
      <c r="X39" s="906"/>
      <c r="Y39" s="1575">
        <f t="shared" si="0"/>
        <v>0</v>
      </c>
      <c r="Z39" s="906"/>
      <c r="AA39" s="1575"/>
      <c r="AB39" s="906"/>
      <c r="AC39" s="1442"/>
      <c r="AD39" s="1575">
        <v>0</v>
      </c>
      <c r="AE39" s="3328"/>
      <c r="AF39" s="1035"/>
      <c r="AG39" s="1575">
        <v>0</v>
      </c>
      <c r="AH39" s="119"/>
      <c r="AI39" s="1096"/>
      <c r="AJ39" s="119">
        <f t="shared" si="1"/>
        <v>0</v>
      </c>
      <c r="AK39" s="1097"/>
      <c r="AL39" s="1768">
        <f t="shared" si="3"/>
        <v>0</v>
      </c>
    </row>
    <row r="40" spans="1:39" s="1104" customFormat="1" ht="15.75">
      <c r="A40" s="107"/>
      <c r="B40" s="903" t="s">
        <v>1092</v>
      </c>
      <c r="C40" s="107"/>
      <c r="D40" s="107"/>
      <c r="E40" s="1575">
        <v>0</v>
      </c>
      <c r="F40" s="906"/>
      <c r="G40" s="1575">
        <v>0</v>
      </c>
      <c r="H40" s="906"/>
      <c r="I40" s="1575">
        <v>0</v>
      </c>
      <c r="J40" s="906"/>
      <c r="K40" s="1575">
        <v>0</v>
      </c>
      <c r="L40" s="906"/>
      <c r="M40" s="1575">
        <v>0</v>
      </c>
      <c r="N40" s="906"/>
      <c r="O40" s="1575">
        <v>0</v>
      </c>
      <c r="P40" s="906"/>
      <c r="Q40" s="1575">
        <v>0</v>
      </c>
      <c r="R40" s="906"/>
      <c r="S40" s="1575">
        <v>0</v>
      </c>
      <c r="T40" s="1575"/>
      <c r="U40" s="1575">
        <v>0</v>
      </c>
      <c r="V40" s="906"/>
      <c r="W40" s="1575">
        <v>0</v>
      </c>
      <c r="X40" s="906"/>
      <c r="Y40" s="1575">
        <f t="shared" si="0"/>
        <v>0</v>
      </c>
      <c r="Z40" s="906"/>
      <c r="AA40" s="1575"/>
      <c r="AB40" s="906"/>
      <c r="AC40" s="1442"/>
      <c r="AD40" s="1575">
        <v>0</v>
      </c>
      <c r="AE40" s="3328"/>
      <c r="AF40" s="1035"/>
      <c r="AG40" s="1575">
        <v>0</v>
      </c>
      <c r="AH40" s="119"/>
      <c r="AI40" s="1096"/>
      <c r="AJ40" s="119">
        <f t="shared" si="1"/>
        <v>0</v>
      </c>
      <c r="AK40" s="1097"/>
      <c r="AL40" s="1768">
        <f t="shared" si="3"/>
        <v>0</v>
      </c>
    </row>
    <row r="41" spans="1:39" s="1104" customFormat="1" ht="15.75">
      <c r="A41" s="107"/>
      <c r="B41" s="903" t="s">
        <v>1064</v>
      </c>
      <c r="C41" s="107"/>
      <c r="D41" s="107"/>
      <c r="E41" s="1575">
        <v>0</v>
      </c>
      <c r="F41" s="906"/>
      <c r="G41" s="1575">
        <v>0</v>
      </c>
      <c r="H41" s="906"/>
      <c r="I41" s="1575">
        <v>0</v>
      </c>
      <c r="J41" s="906"/>
      <c r="K41" s="1575">
        <v>0</v>
      </c>
      <c r="L41" s="1571"/>
      <c r="M41" s="1575">
        <v>0</v>
      </c>
      <c r="N41" s="1571"/>
      <c r="O41" s="1575">
        <v>0</v>
      </c>
      <c r="P41" s="1571"/>
      <c r="Q41" s="1575">
        <v>0</v>
      </c>
      <c r="R41" s="1571"/>
      <c r="S41" s="1575">
        <v>0</v>
      </c>
      <c r="T41" s="1571"/>
      <c r="U41" s="1575">
        <v>0</v>
      </c>
      <c r="V41" s="1571"/>
      <c r="W41" s="1575">
        <v>0</v>
      </c>
      <c r="X41" s="1571"/>
      <c r="Y41" s="1575">
        <f t="shared" si="0"/>
        <v>0.2</v>
      </c>
      <c r="Z41" s="1571"/>
      <c r="AA41" s="1575"/>
      <c r="AB41" s="118"/>
      <c r="AC41" s="687"/>
      <c r="AD41" s="1830">
        <v>0.2</v>
      </c>
      <c r="AE41" s="3313"/>
      <c r="AF41" s="2021"/>
      <c r="AG41" s="1847">
        <v>0.3</v>
      </c>
      <c r="AH41" s="119"/>
      <c r="AI41" s="1096"/>
      <c r="AJ41" s="119">
        <f t="shared" si="1"/>
        <v>-0.1</v>
      </c>
      <c r="AK41" s="1097"/>
      <c r="AL41" s="1765">
        <f t="shared" si="3"/>
        <v>-0.33300000000000002</v>
      </c>
    </row>
    <row r="42" spans="1:39" s="332" customFormat="1" ht="15.75" collapsed="1">
      <c r="A42" s="29"/>
      <c r="B42" s="312" t="s">
        <v>1099</v>
      </c>
      <c r="C42" s="29"/>
      <c r="D42" s="105"/>
      <c r="E42" s="1574">
        <f>ROUND(SUM(E19:E41),1)</f>
        <v>0.1</v>
      </c>
      <c r="F42" s="112"/>
      <c r="G42" s="1574">
        <f>ROUND(SUM(G19:G41),1)</f>
        <v>0</v>
      </c>
      <c r="H42" s="1109"/>
      <c r="I42" s="1574">
        <f>ROUND(SUM(I19:I41),1)</f>
        <v>0.1</v>
      </c>
      <c r="J42" s="112"/>
      <c r="K42" s="1574">
        <f>ROUND(SUM(K19:K41),1)</f>
        <v>0.1</v>
      </c>
      <c r="L42" s="933"/>
      <c r="M42" s="686">
        <f>ROUND(SUM(M19:M41),1)</f>
        <v>0</v>
      </c>
      <c r="N42" s="933"/>
      <c r="O42" s="686">
        <f>ROUND(SUM(O19:O41),1)</f>
        <v>0.1</v>
      </c>
      <c r="P42" s="933"/>
      <c r="Q42" s="686">
        <f>ROUND(SUM(Q19:Q41),1)</f>
        <v>0.1</v>
      </c>
      <c r="R42" s="933"/>
      <c r="S42" s="686">
        <f>ROUND(SUM(S19:S41),1)</f>
        <v>0.1</v>
      </c>
      <c r="T42" s="933"/>
      <c r="U42" s="1574">
        <f>ROUND(SUM(U19:U41),1)</f>
        <v>0</v>
      </c>
      <c r="V42" s="933"/>
      <c r="W42" s="686">
        <f>ROUND(SUM(W19:W41),1)</f>
        <v>0.1</v>
      </c>
      <c r="X42" s="933"/>
      <c r="Y42" s="686">
        <f>ROUND(SUM(Y19:Y41),1)</f>
        <v>0.2</v>
      </c>
      <c r="Z42" s="933"/>
      <c r="AA42" s="1574">
        <f>ROUND(SUM(AA19:AA41),1)</f>
        <v>0</v>
      </c>
      <c r="AB42" s="112"/>
      <c r="AC42" s="688"/>
      <c r="AD42" s="1574">
        <f>ROUND(SUM(AD19:AD41),1)</f>
        <v>0.9</v>
      </c>
      <c r="AE42" s="1100"/>
      <c r="AF42" s="115"/>
      <c r="AG42" s="1574">
        <f>ROUND(SUM(AG19:AG41),1)</f>
        <v>1</v>
      </c>
      <c r="AH42" s="1119"/>
      <c r="AI42" s="1096"/>
      <c r="AJ42" s="686">
        <f>ROUND(SUM(AJ19:AJ41),1)</f>
        <v>-0.1</v>
      </c>
      <c r="AK42" s="1078"/>
      <c r="AL42" s="13">
        <f t="shared" si="3"/>
        <v>-0.1</v>
      </c>
    </row>
    <row r="43" spans="1:39" s="359" customFormat="1" ht="15.75">
      <c r="A43" s="66"/>
      <c r="B43" s="1063"/>
      <c r="C43" s="66"/>
      <c r="D43" s="118"/>
      <c r="E43" s="1575"/>
      <c r="F43" s="906"/>
      <c r="G43" s="1136"/>
      <c r="H43" s="906"/>
      <c r="I43" s="1575"/>
      <c r="J43" s="906"/>
      <c r="K43" s="1136"/>
      <c r="L43" s="66"/>
      <c r="M43" s="278"/>
      <c r="N43" s="66"/>
      <c r="O43" s="277"/>
      <c r="P43" s="66"/>
      <c r="Q43" s="278"/>
      <c r="R43" s="66"/>
      <c r="S43" s="277"/>
      <c r="T43" s="66"/>
      <c r="U43" s="277"/>
      <c r="V43" s="66"/>
      <c r="W43" s="278"/>
      <c r="X43" s="66"/>
      <c r="Y43" s="278"/>
      <c r="Z43" s="66"/>
      <c r="AA43" s="1094"/>
      <c r="AB43" s="118"/>
      <c r="AC43" s="687"/>
      <c r="AD43" s="1094"/>
      <c r="AE43" s="1095"/>
      <c r="AF43" s="687"/>
      <c r="AG43" s="1094"/>
      <c r="AH43" s="119"/>
      <c r="AI43" s="1096"/>
      <c r="AJ43" s="363"/>
      <c r="AK43" s="58"/>
      <c r="AL43" s="334"/>
      <c r="AM43" s="58"/>
    </row>
    <row r="44" spans="1:39" ht="15.75">
      <c r="A44" s="31"/>
      <c r="B44" s="31" t="s">
        <v>150</v>
      </c>
      <c r="C44" s="31"/>
      <c r="D44" s="107"/>
      <c r="E44" s="1575">
        <v>38.299999999999997</v>
      </c>
      <c r="F44" s="906"/>
      <c r="G44" s="1575">
        <v>142.89999999999998</v>
      </c>
      <c r="H44" s="906"/>
      <c r="I44" s="1575">
        <v>132.20000000000005</v>
      </c>
      <c r="J44" s="906"/>
      <c r="K44" s="1575">
        <v>155.69999999999999</v>
      </c>
      <c r="L44" s="906"/>
      <c r="M44" s="1575">
        <v>173.60000000000008</v>
      </c>
      <c r="N44" s="906"/>
      <c r="O44" s="1575">
        <v>177.29999999999995</v>
      </c>
      <c r="P44" s="906"/>
      <c r="Q44" s="1575">
        <v>340.80000000000018</v>
      </c>
      <c r="R44" s="906"/>
      <c r="S44" s="1575">
        <v>184.29999999999973</v>
      </c>
      <c r="T44" s="1575"/>
      <c r="U44" s="1575">
        <v>158.69999999999982</v>
      </c>
      <c r="V44" s="906"/>
      <c r="W44" s="1575">
        <v>344.40000000000009</v>
      </c>
      <c r="X44" s="906"/>
      <c r="Y44" s="1575">
        <f t="shared" ref="Y44" si="4">$AD44-$E44-$G44-$I44-$K44-$M44-$O44-$Q44-$S44-$U44-$W44</f>
        <v>120.40000000000009</v>
      </c>
      <c r="Z44" s="906"/>
      <c r="AA44" s="1575"/>
      <c r="AB44" s="906"/>
      <c r="AC44" s="1442"/>
      <c r="AD44" s="1575">
        <v>1968.6000000000001</v>
      </c>
      <c r="AE44" s="3328"/>
      <c r="AF44" s="1035"/>
      <c r="AG44" s="1575">
        <v>2136.9</v>
      </c>
      <c r="AH44" s="119"/>
      <c r="AI44" s="1118"/>
      <c r="AJ44" s="1126">
        <f>ROUND(AD44-AG44,1)</f>
        <v>-168.3</v>
      </c>
      <c r="AK44" s="336"/>
      <c r="AL44" s="914">
        <f>ROUND(IF(AG44=0,0,AJ44/ABS(AG44)),3)</f>
        <v>-7.9000000000000001E-2</v>
      </c>
    </row>
    <row r="45" spans="1:39" ht="15.75">
      <c r="A45" s="31"/>
      <c r="B45" s="31"/>
      <c r="C45" s="31"/>
      <c r="D45" s="107"/>
      <c r="E45" s="1053"/>
      <c r="F45" s="906"/>
      <c r="G45" s="1053"/>
      <c r="H45" s="906"/>
      <c r="I45" s="1053"/>
      <c r="J45" s="906"/>
      <c r="K45" s="1053"/>
      <c r="L45" s="66"/>
      <c r="M45" s="88"/>
      <c r="N45" s="66"/>
      <c r="O45" s="88"/>
      <c r="P45" s="66"/>
      <c r="Q45" s="88"/>
      <c r="R45" s="66"/>
      <c r="S45" s="88"/>
      <c r="T45" s="66"/>
      <c r="U45" s="88"/>
      <c r="V45" s="66"/>
      <c r="W45" s="88"/>
      <c r="X45" s="66"/>
      <c r="Y45" s="88"/>
      <c r="Z45" s="66"/>
      <c r="AA45" s="126"/>
      <c r="AB45" s="118"/>
      <c r="AC45" s="687"/>
      <c r="AD45" s="126"/>
      <c r="AE45" s="1095"/>
      <c r="AF45" s="687"/>
      <c r="AG45" s="126"/>
      <c r="AH45" s="67"/>
      <c r="AI45" s="1118"/>
      <c r="AJ45" s="363"/>
      <c r="AK45" s="327"/>
      <c r="AL45" s="334"/>
    </row>
    <row r="46" spans="1:39" ht="15.75">
      <c r="A46" s="31"/>
      <c r="B46" s="29" t="s">
        <v>197</v>
      </c>
      <c r="C46" s="31"/>
      <c r="D46" s="107"/>
      <c r="E46" s="112">
        <f>ROUND(SUM(E42+E44),1)</f>
        <v>38.4</v>
      </c>
      <c r="F46" s="112"/>
      <c r="G46" s="112">
        <f>ROUND(SUM(G42+G44),1)</f>
        <v>142.9</v>
      </c>
      <c r="H46" s="112"/>
      <c r="I46" s="112">
        <f>ROUND(SUM(I42+I44),1)</f>
        <v>132.30000000000001</v>
      </c>
      <c r="J46" s="112"/>
      <c r="K46" s="112">
        <f>ROUND(SUM(K42+K44),1)</f>
        <v>155.80000000000001</v>
      </c>
      <c r="L46" s="62"/>
      <c r="M46" s="933">
        <f>ROUND(SUM(M42+M44),1)</f>
        <v>173.6</v>
      </c>
      <c r="N46" s="62"/>
      <c r="O46" s="933">
        <f>ROUND(SUM(O42+O44),1)</f>
        <v>177.4</v>
      </c>
      <c r="P46" s="62"/>
      <c r="Q46" s="933">
        <f>ROUND(SUM(Q42+Q44),1)</f>
        <v>340.9</v>
      </c>
      <c r="R46" s="62"/>
      <c r="S46" s="933">
        <f>ROUND(SUM(S42+S44),1)</f>
        <v>184.4</v>
      </c>
      <c r="T46" s="62"/>
      <c r="U46" s="933">
        <f>ROUND(SUM(U42+U44),1)</f>
        <v>158.69999999999999</v>
      </c>
      <c r="V46" s="62"/>
      <c r="W46" s="933">
        <f>ROUND(SUM(W42+W44),1)</f>
        <v>344.5</v>
      </c>
      <c r="X46" s="62"/>
      <c r="Y46" s="933">
        <f>ROUND(SUM(Y42+Y44),1)</f>
        <v>120.6</v>
      </c>
      <c r="Z46" s="62"/>
      <c r="AA46" s="112">
        <f>ROUND(SUM(AA42+AA44),1)</f>
        <v>0</v>
      </c>
      <c r="AB46" s="112"/>
      <c r="AC46" s="688"/>
      <c r="AD46" s="112">
        <f>ROUND(SUM(AD42+AD44),1)</f>
        <v>1969.5</v>
      </c>
      <c r="AE46" s="1100"/>
      <c r="AF46" s="688"/>
      <c r="AG46" s="112">
        <f>ROUND(SUM(AG42+AG44),1)</f>
        <v>2137.9</v>
      </c>
      <c r="AH46" s="1119"/>
      <c r="AI46" s="1118"/>
      <c r="AJ46" s="1121">
        <f>ROUND(SUM(AJ42+AJ44),1)</f>
        <v>-168.4</v>
      </c>
      <c r="AK46" s="166"/>
      <c r="AL46" s="301">
        <f>ROUND(SUM(AD46-AG46)/ABS(AG46),3)</f>
        <v>-7.9000000000000001E-2</v>
      </c>
      <c r="AM46" s="332"/>
    </row>
    <row r="47" spans="1:39" ht="15.75">
      <c r="A47" s="31"/>
      <c r="B47" s="31"/>
      <c r="C47" s="31"/>
      <c r="D47" s="107"/>
      <c r="E47" s="1053"/>
      <c r="F47" s="906"/>
      <c r="G47" s="1053"/>
      <c r="H47" s="906"/>
      <c r="I47" s="1053"/>
      <c r="J47" s="906"/>
      <c r="K47" s="1053"/>
      <c r="L47" s="66"/>
      <c r="M47" s="88"/>
      <c r="N47" s="66"/>
      <c r="O47" s="88"/>
      <c r="P47" s="66"/>
      <c r="Q47" s="88"/>
      <c r="R47" s="66"/>
      <c r="S47" s="88"/>
      <c r="T47" s="66"/>
      <c r="U47" s="88"/>
      <c r="V47" s="66"/>
      <c r="W47" s="88"/>
      <c r="X47" s="66"/>
      <c r="Y47" s="88"/>
      <c r="Z47" s="66"/>
      <c r="AA47" s="126"/>
      <c r="AB47" s="118"/>
      <c r="AC47" s="687"/>
      <c r="AD47" s="126"/>
      <c r="AE47" s="1095"/>
      <c r="AF47" s="687"/>
      <c r="AG47" s="126"/>
      <c r="AH47" s="67"/>
      <c r="AI47" s="1118"/>
      <c r="AJ47" s="363"/>
      <c r="AK47" s="327"/>
      <c r="AL47" s="334"/>
    </row>
    <row r="48" spans="1:39" ht="15.75">
      <c r="A48" s="31"/>
      <c r="B48" s="29" t="s">
        <v>23</v>
      </c>
      <c r="C48" s="31"/>
      <c r="D48" s="107"/>
      <c r="E48" s="906"/>
      <c r="F48" s="906"/>
      <c r="G48" s="906"/>
      <c r="H48" s="906"/>
      <c r="I48" s="906"/>
      <c r="J48" s="906"/>
      <c r="K48" s="906"/>
      <c r="L48" s="66"/>
      <c r="M48" s="66"/>
      <c r="N48" s="66"/>
      <c r="O48" s="66"/>
      <c r="P48" s="66"/>
      <c r="Q48" s="66"/>
      <c r="R48" s="66"/>
      <c r="S48" s="66"/>
      <c r="T48" s="66"/>
      <c r="U48" s="66"/>
      <c r="V48" s="66"/>
      <c r="W48" s="66"/>
      <c r="X48" s="66"/>
      <c r="Y48" s="66"/>
      <c r="Z48" s="66"/>
      <c r="AA48" s="118"/>
      <c r="AB48" s="118"/>
      <c r="AC48" s="687"/>
      <c r="AD48" s="118"/>
      <c r="AE48" s="1095"/>
      <c r="AF48" s="687"/>
      <c r="AG48" s="118"/>
      <c r="AH48" s="118"/>
      <c r="AI48" s="1118"/>
      <c r="AJ48" s="363"/>
      <c r="AK48" s="327"/>
      <c r="AL48" s="334"/>
    </row>
    <row r="49" spans="1:41" ht="15.75">
      <c r="A49" s="31"/>
      <c r="B49" s="31" t="s">
        <v>152</v>
      </c>
      <c r="C49" s="31"/>
      <c r="D49" s="107"/>
      <c r="E49" s="1575"/>
      <c r="F49" s="906"/>
      <c r="G49" s="906"/>
      <c r="H49" s="906"/>
      <c r="I49" s="906"/>
      <c r="J49" s="906"/>
      <c r="K49" s="906"/>
      <c r="L49" s="66"/>
      <c r="M49" s="66"/>
      <c r="N49" s="66"/>
      <c r="O49" s="66"/>
      <c r="P49" s="66"/>
      <c r="Q49" s="278"/>
      <c r="R49" s="66"/>
      <c r="S49" s="66"/>
      <c r="T49" s="66"/>
      <c r="U49" s="66"/>
      <c r="V49" s="66"/>
      <c r="W49" s="66"/>
      <c r="X49" s="66"/>
      <c r="Y49" s="66"/>
      <c r="Z49" s="66"/>
      <c r="AA49" s="118"/>
      <c r="AB49" s="118"/>
      <c r="AC49" s="687"/>
      <c r="AD49" s="118"/>
      <c r="AE49" s="1095"/>
      <c r="AF49" s="687"/>
      <c r="AG49" s="118"/>
      <c r="AH49" s="118"/>
      <c r="AI49" s="1118"/>
      <c r="AJ49" s="363"/>
      <c r="AK49" s="336"/>
      <c r="AL49" s="334"/>
    </row>
    <row r="50" spans="1:41" s="1104" customFormat="1" ht="15.75">
      <c r="A50" s="107"/>
      <c r="B50" s="107" t="s">
        <v>25</v>
      </c>
      <c r="C50" s="107"/>
      <c r="D50" s="107"/>
      <c r="E50" s="1575">
        <v>0</v>
      </c>
      <c r="F50" s="906"/>
      <c r="G50" s="1575">
        <v>0</v>
      </c>
      <c r="H50" s="906"/>
      <c r="I50" s="1575">
        <v>0</v>
      </c>
      <c r="J50" s="906"/>
      <c r="K50" s="1575">
        <v>0</v>
      </c>
      <c r="L50" s="906"/>
      <c r="M50" s="1575">
        <v>0</v>
      </c>
      <c r="N50" s="906"/>
      <c r="O50" s="1575">
        <v>0</v>
      </c>
      <c r="P50" s="906"/>
      <c r="Q50" s="1575">
        <v>0</v>
      </c>
      <c r="R50" s="906"/>
      <c r="S50" s="1575">
        <v>0</v>
      </c>
      <c r="T50" s="1575"/>
      <c r="U50" s="1575">
        <v>0</v>
      </c>
      <c r="V50" s="906"/>
      <c r="W50" s="1575">
        <v>0</v>
      </c>
      <c r="X50" s="1575"/>
      <c r="Y50" s="1575">
        <f t="shared" ref="Y50:Y59" si="5">$AD50-$E50-$G50-$I50-$K50-$M50-$O50-$Q50-$S50-$U50-$W50</f>
        <v>0</v>
      </c>
      <c r="Z50" s="906"/>
      <c r="AA50" s="1575"/>
      <c r="AB50" s="906"/>
      <c r="AC50" s="1442"/>
      <c r="AD50" s="1575">
        <v>0</v>
      </c>
      <c r="AE50" s="3328"/>
      <c r="AF50" s="1035"/>
      <c r="AG50" s="1575">
        <v>0</v>
      </c>
      <c r="AH50" s="119"/>
      <c r="AI50" s="1096"/>
      <c r="AJ50" s="1127">
        <f>ROUND(AD50-AG50,1)</f>
        <v>0</v>
      </c>
      <c r="AK50" s="1097"/>
      <c r="AL50" s="1768">
        <f>ROUND(IF(AG50=0,0,AJ50/ABS(AG50)),3)</f>
        <v>0</v>
      </c>
    </row>
    <row r="51" spans="1:41" s="1104" customFormat="1" ht="15.75">
      <c r="A51" s="107"/>
      <c r="B51" s="107" t="s">
        <v>26</v>
      </c>
      <c r="C51" s="107"/>
      <c r="D51" s="107"/>
      <c r="E51" s="1575">
        <v>0</v>
      </c>
      <c r="F51" s="906"/>
      <c r="G51" s="1575">
        <v>0</v>
      </c>
      <c r="H51" s="906"/>
      <c r="I51" s="1575">
        <v>0</v>
      </c>
      <c r="J51" s="906"/>
      <c r="K51" s="1575">
        <v>0</v>
      </c>
      <c r="L51" s="906"/>
      <c r="M51" s="1575">
        <v>0</v>
      </c>
      <c r="N51" s="906"/>
      <c r="O51" s="1575">
        <v>0</v>
      </c>
      <c r="P51" s="906"/>
      <c r="Q51" s="1575">
        <v>0</v>
      </c>
      <c r="R51" s="906"/>
      <c r="S51" s="1575">
        <v>0</v>
      </c>
      <c r="T51" s="1575"/>
      <c r="U51" s="1575">
        <v>0</v>
      </c>
      <c r="V51" s="906"/>
      <c r="W51" s="1575">
        <v>171</v>
      </c>
      <c r="X51" s="1575"/>
      <c r="Y51" s="1575">
        <f t="shared" si="5"/>
        <v>0</v>
      </c>
      <c r="Z51" s="906"/>
      <c r="AA51" s="1575"/>
      <c r="AB51" s="906"/>
      <c r="AC51" s="1442"/>
      <c r="AD51" s="1575">
        <v>171</v>
      </c>
      <c r="AE51" s="3328"/>
      <c r="AF51" s="1035"/>
      <c r="AG51" s="1575">
        <v>175</v>
      </c>
      <c r="AH51" s="119"/>
      <c r="AI51" s="1096"/>
      <c r="AJ51" s="1127">
        <f>ROUND(AD51-AG51,1)</f>
        <v>-4</v>
      </c>
      <c r="AK51" s="1097"/>
      <c r="AL51" s="1770">
        <f>ROUND(IF(AG51=0,0,AJ51/ABS(AG51)),3)</f>
        <v>-2.3E-2</v>
      </c>
    </row>
    <row r="52" spans="1:41" s="1104" customFormat="1" ht="15.75">
      <c r="A52" s="107"/>
      <c r="B52" s="107" t="s">
        <v>27</v>
      </c>
      <c r="C52" s="107"/>
      <c r="D52" s="107"/>
      <c r="E52" s="1575">
        <v>0</v>
      </c>
      <c r="F52" s="906"/>
      <c r="G52" s="1575">
        <v>0</v>
      </c>
      <c r="H52" s="906"/>
      <c r="I52" s="1575">
        <v>0</v>
      </c>
      <c r="J52" s="906"/>
      <c r="K52" s="1575">
        <v>0</v>
      </c>
      <c r="L52" s="906"/>
      <c r="M52" s="1575">
        <v>0</v>
      </c>
      <c r="N52" s="906"/>
      <c r="O52" s="1575">
        <v>0</v>
      </c>
      <c r="P52" s="906"/>
      <c r="Q52" s="1575">
        <v>0</v>
      </c>
      <c r="R52" s="906"/>
      <c r="S52" s="1575">
        <v>0</v>
      </c>
      <c r="T52" s="1575"/>
      <c r="U52" s="1575">
        <v>0</v>
      </c>
      <c r="V52" s="906"/>
      <c r="W52" s="1575">
        <v>0</v>
      </c>
      <c r="X52" s="1575"/>
      <c r="Y52" s="1575">
        <f t="shared" si="5"/>
        <v>0</v>
      </c>
      <c r="Z52" s="906"/>
      <c r="AA52" s="1575"/>
      <c r="AB52" s="906"/>
      <c r="AC52" s="1442"/>
      <c r="AD52" s="1575">
        <v>0</v>
      </c>
      <c r="AE52" s="3328"/>
      <c r="AF52" s="1035"/>
      <c r="AG52" s="1575">
        <v>0</v>
      </c>
      <c r="AH52" s="119"/>
      <c r="AI52" s="1096"/>
      <c r="AJ52" s="1127">
        <f>ROUND(AD52-AG52,1)</f>
        <v>0</v>
      </c>
      <c r="AK52" s="1116"/>
      <c r="AL52" s="1768">
        <f>ROUND(IF(AG52=0,0,AJ52/ABS(AG52)),3)</f>
        <v>0</v>
      </c>
    </row>
    <row r="53" spans="1:41" s="1104" customFormat="1" ht="15.75">
      <c r="A53" s="107"/>
      <c r="B53" s="107" t="s">
        <v>28</v>
      </c>
      <c r="C53" s="107"/>
      <c r="D53" s="107"/>
      <c r="E53" s="1575" t="s">
        <v>15</v>
      </c>
      <c r="F53" s="906"/>
      <c r="G53" s="1575"/>
      <c r="H53" s="906"/>
      <c r="I53" s="1575"/>
      <c r="J53" s="906"/>
      <c r="K53" s="1575"/>
      <c r="L53" s="906"/>
      <c r="M53" s="1575"/>
      <c r="N53" s="906"/>
      <c r="O53" s="1575"/>
      <c r="P53" s="906"/>
      <c r="Q53" s="1575"/>
      <c r="R53" s="906"/>
      <c r="S53" s="1575"/>
      <c r="T53" s="1575"/>
      <c r="U53" s="1575"/>
      <c r="V53" s="906"/>
      <c r="W53" s="1575"/>
      <c r="X53" s="1575"/>
      <c r="Y53" s="1575"/>
      <c r="Z53" s="906"/>
      <c r="AA53" s="1575"/>
      <c r="AB53" s="906"/>
      <c r="AC53" s="1442"/>
      <c r="AD53" s="1575"/>
      <c r="AE53" s="3328"/>
      <c r="AF53" s="1035"/>
      <c r="AG53" s="1575"/>
      <c r="AH53" s="118"/>
      <c r="AI53" s="1118"/>
      <c r="AJ53" s="1128"/>
      <c r="AK53" s="1097"/>
      <c r="AL53" s="1771" t="s">
        <v>15</v>
      </c>
    </row>
    <row r="54" spans="1:41" s="1104" customFormat="1" ht="15.75">
      <c r="A54" s="107"/>
      <c r="B54" s="107" t="s">
        <v>29</v>
      </c>
      <c r="C54" s="105"/>
      <c r="D54" s="107"/>
      <c r="E54" s="1575">
        <v>0</v>
      </c>
      <c r="F54" s="906"/>
      <c r="G54" s="1575">
        <v>0</v>
      </c>
      <c r="H54" s="906"/>
      <c r="I54" s="1575">
        <v>0</v>
      </c>
      <c r="J54" s="906"/>
      <c r="K54" s="1575">
        <v>0</v>
      </c>
      <c r="L54" s="906"/>
      <c r="M54" s="1575">
        <v>0</v>
      </c>
      <c r="N54" s="906"/>
      <c r="O54" s="1575">
        <v>0</v>
      </c>
      <c r="P54" s="906"/>
      <c r="Q54" s="1575">
        <v>0</v>
      </c>
      <c r="R54" s="906"/>
      <c r="S54" s="1575">
        <v>0</v>
      </c>
      <c r="T54" s="1575"/>
      <c r="U54" s="1575">
        <v>0</v>
      </c>
      <c r="V54" s="906"/>
      <c r="W54" s="1575">
        <v>0</v>
      </c>
      <c r="X54" s="1575"/>
      <c r="Y54" s="1575">
        <f t="shared" si="5"/>
        <v>0</v>
      </c>
      <c r="Z54" s="906"/>
      <c r="AA54" s="1575"/>
      <c r="AB54" s="906"/>
      <c r="AC54" s="1442"/>
      <c r="AD54" s="1575">
        <v>0</v>
      </c>
      <c r="AE54" s="3328"/>
      <c r="AF54" s="1035"/>
      <c r="AG54" s="1575">
        <v>0</v>
      </c>
      <c r="AH54" s="118"/>
      <c r="AI54" s="1118"/>
      <c r="AJ54" s="1127">
        <f t="shared" ref="AJ54:AJ59" si="6">ROUND(AD54-AG54,1)</f>
        <v>0</v>
      </c>
      <c r="AK54" s="1116"/>
      <c r="AL54" s="1768">
        <f>ROUND(IF(AG54=0,0,AJ54/ABS(AG54)),3)</f>
        <v>0</v>
      </c>
      <c r="AM54" s="1116"/>
    </row>
    <row r="55" spans="1:41" s="1104" customFormat="1" ht="15.75">
      <c r="A55" s="107"/>
      <c r="B55" s="107" t="s">
        <v>30</v>
      </c>
      <c r="C55" s="107"/>
      <c r="D55" s="107"/>
      <c r="E55" s="1575">
        <v>0</v>
      </c>
      <c r="F55" s="906"/>
      <c r="G55" s="1575">
        <v>0</v>
      </c>
      <c r="H55" s="906"/>
      <c r="I55" s="1575">
        <v>0</v>
      </c>
      <c r="J55" s="906"/>
      <c r="K55" s="1575">
        <v>0.4</v>
      </c>
      <c r="L55" s="906"/>
      <c r="M55" s="1575">
        <v>0</v>
      </c>
      <c r="N55" s="906"/>
      <c r="O55" s="1575">
        <v>0.79999999999999993</v>
      </c>
      <c r="P55" s="906"/>
      <c r="Q55" s="1575">
        <v>37.700000000000003</v>
      </c>
      <c r="R55" s="906"/>
      <c r="S55" s="1575">
        <v>0.20000000000000284</v>
      </c>
      <c r="T55" s="1575"/>
      <c r="U55" s="1575">
        <v>0</v>
      </c>
      <c r="V55" s="906"/>
      <c r="W55" s="1575">
        <v>0</v>
      </c>
      <c r="X55" s="1575"/>
      <c r="Y55" s="1575">
        <f t="shared" si="5"/>
        <v>0</v>
      </c>
      <c r="Z55" s="906"/>
      <c r="AA55" s="1575"/>
      <c r="AB55" s="906"/>
      <c r="AC55" s="1442"/>
      <c r="AD55" s="1575">
        <v>39.1</v>
      </c>
      <c r="AE55" s="3328"/>
      <c r="AF55" s="1035"/>
      <c r="AG55" s="1575">
        <v>44.9</v>
      </c>
      <c r="AH55" s="119"/>
      <c r="AI55" s="1096"/>
      <c r="AJ55" s="1127">
        <f t="shared" si="6"/>
        <v>-5.8</v>
      </c>
      <c r="AK55" s="1097"/>
      <c r="AL55" s="2246">
        <f>ROUND(IF(AG55=0,0,AJ55/ABS(AG55)),3)</f>
        <v>-0.129</v>
      </c>
    </row>
    <row r="56" spans="1:41" s="1104" customFormat="1" ht="15.75">
      <c r="A56" s="107"/>
      <c r="B56" s="107" t="s">
        <v>31</v>
      </c>
      <c r="C56" s="107"/>
      <c r="D56" s="107"/>
      <c r="E56" s="1575">
        <v>0</v>
      </c>
      <c r="F56" s="906"/>
      <c r="G56" s="1575">
        <v>0</v>
      </c>
      <c r="H56" s="906"/>
      <c r="I56" s="1575">
        <v>10.1</v>
      </c>
      <c r="J56" s="906"/>
      <c r="K56" s="1575">
        <v>9.9999999999999645E-2</v>
      </c>
      <c r="L56" s="906"/>
      <c r="M56" s="1575">
        <v>0</v>
      </c>
      <c r="N56" s="906"/>
      <c r="O56" s="1575">
        <v>10</v>
      </c>
      <c r="P56" s="906"/>
      <c r="Q56" s="1575">
        <v>0</v>
      </c>
      <c r="R56" s="906"/>
      <c r="S56" s="1575">
        <v>8.3999999999999986</v>
      </c>
      <c r="T56" s="1575"/>
      <c r="U56" s="1575">
        <v>0</v>
      </c>
      <c r="V56" s="906"/>
      <c r="W56" s="1575">
        <v>0</v>
      </c>
      <c r="X56" s="1575"/>
      <c r="Y56" s="1575">
        <f t="shared" si="5"/>
        <v>0</v>
      </c>
      <c r="Z56" s="906"/>
      <c r="AA56" s="1575"/>
      <c r="AB56" s="906"/>
      <c r="AC56" s="1442"/>
      <c r="AD56" s="1575">
        <v>28.6</v>
      </c>
      <c r="AE56" s="3328"/>
      <c r="AF56" s="1035"/>
      <c r="AG56" s="1575">
        <v>25.9</v>
      </c>
      <c r="AH56" s="119"/>
      <c r="AI56" s="1096"/>
      <c r="AJ56" s="1127">
        <f t="shared" si="6"/>
        <v>2.7</v>
      </c>
      <c r="AK56" s="1116"/>
      <c r="AL56" s="1690">
        <f>ROUND(IF(AG56=0,1,AJ56/ABS(AG56)),3)</f>
        <v>0.104</v>
      </c>
    </row>
    <row r="57" spans="1:41" s="1104" customFormat="1" ht="15.75">
      <c r="A57" s="107"/>
      <c r="B57" s="107" t="s">
        <v>32</v>
      </c>
      <c r="C57" s="107"/>
      <c r="D57" s="107"/>
      <c r="E57" s="1575">
        <v>0</v>
      </c>
      <c r="F57" s="906"/>
      <c r="G57" s="1575">
        <v>0</v>
      </c>
      <c r="H57" s="906"/>
      <c r="I57" s="1575">
        <v>0</v>
      </c>
      <c r="J57" s="906"/>
      <c r="K57" s="1575">
        <v>0</v>
      </c>
      <c r="L57" s="906"/>
      <c r="M57" s="1575">
        <v>0</v>
      </c>
      <c r="N57" s="906"/>
      <c r="O57" s="1575">
        <v>0</v>
      </c>
      <c r="P57" s="906"/>
      <c r="Q57" s="1575">
        <v>0</v>
      </c>
      <c r="R57" s="906"/>
      <c r="S57" s="1575">
        <v>0</v>
      </c>
      <c r="T57" s="1575"/>
      <c r="U57" s="1575">
        <v>0</v>
      </c>
      <c r="V57" s="906"/>
      <c r="W57" s="1575">
        <v>0</v>
      </c>
      <c r="X57" s="1575"/>
      <c r="Y57" s="1575">
        <f t="shared" si="5"/>
        <v>0</v>
      </c>
      <c r="Z57" s="906"/>
      <c r="AA57" s="1575"/>
      <c r="AB57" s="906"/>
      <c r="AC57" s="1442"/>
      <c r="AD57" s="1575">
        <v>0</v>
      </c>
      <c r="AE57" s="3328"/>
      <c r="AF57" s="1035"/>
      <c r="AG57" s="1575">
        <v>0</v>
      </c>
      <c r="AH57" s="118"/>
      <c r="AI57" s="1118"/>
      <c r="AJ57" s="1127">
        <f t="shared" si="6"/>
        <v>0</v>
      </c>
      <c r="AK57" s="1097"/>
      <c r="AL57" s="1768">
        <f>ROUND(IF(AG57=0,0,AJ57/ABS(AG57)),3)</f>
        <v>0</v>
      </c>
    </row>
    <row r="58" spans="1:41" s="1104" customFormat="1" ht="15.75">
      <c r="A58" s="107"/>
      <c r="B58" s="107" t="s">
        <v>33</v>
      </c>
      <c r="C58" s="105"/>
      <c r="D58" s="107"/>
      <c r="E58" s="1575">
        <v>0</v>
      </c>
      <c r="F58" s="906"/>
      <c r="G58" s="1575">
        <v>0</v>
      </c>
      <c r="H58" s="906"/>
      <c r="I58" s="1575">
        <v>0</v>
      </c>
      <c r="J58" s="906"/>
      <c r="K58" s="1575">
        <v>0</v>
      </c>
      <c r="L58" s="906"/>
      <c r="M58" s="1575">
        <v>0</v>
      </c>
      <c r="N58" s="906"/>
      <c r="O58" s="1575">
        <v>0</v>
      </c>
      <c r="P58" s="906"/>
      <c r="Q58" s="1575">
        <v>0</v>
      </c>
      <c r="R58" s="906"/>
      <c r="S58" s="1575">
        <v>0</v>
      </c>
      <c r="T58" s="1575"/>
      <c r="U58" s="1575">
        <v>0</v>
      </c>
      <c r="V58" s="906"/>
      <c r="W58" s="1575">
        <v>0</v>
      </c>
      <c r="X58" s="1575"/>
      <c r="Y58" s="1575">
        <f t="shared" si="5"/>
        <v>0</v>
      </c>
      <c r="Z58" s="906"/>
      <c r="AA58" s="1575"/>
      <c r="AB58" s="906"/>
      <c r="AC58" s="1442"/>
      <c r="AD58" s="1575">
        <v>0</v>
      </c>
      <c r="AE58" s="3328"/>
      <c r="AF58" s="1035"/>
      <c r="AG58" s="1575">
        <v>0</v>
      </c>
      <c r="AH58" s="118"/>
      <c r="AI58" s="1118"/>
      <c r="AJ58" s="1127">
        <f t="shared" si="6"/>
        <v>0</v>
      </c>
      <c r="AK58" s="1116"/>
      <c r="AL58" s="1768">
        <f>ROUND(IF(AG58=0,0,AJ58/ABS(AG58)),3)</f>
        <v>0</v>
      </c>
      <c r="AM58" s="1116"/>
    </row>
    <row r="59" spans="1:41" s="1104" customFormat="1" ht="15.75">
      <c r="A59" s="107"/>
      <c r="B59" s="107" t="s">
        <v>34</v>
      </c>
      <c r="C59" s="107"/>
      <c r="D59" s="107"/>
      <c r="E59" s="1575">
        <v>40</v>
      </c>
      <c r="F59" s="906"/>
      <c r="G59" s="1575">
        <v>37.600000000000009</v>
      </c>
      <c r="H59" s="906"/>
      <c r="I59" s="1575">
        <v>47.599999999999994</v>
      </c>
      <c r="J59" s="906"/>
      <c r="K59" s="1575">
        <v>37.799999999999997</v>
      </c>
      <c r="L59" s="906"/>
      <c r="M59" s="1575">
        <v>39.300000000000011</v>
      </c>
      <c r="N59" s="906"/>
      <c r="O59" s="1575">
        <v>32.399999999999963</v>
      </c>
      <c r="P59" s="906"/>
      <c r="Q59" s="1575">
        <v>50.5</v>
      </c>
      <c r="R59" s="906"/>
      <c r="S59" s="1575">
        <v>32.000000000000014</v>
      </c>
      <c r="T59" s="1575"/>
      <c r="U59" s="1575">
        <v>58.699999999999974</v>
      </c>
      <c r="V59" s="906"/>
      <c r="W59" s="1575">
        <v>39.900000000000034</v>
      </c>
      <c r="X59" s="1575"/>
      <c r="Y59" s="1575">
        <f t="shared" si="5"/>
        <v>72.399999999999991</v>
      </c>
      <c r="Z59" s="906"/>
      <c r="AA59" s="1575"/>
      <c r="AB59" s="906"/>
      <c r="AC59" s="1442"/>
      <c r="AD59" s="1575">
        <v>488.2</v>
      </c>
      <c r="AE59" s="3328"/>
      <c r="AF59" s="1035"/>
      <c r="AG59" s="1575">
        <v>420.3</v>
      </c>
      <c r="AH59" s="67"/>
      <c r="AI59" s="1118"/>
      <c r="AJ59" s="1127">
        <f t="shared" si="6"/>
        <v>67.900000000000006</v>
      </c>
      <c r="AK59" s="1116"/>
      <c r="AL59" s="1772">
        <f>ROUND((AD59-AG59)/ABS(AG59),3)</f>
        <v>0.16200000000000001</v>
      </c>
    </row>
    <row r="60" spans="1:41" ht="15.75">
      <c r="A60" s="31"/>
      <c r="B60" s="29" t="s">
        <v>198</v>
      </c>
      <c r="C60" s="31"/>
      <c r="D60" s="107"/>
      <c r="E60" s="1110">
        <f>ROUND(SUM(E50:E59),1)</f>
        <v>40</v>
      </c>
      <c r="F60" s="112"/>
      <c r="G60" s="1110">
        <f>ROUND(SUM(G50:G59),1)</f>
        <v>37.6</v>
      </c>
      <c r="H60" s="112"/>
      <c r="I60" s="1110">
        <f>ROUND(SUM(I50:I59),1)</f>
        <v>57.7</v>
      </c>
      <c r="J60" s="112"/>
      <c r="K60" s="1110">
        <f>ROUND(SUM(K50:K59),1)</f>
        <v>38.299999999999997</v>
      </c>
      <c r="L60" s="62"/>
      <c r="M60" s="296">
        <f>ROUND(SUM(M50:M59),1)</f>
        <v>39.299999999999997</v>
      </c>
      <c r="N60" s="62"/>
      <c r="O60" s="296">
        <f>ROUND(SUM(O50:O59),1)</f>
        <v>43.2</v>
      </c>
      <c r="P60" s="62"/>
      <c r="Q60" s="296">
        <f>ROUND(SUM(Q50:Q59),1)</f>
        <v>88.2</v>
      </c>
      <c r="R60" s="62"/>
      <c r="S60" s="296">
        <f>ROUND(SUM(S50:S59),1)</f>
        <v>40.6</v>
      </c>
      <c r="T60" s="62"/>
      <c r="U60" s="296">
        <f>ROUND(SUM(U50:U59),1)</f>
        <v>58.7</v>
      </c>
      <c r="V60" s="62"/>
      <c r="W60" s="296">
        <f>ROUND(SUM(W50:W59),1)</f>
        <v>210.9</v>
      </c>
      <c r="X60" s="62"/>
      <c r="Y60" s="296">
        <f>ROUND(SUM(Y50:Y59),1)</f>
        <v>72.400000000000006</v>
      </c>
      <c r="Z60" s="62"/>
      <c r="AA60" s="1110">
        <f>ROUND(SUM(AA50:AA59),1)</f>
        <v>0</v>
      </c>
      <c r="AB60" s="112"/>
      <c r="AC60" s="688"/>
      <c r="AD60" s="1110">
        <f>ROUND(SUM(AD50:AD59),1)</f>
        <v>726.9</v>
      </c>
      <c r="AE60" s="1100"/>
      <c r="AF60" s="688"/>
      <c r="AG60" s="1110">
        <f>ROUND(SUM(AG50:AG59),1)</f>
        <v>666.1</v>
      </c>
      <c r="AH60" s="115"/>
      <c r="AI60" s="1118"/>
      <c r="AJ60" s="1110">
        <f>ROUND(SUM(AJ50:AJ59),1)</f>
        <v>60.8</v>
      </c>
      <c r="AK60" s="343"/>
      <c r="AL60" s="344">
        <f>ROUND(SUM(AD60-AG60)/ABS(AG60),3)</f>
        <v>9.0999999999999998E-2</v>
      </c>
      <c r="AM60" s="343"/>
      <c r="AN60" s="332"/>
      <c r="AO60" s="332"/>
    </row>
    <row r="61" spans="1:41" ht="15.75">
      <c r="A61" s="31"/>
      <c r="B61" s="31" t="s">
        <v>199</v>
      </c>
      <c r="C61" s="31"/>
      <c r="D61" s="107"/>
      <c r="E61" s="906"/>
      <c r="F61" s="906"/>
      <c r="G61" s="906"/>
      <c r="H61" s="906"/>
      <c r="I61" s="906"/>
      <c r="J61" s="906"/>
      <c r="K61" s="906"/>
      <c r="L61" s="66"/>
      <c r="M61" s="66"/>
      <c r="N61" s="66"/>
      <c r="O61" s="66"/>
      <c r="P61" s="66"/>
      <c r="Q61" s="66"/>
      <c r="R61" s="66"/>
      <c r="S61" s="66"/>
      <c r="T61" s="66"/>
      <c r="U61" s="66"/>
      <c r="V61" s="66"/>
      <c r="W61" s="66"/>
      <c r="X61" s="66"/>
      <c r="Y61" s="66"/>
      <c r="Z61" s="66"/>
      <c r="AA61" s="118"/>
      <c r="AB61" s="118"/>
      <c r="AC61" s="687"/>
      <c r="AD61" s="118"/>
      <c r="AE61" s="1095"/>
      <c r="AF61" s="687"/>
      <c r="AG61" s="118"/>
      <c r="AH61" s="118"/>
      <c r="AI61" s="1118"/>
      <c r="AJ61" s="363"/>
      <c r="AK61" s="327"/>
      <c r="AL61" s="334"/>
    </row>
    <row r="62" spans="1:41" s="1104" customFormat="1" ht="15.75">
      <c r="A62" s="107"/>
      <c r="B62" s="107" t="s">
        <v>200</v>
      </c>
      <c r="C62" s="107"/>
      <c r="D62" s="107"/>
      <c r="E62" s="1575">
        <v>0</v>
      </c>
      <c r="F62" s="906"/>
      <c r="G62" s="1575">
        <v>0</v>
      </c>
      <c r="H62" s="906"/>
      <c r="I62" s="1575">
        <v>0</v>
      </c>
      <c r="J62" s="906"/>
      <c r="K62" s="1575">
        <v>0</v>
      </c>
      <c r="L62" s="906"/>
      <c r="M62" s="1575">
        <v>0</v>
      </c>
      <c r="N62" s="906"/>
      <c r="O62" s="1575">
        <v>0</v>
      </c>
      <c r="P62" s="906"/>
      <c r="Q62" s="1575">
        <v>0</v>
      </c>
      <c r="R62" s="906"/>
      <c r="S62" s="1575">
        <v>0</v>
      </c>
      <c r="T62" s="1575"/>
      <c r="U62" s="1575">
        <v>0</v>
      </c>
      <c r="V62" s="906"/>
      <c r="W62" s="1575">
        <v>0</v>
      </c>
      <c r="X62" s="906"/>
      <c r="Y62" s="1575">
        <f t="shared" ref="Y62:Y65" si="7">$AD62-$E62-$G62-$I62-$K62-$M62-$O62-$Q62-$S62-$U62-$W62</f>
        <v>0</v>
      </c>
      <c r="Z62" s="906"/>
      <c r="AA62" s="1575"/>
      <c r="AB62" s="906"/>
      <c r="AC62" s="1442"/>
      <c r="AD62" s="1575">
        <v>0</v>
      </c>
      <c r="AE62" s="3328"/>
      <c r="AF62" s="1035"/>
      <c r="AG62" s="1575">
        <v>0</v>
      </c>
      <c r="AH62" s="127"/>
      <c r="AI62" s="1122"/>
      <c r="AJ62" s="1127">
        <f>ROUND(AD62-AG62,1)</f>
        <v>0</v>
      </c>
      <c r="AK62" s="1116"/>
      <c r="AL62" s="1768">
        <f>ROUND(IF(AG62=0,0,AJ62/ABS(AG62)),3)</f>
        <v>0</v>
      </c>
      <c r="AM62" s="1117"/>
    </row>
    <row r="63" spans="1:41" s="1104" customFormat="1" ht="15.75">
      <c r="A63" s="107"/>
      <c r="B63" s="107" t="s">
        <v>201</v>
      </c>
      <c r="C63" s="107"/>
      <c r="D63" s="107"/>
      <c r="E63" s="1575">
        <v>0</v>
      </c>
      <c r="F63" s="906"/>
      <c r="G63" s="1575">
        <v>0</v>
      </c>
      <c r="H63" s="906"/>
      <c r="I63" s="1575">
        <v>0</v>
      </c>
      <c r="J63" s="906"/>
      <c r="K63" s="1575">
        <v>0</v>
      </c>
      <c r="L63" s="906"/>
      <c r="M63" s="1575">
        <v>0</v>
      </c>
      <c r="N63" s="906"/>
      <c r="O63" s="1575">
        <v>0</v>
      </c>
      <c r="P63" s="906"/>
      <c r="Q63" s="1575">
        <v>0</v>
      </c>
      <c r="R63" s="906"/>
      <c r="S63" s="1575">
        <v>0</v>
      </c>
      <c r="T63" s="1575"/>
      <c r="U63" s="1575">
        <v>0</v>
      </c>
      <c r="V63" s="906"/>
      <c r="W63" s="1575">
        <v>0</v>
      </c>
      <c r="X63" s="906"/>
      <c r="Y63" s="1575">
        <f t="shared" si="7"/>
        <v>0</v>
      </c>
      <c r="Z63" s="906"/>
      <c r="AA63" s="1575"/>
      <c r="AB63" s="906"/>
      <c r="AC63" s="1442"/>
      <c r="AD63" s="1575">
        <v>0</v>
      </c>
      <c r="AE63" s="3328"/>
      <c r="AF63" s="1035"/>
      <c r="AG63" s="1575">
        <v>0</v>
      </c>
      <c r="AH63" s="127"/>
      <c r="AI63" s="1122"/>
      <c r="AJ63" s="1127">
        <f>ROUND(AD63-AG63,1)</f>
        <v>0</v>
      </c>
      <c r="AK63" s="1116"/>
      <c r="AL63" s="1768">
        <f>ROUND(IF(AG63=0,0,AJ63/ABS(AG63)),3)</f>
        <v>0</v>
      </c>
    </row>
    <row r="64" spans="1:41" s="1104" customFormat="1" ht="15.75">
      <c r="A64" s="107"/>
      <c r="B64" s="107" t="s">
        <v>202</v>
      </c>
      <c r="C64" s="107"/>
      <c r="D64" s="107"/>
      <c r="E64" s="1575">
        <v>0</v>
      </c>
      <c r="F64" s="906"/>
      <c r="G64" s="1575">
        <v>0</v>
      </c>
      <c r="H64" s="906"/>
      <c r="I64" s="1575">
        <v>0</v>
      </c>
      <c r="J64" s="906"/>
      <c r="K64" s="1575">
        <v>0</v>
      </c>
      <c r="L64" s="906"/>
      <c r="M64" s="1575">
        <v>0</v>
      </c>
      <c r="N64" s="906"/>
      <c r="O64" s="1575">
        <v>0</v>
      </c>
      <c r="P64" s="906"/>
      <c r="Q64" s="1575">
        <v>0</v>
      </c>
      <c r="R64" s="906"/>
      <c r="S64" s="1575">
        <v>0</v>
      </c>
      <c r="T64" s="1575"/>
      <c r="U64" s="1575">
        <v>0</v>
      </c>
      <c r="V64" s="906"/>
      <c r="W64" s="1575">
        <v>0</v>
      </c>
      <c r="X64" s="906"/>
      <c r="Y64" s="1575">
        <f t="shared" si="7"/>
        <v>0</v>
      </c>
      <c r="Z64" s="906"/>
      <c r="AA64" s="1575"/>
      <c r="AB64" s="906"/>
      <c r="AC64" s="1442"/>
      <c r="AD64" s="1575">
        <v>0</v>
      </c>
      <c r="AE64" s="3328"/>
      <c r="AF64" s="1035"/>
      <c r="AG64" s="1575">
        <v>0</v>
      </c>
      <c r="AH64" s="127"/>
      <c r="AI64" s="1122"/>
      <c r="AJ64" s="1127">
        <f>ROUND(AD64-AG64,1)</f>
        <v>0</v>
      </c>
      <c r="AK64" s="1116"/>
      <c r="AL64" s="1768">
        <f>ROUND(IF(AG64=0,0,AJ64/ABS(AG64)),3)</f>
        <v>0</v>
      </c>
    </row>
    <row r="65" spans="1:39" s="1104" customFormat="1" ht="15.75">
      <c r="A65" s="107"/>
      <c r="B65" s="1767" t="s">
        <v>214</v>
      </c>
      <c r="C65" s="107"/>
      <c r="D65" s="107"/>
      <c r="E65" s="1575">
        <v>65.400000000000006</v>
      </c>
      <c r="F65" s="906"/>
      <c r="G65" s="1575">
        <v>83.4</v>
      </c>
      <c r="H65" s="906"/>
      <c r="I65" s="1575">
        <v>100.6</v>
      </c>
      <c r="J65" s="906"/>
      <c r="K65" s="1575">
        <v>104.39999999999998</v>
      </c>
      <c r="L65" s="906"/>
      <c r="M65" s="1575">
        <v>118.4</v>
      </c>
      <c r="N65" s="906"/>
      <c r="O65" s="1575">
        <v>116.90000000000006</v>
      </c>
      <c r="P65" s="906"/>
      <c r="Q65" s="1575">
        <v>120.19999999999993</v>
      </c>
      <c r="R65" s="906"/>
      <c r="S65" s="1575">
        <v>122.20000000000007</v>
      </c>
      <c r="T65" s="1575"/>
      <c r="U65" s="1575">
        <v>96.200000000000017</v>
      </c>
      <c r="V65" s="906"/>
      <c r="W65" s="1575">
        <v>51.099999999999909</v>
      </c>
      <c r="X65" s="906"/>
      <c r="Y65" s="1575">
        <f t="shared" si="7"/>
        <v>47.799999999999955</v>
      </c>
      <c r="Z65" s="906"/>
      <c r="AA65" s="1575"/>
      <c r="AB65" s="906"/>
      <c r="AC65" s="1442"/>
      <c r="AD65" s="3329">
        <v>1026.5999999999999</v>
      </c>
      <c r="AE65" s="3328"/>
      <c r="AF65" s="1035"/>
      <c r="AG65" s="3329">
        <v>1160.5</v>
      </c>
      <c r="AH65" s="70"/>
      <c r="AI65" s="1096"/>
      <c r="AJ65" s="1129">
        <f>ROUND(AD65-AG65,1)</f>
        <v>-133.9</v>
      </c>
      <c r="AK65" s="1116"/>
      <c r="AL65" s="1769">
        <f>ROUND(IF(AG65=0,0,AJ65/ABS(AG65)),3)</f>
        <v>-0.115</v>
      </c>
    </row>
    <row r="66" spans="1:39" ht="15.75">
      <c r="A66" s="31"/>
      <c r="B66" s="31"/>
      <c r="C66" s="31"/>
      <c r="D66" s="107"/>
      <c r="E66" s="1053"/>
      <c r="F66" s="906"/>
      <c r="G66" s="1053"/>
      <c r="H66" s="906"/>
      <c r="I66" s="1053"/>
      <c r="J66" s="906"/>
      <c r="K66" s="1053"/>
      <c r="L66" s="66"/>
      <c r="M66" s="88"/>
      <c r="N66" s="66"/>
      <c r="O66" s="88"/>
      <c r="P66" s="66"/>
      <c r="Q66" s="88"/>
      <c r="R66" s="66"/>
      <c r="S66" s="88"/>
      <c r="T66" s="66"/>
      <c r="U66" s="88"/>
      <c r="V66" s="66"/>
      <c r="W66" s="88"/>
      <c r="X66" s="66"/>
      <c r="Y66" s="88"/>
      <c r="Z66" s="66"/>
      <c r="AA66" s="126"/>
      <c r="AB66" s="118"/>
      <c r="AC66" s="687"/>
      <c r="AD66" s="363"/>
      <c r="AE66" s="1095"/>
      <c r="AF66" s="687"/>
      <c r="AG66" s="363"/>
      <c r="AH66" s="363"/>
      <c r="AI66" s="1123"/>
      <c r="AJ66" s="363"/>
      <c r="AK66" s="327"/>
      <c r="AL66" s="334"/>
    </row>
    <row r="67" spans="1:39" ht="15.75">
      <c r="A67" s="31"/>
      <c r="B67" s="29" t="s">
        <v>203</v>
      </c>
      <c r="C67" s="31"/>
      <c r="D67" s="107"/>
      <c r="E67" s="112">
        <f>ROUND(SUM(E60:E65),1)</f>
        <v>105.4</v>
      </c>
      <c r="F67" s="112"/>
      <c r="G67" s="112">
        <f>ROUND(SUM(G60:G65),1)</f>
        <v>121</v>
      </c>
      <c r="H67" s="112"/>
      <c r="I67" s="112">
        <f>ROUND(SUM(I60:I65),1)</f>
        <v>158.30000000000001</v>
      </c>
      <c r="J67" s="112"/>
      <c r="K67" s="112">
        <f>ROUND(SUM(K60:K65),1)</f>
        <v>142.69999999999999</v>
      </c>
      <c r="L67" s="62"/>
      <c r="M67" s="62">
        <f>ROUND(SUM(M60:M65),1)</f>
        <v>157.69999999999999</v>
      </c>
      <c r="N67" s="62"/>
      <c r="O67" s="62">
        <f>ROUND(SUM(O60:O65),1)</f>
        <v>160.1</v>
      </c>
      <c r="P67" s="62"/>
      <c r="Q67" s="62">
        <f>ROUND(SUM(Q60:Q65),1)</f>
        <v>208.4</v>
      </c>
      <c r="R67" s="62"/>
      <c r="S67" s="62">
        <f>ROUND(SUM(S60:S65),1)</f>
        <v>162.80000000000001</v>
      </c>
      <c r="T67" s="62"/>
      <c r="U67" s="933">
        <f>ROUND(SUM(U60:U65),1)</f>
        <v>154.9</v>
      </c>
      <c r="V67" s="62"/>
      <c r="W67" s="62">
        <f>ROUND(SUM(W60:W65),1)</f>
        <v>262</v>
      </c>
      <c r="X67" s="62"/>
      <c r="Y67" s="62">
        <f>ROUND(SUM(Y60:Y65),1)</f>
        <v>120.2</v>
      </c>
      <c r="Z67" s="62"/>
      <c r="AA67" s="112">
        <f>ROUND(SUM(AA60:AA65),1)</f>
        <v>0</v>
      </c>
      <c r="AB67" s="112"/>
      <c r="AC67" s="688"/>
      <c r="AD67" s="112">
        <f>SUM(AD60:AD65)</f>
        <v>1753.5</v>
      </c>
      <c r="AE67" s="1100"/>
      <c r="AF67" s="688"/>
      <c r="AG67" s="112">
        <f>SUM(AG60:AG65)</f>
        <v>1826.6</v>
      </c>
      <c r="AH67" s="115"/>
      <c r="AI67" s="1118"/>
      <c r="AJ67" s="113">
        <f>ROUND(AD67-AG67,1)</f>
        <v>-73.099999999999994</v>
      </c>
      <c r="AK67" s="343"/>
      <c r="AL67" s="301">
        <f>ROUND(SUM(AD67-AG67)/ABS(AG67),3)</f>
        <v>-0.04</v>
      </c>
    </row>
    <row r="68" spans="1:39" ht="15.75">
      <c r="A68" s="31"/>
      <c r="B68" s="31"/>
      <c r="C68" s="31"/>
      <c r="D68" s="107"/>
      <c r="E68" s="1053"/>
      <c r="F68" s="906"/>
      <c r="G68" s="1053"/>
      <c r="H68" s="906"/>
      <c r="I68" s="1053"/>
      <c r="J68" s="906"/>
      <c r="K68" s="1053"/>
      <c r="L68" s="66"/>
      <c r="M68" s="88"/>
      <c r="N68" s="66"/>
      <c r="O68" s="88"/>
      <c r="P68" s="66"/>
      <c r="Q68" s="88"/>
      <c r="R68" s="66"/>
      <c r="S68" s="88"/>
      <c r="T68" s="66"/>
      <c r="U68" s="88"/>
      <c r="V68" s="66"/>
      <c r="W68" s="88"/>
      <c r="X68" s="66"/>
      <c r="Y68" s="88"/>
      <c r="Z68" s="66"/>
      <c r="AA68" s="126"/>
      <c r="AB68" s="118"/>
      <c r="AC68" s="687"/>
      <c r="AD68" s="1053" t="s">
        <v>15</v>
      </c>
      <c r="AE68" s="1095"/>
      <c r="AF68" s="687"/>
      <c r="AG68" s="126"/>
      <c r="AH68" s="67"/>
      <c r="AI68" s="1118"/>
      <c r="AJ68" s="363"/>
      <c r="AK68" s="327"/>
      <c r="AL68" s="334"/>
    </row>
    <row r="69" spans="1:39" ht="15.75">
      <c r="A69" s="31"/>
      <c r="B69" s="29" t="s">
        <v>204</v>
      </c>
      <c r="C69" s="31"/>
      <c r="D69" s="107"/>
      <c r="E69" s="906"/>
      <c r="F69" s="906"/>
      <c r="G69" s="906"/>
      <c r="H69" s="906"/>
      <c r="I69" s="906"/>
      <c r="J69" s="906"/>
      <c r="K69" s="906"/>
      <c r="L69" s="66"/>
      <c r="M69" s="66"/>
      <c r="N69" s="66"/>
      <c r="O69" s="66"/>
      <c r="P69" s="66"/>
      <c r="Q69" s="66"/>
      <c r="R69" s="66"/>
      <c r="S69" s="66"/>
      <c r="T69" s="66"/>
      <c r="U69" s="66"/>
      <c r="V69" s="66"/>
      <c r="W69" s="66"/>
      <c r="X69" s="66"/>
      <c r="Y69" s="66"/>
      <c r="Z69" s="66"/>
      <c r="AA69" s="118"/>
      <c r="AB69" s="118"/>
      <c r="AC69" s="687"/>
      <c r="AD69" s="363" t="s">
        <v>15</v>
      </c>
      <c r="AE69" s="1095"/>
      <c r="AF69" s="67"/>
      <c r="AG69" s="363"/>
      <c r="AH69" s="363"/>
      <c r="AI69" s="1123"/>
      <c r="AJ69" s="363"/>
      <c r="AK69" s="327"/>
      <c r="AL69" s="334"/>
    </row>
    <row r="70" spans="1:39" ht="15.75">
      <c r="A70" s="31"/>
      <c r="B70" s="29" t="s">
        <v>205</v>
      </c>
      <c r="C70" s="31"/>
      <c r="D70" s="107"/>
      <c r="E70" s="112">
        <f>ROUND(E46-E67,1)</f>
        <v>-67</v>
      </c>
      <c r="F70" s="112"/>
      <c r="G70" s="112">
        <f>ROUND(G46-G67,1)</f>
        <v>21.9</v>
      </c>
      <c r="H70" s="112"/>
      <c r="I70" s="112">
        <f>ROUND(I46-I67,1)</f>
        <v>-26</v>
      </c>
      <c r="J70" s="112"/>
      <c r="K70" s="112">
        <f>ROUND(K46-K67,1)</f>
        <v>13.1</v>
      </c>
      <c r="L70" s="62"/>
      <c r="M70" s="62">
        <f>ROUND(M46-M67,1)</f>
        <v>15.9</v>
      </c>
      <c r="N70" s="62"/>
      <c r="O70" s="62">
        <f>ROUND(O46-O67,1)</f>
        <v>17.3</v>
      </c>
      <c r="P70" s="62"/>
      <c r="Q70" s="62">
        <f>ROUND(Q46-Q67,1)</f>
        <v>132.5</v>
      </c>
      <c r="R70" s="62"/>
      <c r="S70" s="62">
        <f>ROUND(S46-S67,1)</f>
        <v>21.6</v>
      </c>
      <c r="T70" s="62"/>
      <c r="U70" s="933">
        <f>ROUND(U46-U67,1)</f>
        <v>3.8</v>
      </c>
      <c r="V70" s="62"/>
      <c r="W70" s="62">
        <f>ROUND(W46-W67,1)</f>
        <v>82.5</v>
      </c>
      <c r="X70" s="62"/>
      <c r="Y70" s="62">
        <f>ROUND(Y46-Y67,1)</f>
        <v>0.4</v>
      </c>
      <c r="Z70" s="62"/>
      <c r="AA70" s="112">
        <f>ROUND(AA46-AA67,1)</f>
        <v>0</v>
      </c>
      <c r="AB70" s="112"/>
      <c r="AC70" s="688"/>
      <c r="AD70" s="112">
        <f>ROUND(SUM(AD46-AD67),1)</f>
        <v>216</v>
      </c>
      <c r="AE70" s="1100"/>
      <c r="AF70" s="688"/>
      <c r="AG70" s="112">
        <f>ROUND(SUM(AG46-AG67),1)</f>
        <v>311.3</v>
      </c>
      <c r="AH70" s="115"/>
      <c r="AI70" s="1118"/>
      <c r="AJ70" s="113">
        <f>ROUND(AD70-AG70,1)</f>
        <v>-95.3</v>
      </c>
      <c r="AK70" s="343"/>
      <c r="AL70" s="1494">
        <f>ROUND(SUM(AD70-AG70)/ABS(AG70),3)</f>
        <v>-0.30599999999999999</v>
      </c>
    </row>
    <row r="71" spans="1:39" ht="15.75">
      <c r="A71" s="31"/>
      <c r="B71" s="31"/>
      <c r="C71" s="31"/>
      <c r="D71" s="107"/>
      <c r="E71" s="1053"/>
      <c r="F71" s="906"/>
      <c r="G71" s="1053"/>
      <c r="H71" s="906"/>
      <c r="I71" s="1053"/>
      <c r="J71" s="906"/>
      <c r="K71" s="1053"/>
      <c r="L71" s="66"/>
      <c r="M71" s="88"/>
      <c r="N71" s="66"/>
      <c r="O71" s="88"/>
      <c r="P71" s="66"/>
      <c r="Q71" s="88"/>
      <c r="R71" s="66"/>
      <c r="S71" s="88"/>
      <c r="T71" s="66"/>
      <c r="U71" s="88"/>
      <c r="V71" s="66"/>
      <c r="W71" s="88"/>
      <c r="X71" s="66"/>
      <c r="Y71" s="88"/>
      <c r="Z71" s="66"/>
      <c r="AA71" s="126"/>
      <c r="AB71" s="118"/>
      <c r="AC71" s="687"/>
      <c r="AD71" s="126"/>
      <c r="AE71" s="1095"/>
      <c r="AF71" s="687"/>
      <c r="AG71" s="126"/>
      <c r="AH71" s="67"/>
      <c r="AI71" s="1118"/>
      <c r="AJ71" s="363"/>
      <c r="AK71" s="327"/>
      <c r="AL71" s="334"/>
    </row>
    <row r="72" spans="1:39" ht="15.75">
      <c r="A72" s="31"/>
      <c r="B72" s="29" t="s">
        <v>206</v>
      </c>
      <c r="C72" s="31"/>
      <c r="D72" s="107"/>
      <c r="E72" s="906"/>
      <c r="F72" s="906"/>
      <c r="G72" s="906"/>
      <c r="H72" s="906"/>
      <c r="I72" s="906"/>
      <c r="J72" s="906"/>
      <c r="K72" s="906"/>
      <c r="L72" s="66"/>
      <c r="M72" s="66"/>
      <c r="N72" s="66"/>
      <c r="O72" s="66"/>
      <c r="P72" s="66"/>
      <c r="Q72" s="66"/>
      <c r="R72" s="66"/>
      <c r="S72" s="66"/>
      <c r="T72" s="66"/>
      <c r="U72" s="66"/>
      <c r="V72" s="66"/>
      <c r="W72" s="66" t="s">
        <v>15</v>
      </c>
      <c r="X72" s="66"/>
      <c r="Y72" s="66"/>
      <c r="Z72" s="66"/>
      <c r="AA72" s="118"/>
      <c r="AB72" s="118"/>
      <c r="AC72" s="687"/>
      <c r="AD72" s="127"/>
      <c r="AE72" s="1095"/>
      <c r="AF72" s="687"/>
      <c r="AG72" s="127"/>
      <c r="AH72" s="127"/>
      <c r="AI72" s="1122"/>
      <c r="AJ72" s="363"/>
      <c r="AK72" s="327"/>
      <c r="AL72" s="334"/>
    </row>
    <row r="73" spans="1:39" s="1104" customFormat="1" ht="15.75">
      <c r="A73" s="107"/>
      <c r="B73" s="1767" t="s">
        <v>215</v>
      </c>
      <c r="C73" s="107"/>
      <c r="D73" s="107"/>
      <c r="E73" s="1575">
        <v>0</v>
      </c>
      <c r="F73" s="906"/>
      <c r="G73" s="1575">
        <v>0</v>
      </c>
      <c r="H73" s="906"/>
      <c r="I73" s="1575">
        <v>0</v>
      </c>
      <c r="J73" s="906"/>
      <c r="K73" s="1575">
        <v>0</v>
      </c>
      <c r="L73" s="906"/>
      <c r="M73" s="1575">
        <v>0</v>
      </c>
      <c r="N73" s="906"/>
      <c r="O73" s="1575">
        <v>0</v>
      </c>
      <c r="P73" s="906"/>
      <c r="Q73" s="1575">
        <v>0</v>
      </c>
      <c r="R73" s="906"/>
      <c r="S73" s="1575">
        <v>0</v>
      </c>
      <c r="T73" s="1575"/>
      <c r="U73" s="1575">
        <v>0</v>
      </c>
      <c r="V73" s="906"/>
      <c r="W73" s="1575">
        <v>0</v>
      </c>
      <c r="X73" s="906"/>
      <c r="Y73" s="1575">
        <f t="shared" ref="Y73:Y74" si="8">$AD73-$E73-$G73-$I73-$K73-$M73-$O73-$Q73-$S73-$U73-$W73</f>
        <v>0</v>
      </c>
      <c r="Z73" s="906"/>
      <c r="AA73" s="1575"/>
      <c r="AB73" s="906"/>
      <c r="AC73" s="1442"/>
      <c r="AD73" s="1575">
        <v>0</v>
      </c>
      <c r="AE73" s="3328"/>
      <c r="AF73" s="1035"/>
      <c r="AG73" s="1575">
        <v>0</v>
      </c>
      <c r="AH73" s="119"/>
      <c r="AI73" s="1096"/>
      <c r="AJ73" s="1977">
        <f>-ROUND(AD73-AG73,1)</f>
        <v>0</v>
      </c>
      <c r="AK73" s="1116"/>
      <c r="AL73" s="1768">
        <f>ROUND(IF(AG73=0,0,AJ73/ABS(AG73)),3)</f>
        <v>0</v>
      </c>
      <c r="AM73" s="1116"/>
    </row>
    <row r="74" spans="1:39" s="1104" customFormat="1" ht="15.75">
      <c r="A74" s="107"/>
      <c r="B74" s="1767" t="s">
        <v>216</v>
      </c>
      <c r="C74" s="107"/>
      <c r="D74" s="107"/>
      <c r="E74" s="1575">
        <v>0</v>
      </c>
      <c r="F74" s="906"/>
      <c r="G74" s="1575">
        <v>0</v>
      </c>
      <c r="H74" s="906"/>
      <c r="I74" s="1575">
        <v>0</v>
      </c>
      <c r="J74" s="906"/>
      <c r="K74" s="1575">
        <v>0</v>
      </c>
      <c r="L74" s="906"/>
      <c r="M74" s="1575">
        <v>0</v>
      </c>
      <c r="N74" s="906"/>
      <c r="O74" s="1575">
        <v>0</v>
      </c>
      <c r="P74" s="906"/>
      <c r="Q74" s="1575">
        <v>-175.9</v>
      </c>
      <c r="R74" s="906"/>
      <c r="S74" s="1575">
        <v>0</v>
      </c>
      <c r="T74" s="1575"/>
      <c r="U74" s="1575">
        <v>-9.9999999999994316E-2</v>
      </c>
      <c r="V74" s="906"/>
      <c r="W74" s="1575">
        <v>-9.9999999999994316E-2</v>
      </c>
      <c r="X74" s="906"/>
      <c r="Y74" s="1575">
        <f t="shared" si="8"/>
        <v>-102.00000000000003</v>
      </c>
      <c r="Z74" s="906"/>
      <c r="AA74" s="1575"/>
      <c r="AB74" s="906"/>
      <c r="AC74" s="1442"/>
      <c r="AD74" s="3329">
        <v>-278.10000000000002</v>
      </c>
      <c r="AE74" s="3328"/>
      <c r="AF74" s="1035"/>
      <c r="AG74" s="3329">
        <v>-296</v>
      </c>
      <c r="AH74" s="67"/>
      <c r="AI74" s="1118"/>
      <c r="AJ74" s="1129">
        <f>-ROUND(AD74-AG74,1)</f>
        <v>-17.899999999999999</v>
      </c>
      <c r="AK74" s="1116"/>
      <c r="AL74" s="1770">
        <f>ROUND(IF(AG74=0,0,AJ74/ABS(AG74)),3)</f>
        <v>-0.06</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87"/>
      <c r="AD75" s="363"/>
      <c r="AE75" s="1095"/>
      <c r="AF75" s="687"/>
      <c r="AG75" s="363"/>
      <c r="AH75" s="363"/>
      <c r="AI75" s="1123"/>
      <c r="AJ75" s="1130"/>
      <c r="AK75" s="364"/>
      <c r="AL75" s="1495"/>
      <c r="AM75" s="327"/>
    </row>
    <row r="76" spans="1:39" ht="15.75">
      <c r="A76" s="31"/>
      <c r="B76" s="29" t="s">
        <v>209</v>
      </c>
      <c r="C76" s="31"/>
      <c r="D76" s="107"/>
      <c r="E76" s="1125">
        <f>ROUND(SUM(E73:E75),1)</f>
        <v>0</v>
      </c>
      <c r="F76" s="118"/>
      <c r="G76" s="1125">
        <f>ROUND(SUM(G73:G75),1)</f>
        <v>0</v>
      </c>
      <c r="H76" s="118"/>
      <c r="I76" s="1125">
        <f>ROUND(SUM(I73:I75),1)</f>
        <v>0</v>
      </c>
      <c r="J76" s="118"/>
      <c r="K76" s="1125">
        <f>ROUND(SUM(K73:K75),1)</f>
        <v>0</v>
      </c>
      <c r="L76" s="66"/>
      <c r="M76" s="295">
        <f>ROUND(SUM(M73:M75),1)</f>
        <v>0</v>
      </c>
      <c r="N76" s="66"/>
      <c r="O76" s="295">
        <f>ROUND(SUM(O73:O75),1)</f>
        <v>0</v>
      </c>
      <c r="P76" s="66"/>
      <c r="Q76" s="295">
        <f>ROUND(SUM(Q73:Q75),1)</f>
        <v>-175.9</v>
      </c>
      <c r="R76" s="69"/>
      <c r="S76" s="295">
        <f>ROUND(SUM(S73:S75),1)</f>
        <v>0</v>
      </c>
      <c r="T76" s="66"/>
      <c r="U76" s="295">
        <f>ROUND(SUM(U73:U75),1)</f>
        <v>-0.1</v>
      </c>
      <c r="V76" s="66"/>
      <c r="W76" s="295">
        <f>ROUND(SUM(W73:W75),1)</f>
        <v>-0.1</v>
      </c>
      <c r="X76" s="66"/>
      <c r="Y76" s="295">
        <f>ROUND(SUM(Y73:Y75),1)</f>
        <v>-102</v>
      </c>
      <c r="Z76" s="77"/>
      <c r="AA76" s="1125">
        <f>ROUND(SUM(AA73:AA75),1)</f>
        <v>0</v>
      </c>
      <c r="AB76" s="118"/>
      <c r="AC76" s="687"/>
      <c r="AD76" s="1125">
        <f>ROUND(SUM(AD73:AD75),1)</f>
        <v>-278.10000000000002</v>
      </c>
      <c r="AE76" s="1095"/>
      <c r="AF76" s="687"/>
      <c r="AG76" s="1125">
        <f>ROUND(SUM(AG73:AG75),1)</f>
        <v>-296</v>
      </c>
      <c r="AH76" s="67"/>
      <c r="AI76" s="1118"/>
      <c r="AJ76" s="1125">
        <f>ROUND(SUM(AJ73:AJ75),1)</f>
        <v>-17.899999999999999</v>
      </c>
      <c r="AK76" s="364"/>
      <c r="AL76" s="1458">
        <f>ROUND(IF(AG76=0,0,AJ76/ABS(AG76)),3)</f>
        <v>-0.06</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87"/>
      <c r="AD77" s="126"/>
      <c r="AE77" s="1095"/>
      <c r="AF77" s="687"/>
      <c r="AG77" s="126"/>
      <c r="AH77" s="67"/>
      <c r="AI77" s="1118"/>
      <c r="AJ77" s="126"/>
      <c r="AK77" s="327"/>
      <c r="AL77" s="1496"/>
    </row>
    <row r="78" spans="1:39" ht="15.75">
      <c r="A78" s="31"/>
      <c r="B78" s="29" t="s">
        <v>210</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87"/>
      <c r="AD78" s="118"/>
      <c r="AE78" s="1095"/>
      <c r="AF78" s="687"/>
      <c r="AG78" s="118"/>
      <c r="AH78" s="118"/>
      <c r="AI78" s="1118"/>
      <c r="AJ78" s="363"/>
      <c r="AK78" s="327"/>
      <c r="AL78" s="334"/>
    </row>
    <row r="79" spans="1:39" ht="15.75">
      <c r="A79" s="31"/>
      <c r="B79" s="29" t="s">
        <v>211</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87"/>
      <c r="AD79" s="118"/>
      <c r="AE79" s="1095"/>
      <c r="AF79" s="687"/>
      <c r="AG79" s="118"/>
      <c r="AH79" s="118"/>
      <c r="AI79" s="1118"/>
      <c r="AJ79" s="363"/>
      <c r="AK79" s="327"/>
      <c r="AL79" s="334"/>
    </row>
    <row r="80" spans="1:39" ht="15.75">
      <c r="A80" s="31"/>
      <c r="B80" s="29" t="s">
        <v>168</v>
      </c>
      <c r="C80" s="31"/>
      <c r="D80" s="107"/>
      <c r="E80" s="1121">
        <f>ROUND(E70+E76,1)</f>
        <v>-67</v>
      </c>
      <c r="F80" s="67"/>
      <c r="G80" s="1121">
        <f>ROUND(G70+G76,1)</f>
        <v>21.9</v>
      </c>
      <c r="H80" s="67"/>
      <c r="I80" s="1121">
        <f>ROUND(I70+I76,1)</f>
        <v>-26</v>
      </c>
      <c r="J80" s="67"/>
      <c r="K80" s="1121">
        <f>ROUND(K70+K76,1)</f>
        <v>13.1</v>
      </c>
      <c r="L80" s="56"/>
      <c r="M80" s="1121">
        <f>ROUND(M70+M76,1)</f>
        <v>15.9</v>
      </c>
      <c r="N80" s="56"/>
      <c r="O80" s="1121">
        <f>ROUND(O70+O76,1)</f>
        <v>17.3</v>
      </c>
      <c r="P80" s="56"/>
      <c r="Q80" s="1121">
        <f>ROUND(Q70+Q76,1)</f>
        <v>-43.4</v>
      </c>
      <c r="R80" s="56"/>
      <c r="S80" s="1121">
        <f>ROUND(S70+S76,1)</f>
        <v>21.6</v>
      </c>
      <c r="T80" s="56"/>
      <c r="U80" s="1121">
        <f>ROUND(U70+U76,1)</f>
        <v>3.7</v>
      </c>
      <c r="V80" s="56"/>
      <c r="W80" s="1121">
        <f>ROUND(W70+W76,1)</f>
        <v>82.4</v>
      </c>
      <c r="X80" s="56"/>
      <c r="Y80" s="1121">
        <f>ROUND(Y70+Y76,1)</f>
        <v>-101.6</v>
      </c>
      <c r="Z80" s="56"/>
      <c r="AA80" s="1121">
        <f>ROUND(AA70+AA76,1)</f>
        <v>0</v>
      </c>
      <c r="AB80" s="67"/>
      <c r="AC80" s="1084"/>
      <c r="AD80" s="1121">
        <f>ROUND(AD70+AD76,1)</f>
        <v>-62.1</v>
      </c>
      <c r="AE80" s="3330"/>
      <c r="AF80" s="3333"/>
      <c r="AG80" s="1121">
        <f>ROUND(AG70+AG76,1)</f>
        <v>15.3</v>
      </c>
      <c r="AH80" s="1891"/>
      <c r="AI80" s="1892"/>
      <c r="AJ80" s="1121">
        <f>ROUND(AD80-AG80,1)</f>
        <v>-77.400000000000006</v>
      </c>
      <c r="AK80" s="349"/>
      <c r="AL80" s="1494">
        <f>ROUND(SUM(AD80-AG80)/ABS(AG80),3)</f>
        <v>-5.0590000000000002</v>
      </c>
      <c r="AM80" s="918"/>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084"/>
      <c r="AD81" s="139"/>
      <c r="AE81" s="3331"/>
      <c r="AF81" s="3334"/>
      <c r="AG81" s="139"/>
      <c r="AH81" s="1407"/>
      <c r="AI81" s="1408"/>
      <c r="AJ81" s="139"/>
      <c r="AK81" s="343"/>
      <c r="AL81" s="1521"/>
      <c r="AM81" s="918"/>
    </row>
    <row r="82" spans="1:39" ht="16.5" thickBot="1">
      <c r="A82" s="31"/>
      <c r="B82" s="29" t="s">
        <v>1209</v>
      </c>
      <c r="C82" s="31"/>
      <c r="D82" s="107"/>
      <c r="E82" s="1893">
        <f>ROUND(SUM(E14+E80),1)</f>
        <v>-571.70000000000005</v>
      </c>
      <c r="F82" s="118"/>
      <c r="G82" s="1893">
        <f>ROUND(SUM(G14+G80),1)</f>
        <v>-549.79999999999995</v>
      </c>
      <c r="H82" s="118"/>
      <c r="I82" s="1893">
        <f>ROUND(SUM(I14+I80),1)</f>
        <v>-575.79999999999995</v>
      </c>
      <c r="J82" s="118"/>
      <c r="K82" s="1893">
        <f>ROUND(SUM(K14+K80),1)</f>
        <v>-562.70000000000005</v>
      </c>
      <c r="L82" s="66"/>
      <c r="M82" s="1893">
        <f>ROUND(SUM(M14+M80),1)</f>
        <v>-546.79999999999995</v>
      </c>
      <c r="N82" s="66"/>
      <c r="O82" s="1893">
        <f>ROUND(SUM(O14+O80),1)</f>
        <v>-529.5</v>
      </c>
      <c r="P82" s="66"/>
      <c r="Q82" s="1893">
        <f>ROUND(SUM(Q14+Q80),1)</f>
        <v>-572.9</v>
      </c>
      <c r="R82" s="66"/>
      <c r="S82" s="1893">
        <f>ROUND(SUM(S14+S80),1)</f>
        <v>-551.29999999999995</v>
      </c>
      <c r="T82" s="66"/>
      <c r="U82" s="1893">
        <f>ROUND(SUM(U14+U80),1)</f>
        <v>-547.6</v>
      </c>
      <c r="V82" s="66"/>
      <c r="W82" s="1893">
        <f>ROUND(SUM(W14+W80),1)</f>
        <v>-465.2</v>
      </c>
      <c r="X82" s="66"/>
      <c r="Y82" s="1893">
        <f>ROUND(SUM(Y14+Y80),1)</f>
        <v>-566.79999999999995</v>
      </c>
      <c r="Z82" s="66"/>
      <c r="AA82" s="1893">
        <f>ROUND(SUM(AA14+AA80),1)</f>
        <v>0</v>
      </c>
      <c r="AB82" s="118"/>
      <c r="AC82" s="1084"/>
      <c r="AD82" s="1893">
        <f>ROUND(SUM(AD14+AD80),1)</f>
        <v>-566.79999999999995</v>
      </c>
      <c r="AE82" s="3331"/>
      <c r="AF82" s="3334"/>
      <c r="AG82" s="1893">
        <f>ROUND(SUM(AG14+AG80),1)</f>
        <v>-567.5</v>
      </c>
      <c r="AH82" s="1407"/>
      <c r="AI82" s="1408"/>
      <c r="AJ82" s="1893">
        <f>ROUND(SUM(AJ14+AJ80),1)</f>
        <v>0.7</v>
      </c>
      <c r="AK82" s="343"/>
      <c r="AL82" s="2159">
        <f>ROUND(SUM(AD82-AG82)/ABS(AG82),3)</f>
        <v>1E-3</v>
      </c>
      <c r="AM82" s="918"/>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31"/>
      <c r="AJ83" s="1116"/>
      <c r="AK83" s="327"/>
      <c r="AL83" s="1595"/>
    </row>
    <row r="84" spans="1:39">
      <c r="A84" s="31"/>
      <c r="B84" s="1510"/>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16"/>
      <c r="AK84" s="327"/>
      <c r="AL84" s="334"/>
    </row>
    <row r="85" spans="1:39">
      <c r="B85" s="31"/>
      <c r="Y85" s="357" t="s">
        <v>15</v>
      </c>
      <c r="AI85" s="1116"/>
      <c r="AJ85" s="1104" t="s">
        <v>15</v>
      </c>
      <c r="AK85" s="327"/>
      <c r="AL85" s="365"/>
    </row>
    <row r="90" spans="1:39">
      <c r="AD90" s="3332"/>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21:AL33 AL42 AL44 AL62:AL65 AL73 AL51:AL54 AL50 AL57:AL58 AL35:AL40" unlockedFormula="1"/>
    <ignoredError sqref="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70" zoomScaleNormal="70" workbookViewId="0"/>
  </sheetViews>
  <sheetFormatPr defaultColWidth="8.88671875" defaultRowHeight="16.5" customHeight="1"/>
  <cols>
    <col min="1" max="1" width="45.109375" style="102" customWidth="1"/>
    <col min="2" max="2" width="1.88671875" style="102" customWidth="1"/>
    <col min="3" max="3" width="9.88671875" style="102" customWidth="1"/>
    <col min="4" max="4" width="1.88671875" style="102" customWidth="1"/>
    <col min="5" max="5" width="10" style="102" customWidth="1"/>
    <col min="6" max="6" width="1.88671875" style="102" customWidth="1"/>
    <col min="7" max="7" width="9.88671875" style="102" customWidth="1"/>
    <col min="8" max="8" width="1.88671875" style="102" customWidth="1"/>
    <col min="9" max="9" width="9.88671875" style="102" customWidth="1"/>
    <col min="10" max="10" width="1.5546875" style="102" customWidth="1"/>
    <col min="11" max="11" width="10.109375" style="102" customWidth="1"/>
    <col min="12" max="12" width="1.5546875" style="102" customWidth="1"/>
    <col min="13" max="13" width="13.109375" style="102" customWidth="1"/>
    <col min="14" max="14" width="1.88671875" style="102" customWidth="1"/>
    <col min="15" max="15" width="11.88671875" style="102" customWidth="1"/>
    <col min="16" max="16" width="1.88671875" style="102" customWidth="1"/>
    <col min="17" max="17" width="11.88671875" style="102" customWidth="1"/>
    <col min="18" max="18" width="1.88671875" style="102" customWidth="1"/>
    <col min="19" max="19" width="12.44140625" style="102" customWidth="1"/>
    <col min="20" max="20" width="1.88671875" style="102" customWidth="1"/>
    <col min="21" max="21" width="10.5546875" style="102" customWidth="1"/>
    <col min="22" max="22" width="1.88671875" style="102" customWidth="1"/>
    <col min="23" max="23" width="10.88671875" style="102" customWidth="1"/>
    <col min="24" max="24" width="1.88671875" style="102" customWidth="1"/>
    <col min="25" max="25" width="10.109375" style="102" customWidth="1"/>
    <col min="26" max="27" width="1.88671875" style="102" customWidth="1"/>
    <col min="28" max="28" width="11.5546875" style="1754" customWidth="1"/>
    <col min="29" max="30" width="1.88671875" style="1754" customWidth="1"/>
    <col min="31" max="31" width="12.44140625" style="1754" customWidth="1"/>
    <col min="32" max="32" width="1.88671875" style="2260" customWidth="1"/>
    <col min="33" max="33" width="2.44140625" style="3347" customWidth="1"/>
    <col min="34" max="34" width="10.109375" style="1702" bestFit="1" customWidth="1"/>
    <col min="35" max="35" width="1.88671875" style="1147" customWidth="1"/>
    <col min="36" max="36" width="14.109375" style="1146" bestFit="1" customWidth="1"/>
    <col min="37" max="16384" width="8.88671875" style="102"/>
  </cols>
  <sheetData>
    <row r="1" spans="1:254" ht="16.5" customHeight="1">
      <c r="A1" s="653" t="s">
        <v>979</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243"/>
      <c r="AC2" s="3243"/>
      <c r="AD2" s="3243"/>
      <c r="AE2" s="3243"/>
    </row>
    <row r="3" spans="1:254" ht="20.25" customHeight="1">
      <c r="A3" s="3709"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47"/>
      <c r="AC3" s="1747"/>
      <c r="AD3" s="1747"/>
      <c r="AE3" s="1747"/>
      <c r="AF3" s="107"/>
      <c r="AJ3" s="1186" t="s">
        <v>1096</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709" t="s">
        <v>217</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47"/>
      <c r="AC4" s="1747"/>
      <c r="AD4" s="1747"/>
      <c r="AE4" s="1747"/>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710"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348"/>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710" t="str">
        <f>'Cashflow Governmental'!A6</f>
        <v xml:space="preserve">FISCAL YEAR 2019-2020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47"/>
      <c r="AC6" s="1747"/>
      <c r="AD6" s="1747"/>
      <c r="AE6" s="1747"/>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709" t="s">
        <v>1416</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47"/>
      <c r="AC7" s="1747"/>
      <c r="AD7" s="1747"/>
      <c r="AE7" s="1747"/>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243"/>
      <c r="AC8" s="3243"/>
      <c r="AD8" s="3243"/>
      <c r="AE8" s="3243"/>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243"/>
      <c r="AC9" s="3243"/>
      <c r="AD9" s="3243"/>
      <c r="AE9" s="3243"/>
      <c r="AF9" s="1102"/>
      <c r="AG9" s="3349"/>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243"/>
      <c r="AC10" s="3243"/>
      <c r="AD10" s="3243"/>
      <c r="AE10" s="3243"/>
      <c r="AF10" s="1754"/>
      <c r="AG10" s="3350"/>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243"/>
      <c r="AD11" s="3243"/>
      <c r="AE11" s="3243"/>
      <c r="AF11" s="3351"/>
      <c r="AG11" s="3352"/>
      <c r="AH11" s="3349"/>
      <c r="AI11" s="1148"/>
      <c r="AJ11" s="1148"/>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74"/>
      <c r="Z12" s="774"/>
      <c r="AA12" s="230"/>
      <c r="AB12" s="3934" t="s">
        <v>1594</v>
      </c>
      <c r="AC12" s="3935"/>
      <c r="AD12" s="3935"/>
      <c r="AE12" s="3935"/>
      <c r="AF12" s="3935"/>
      <c r="AG12" s="3935"/>
      <c r="AH12" s="3935"/>
      <c r="AI12" s="3935"/>
      <c r="AJ12" s="3935"/>
    </row>
    <row r="13" spans="1:254" ht="16.5" customHeight="1">
      <c r="A13" s="221"/>
      <c r="B13" s="221"/>
      <c r="C13" s="919" t="str">
        <f>'Cashflow Governmental'!C13</f>
        <v>2019</v>
      </c>
      <c r="D13" s="230"/>
      <c r="E13" s="230"/>
      <c r="F13" s="230"/>
      <c r="G13" s="230"/>
      <c r="H13" s="230"/>
      <c r="I13" s="230"/>
      <c r="J13" s="230"/>
      <c r="K13" s="230"/>
      <c r="L13" s="230"/>
      <c r="M13" s="230"/>
      <c r="N13" s="230"/>
      <c r="O13" s="230"/>
      <c r="P13" s="230"/>
      <c r="Q13" s="230"/>
      <c r="R13" s="230"/>
      <c r="S13" s="230"/>
      <c r="T13" s="230"/>
      <c r="U13" s="919" t="str">
        <f>'Cashflow Governmental'!U13</f>
        <v>2020</v>
      </c>
      <c r="V13" s="230"/>
      <c r="W13" s="230"/>
      <c r="X13" s="230"/>
      <c r="Y13" s="230"/>
      <c r="Z13" s="230"/>
      <c r="AA13" s="230"/>
      <c r="AB13" s="3244"/>
      <c r="AC13" s="3335"/>
      <c r="AD13" s="3335"/>
      <c r="AE13" s="3335"/>
      <c r="AF13" s="3353"/>
      <c r="AG13" s="3354"/>
      <c r="AH13" s="3355" t="s">
        <v>8</v>
      </c>
      <c r="AI13" s="1150"/>
      <c r="AJ13" s="1151" t="s">
        <v>9</v>
      </c>
    </row>
    <row r="14" spans="1:254" ht="16.5" customHeight="1">
      <c r="A14" s="221"/>
      <c r="B14" s="221"/>
      <c r="C14" s="775" t="s">
        <v>125</v>
      </c>
      <c r="D14" s="230"/>
      <c r="E14" s="775" t="s">
        <v>126</v>
      </c>
      <c r="F14" s="230"/>
      <c r="G14" s="775" t="s">
        <v>127</v>
      </c>
      <c r="H14" s="230"/>
      <c r="I14" s="775" t="s">
        <v>128</v>
      </c>
      <c r="J14" s="230"/>
      <c r="K14" s="775" t="s">
        <v>129</v>
      </c>
      <c r="L14" s="230"/>
      <c r="M14" s="775" t="s">
        <v>144</v>
      </c>
      <c r="N14" s="230"/>
      <c r="O14" s="775" t="s">
        <v>145</v>
      </c>
      <c r="P14" s="230"/>
      <c r="Q14" s="775" t="s">
        <v>132</v>
      </c>
      <c r="R14" s="230"/>
      <c r="S14" s="775" t="s">
        <v>133</v>
      </c>
      <c r="T14" s="230"/>
      <c r="U14" s="775" t="s">
        <v>134</v>
      </c>
      <c r="V14" s="230"/>
      <c r="W14" s="775" t="s">
        <v>135</v>
      </c>
      <c r="X14" s="230"/>
      <c r="Y14" s="775" t="s">
        <v>186</v>
      </c>
      <c r="Z14" s="230"/>
      <c r="AA14" s="230"/>
      <c r="AB14" s="3336">
        <f>'Cashflow Governmental'!AB14</f>
        <v>2020</v>
      </c>
      <c r="AC14" s="1746" t="s">
        <v>15</v>
      </c>
      <c r="AD14" s="1746"/>
      <c r="AE14" s="3336">
        <f>'Cashflow Governmental'!AE14</f>
        <v>2019</v>
      </c>
      <c r="AF14" s="3356"/>
      <c r="AG14" s="3357"/>
      <c r="AH14" s="3358" t="s">
        <v>12</v>
      </c>
      <c r="AI14" s="1153"/>
      <c r="AJ14" s="1152"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337"/>
      <c r="AC15" s="1747"/>
      <c r="AD15" s="1747"/>
      <c r="AE15" s="3337"/>
      <c r="AF15" s="3356"/>
      <c r="AG15" s="3357"/>
    </row>
    <row r="16" spans="1:254" ht="16.5" customHeight="1">
      <c r="A16" s="227" t="s">
        <v>137</v>
      </c>
      <c r="B16" s="221"/>
      <c r="C16" s="2189">
        <v>26.6</v>
      </c>
      <c r="D16" s="228"/>
      <c r="E16" s="228">
        <f>C55</f>
        <v>26.6</v>
      </c>
      <c r="F16" s="366"/>
      <c r="G16" s="228">
        <f>E55</f>
        <v>26.9</v>
      </c>
      <c r="H16" s="366"/>
      <c r="I16" s="228">
        <f>G55</f>
        <v>27.3</v>
      </c>
      <c r="J16" s="366"/>
      <c r="K16" s="228">
        <f>I55</f>
        <v>27.8</v>
      </c>
      <c r="L16" s="366"/>
      <c r="M16" s="228">
        <f>K55</f>
        <v>27.1</v>
      </c>
      <c r="N16" s="366"/>
      <c r="O16" s="228">
        <f>M55</f>
        <v>39.299999999999997</v>
      </c>
      <c r="P16" s="366"/>
      <c r="Q16" s="228">
        <f>O55</f>
        <v>33.4</v>
      </c>
      <c r="R16" s="366"/>
      <c r="S16" s="228">
        <f>Q55</f>
        <v>31.1</v>
      </c>
      <c r="T16" s="366"/>
      <c r="U16" s="228">
        <f>S55</f>
        <v>28.9</v>
      </c>
      <c r="V16" s="366"/>
      <c r="W16" s="228">
        <f>U55</f>
        <v>30.4</v>
      </c>
      <c r="X16" s="366"/>
      <c r="Y16" s="228"/>
      <c r="Z16" s="228"/>
      <c r="AA16" s="229"/>
      <c r="AB16" s="3338">
        <f>C16</f>
        <v>26.6</v>
      </c>
      <c r="AC16" s="3338"/>
      <c r="AD16" s="3359"/>
      <c r="AE16" s="2189">
        <v>24.6</v>
      </c>
      <c r="AF16" s="1728"/>
      <c r="AG16" s="1712"/>
      <c r="AH16" s="1701">
        <f>ROUND(SUM(AB16-AE16),1)</f>
        <v>2</v>
      </c>
      <c r="AJ16" s="1155">
        <f>ROUND(IF(AH16=0,0,AH16/(AE16)),3)</f>
        <v>8.1000000000000003E-2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47" t="s">
        <v>15</v>
      </c>
      <c r="AC17" s="1747"/>
      <c r="AD17" s="3360"/>
      <c r="AE17" s="1747" t="s">
        <v>15</v>
      </c>
      <c r="AF17" s="1740"/>
      <c r="AG17" s="1712"/>
      <c r="AH17" s="3361"/>
      <c r="AJ17" s="1147"/>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47"/>
      <c r="AC18" s="1747"/>
      <c r="AD18" s="3360"/>
      <c r="AE18" s="1747"/>
      <c r="AF18" s="1713"/>
      <c r="AG18" s="1712"/>
      <c r="AH18" s="3361"/>
      <c r="AJ18" s="1147"/>
    </row>
    <row r="19" spans="1:38" ht="18.75" customHeight="1">
      <c r="A19" s="221" t="s">
        <v>179</v>
      </c>
      <c r="B19" s="221"/>
      <c r="C19" s="233">
        <v>4.8</v>
      </c>
      <c r="D19" s="233"/>
      <c r="E19" s="233">
        <v>6.1000000000000005</v>
      </c>
      <c r="F19" s="242"/>
      <c r="G19" s="233">
        <v>5.0999999999999988</v>
      </c>
      <c r="H19" s="242"/>
      <c r="I19" s="233">
        <v>5.4999999999999991</v>
      </c>
      <c r="J19" s="242"/>
      <c r="K19" s="233">
        <v>6.7</v>
      </c>
      <c r="L19" s="242"/>
      <c r="M19" s="233">
        <v>17.200000000000003</v>
      </c>
      <c r="N19" s="242"/>
      <c r="O19" s="1743">
        <v>9.899999999999995</v>
      </c>
      <c r="P19" s="242"/>
      <c r="Q19" s="1743">
        <v>5.6999999999999993</v>
      </c>
      <c r="R19" s="242"/>
      <c r="S19" s="1743">
        <v>4.5999999999999943</v>
      </c>
      <c r="T19" s="242"/>
      <c r="U19" s="1743">
        <v>6</v>
      </c>
      <c r="V19" s="242"/>
      <c r="W19" s="1743">
        <f>$AB19-$C19-$E19-$G19-$I19-$K19-$M19-$O19-$Q19-$S19-$U19</f>
        <v>4.3000000000000185</v>
      </c>
      <c r="X19" s="242"/>
      <c r="Y19" s="1743"/>
      <c r="Z19" s="233"/>
      <c r="AA19" s="234"/>
      <c r="AB19" s="2156">
        <v>75.900000000000006</v>
      </c>
      <c r="AC19" s="1598"/>
      <c r="AD19" s="1749"/>
      <c r="AE19" s="2156">
        <v>56.5</v>
      </c>
      <c r="AF19" s="1617"/>
      <c r="AG19" s="1712"/>
      <c r="AH19" s="3362">
        <f>ROUND(AB19-AE19,1)</f>
        <v>19.399999999999999</v>
      </c>
      <c r="AI19" s="1157"/>
      <c r="AJ19" s="1673">
        <f>ROUND(IF(AE19=0,0,AH19/ABS(AE19)),3)</f>
        <v>0.34300000000000003</v>
      </c>
    </row>
    <row r="20" spans="1:38" ht="17.25" customHeight="1">
      <c r="A20" s="227" t="s">
        <v>218</v>
      </c>
      <c r="B20" s="221"/>
      <c r="C20" s="233">
        <v>1.1000000000000001</v>
      </c>
      <c r="D20" s="233"/>
      <c r="E20" s="233">
        <v>1</v>
      </c>
      <c r="F20" s="242"/>
      <c r="G20" s="233">
        <v>0.89999999999999991</v>
      </c>
      <c r="H20" s="242"/>
      <c r="I20" s="233">
        <v>1</v>
      </c>
      <c r="J20" s="242"/>
      <c r="K20" s="233">
        <v>0.90000000000000036</v>
      </c>
      <c r="L20" s="242"/>
      <c r="M20" s="233">
        <v>0.89999999999999902</v>
      </c>
      <c r="N20" s="242"/>
      <c r="O20" s="1743">
        <v>1</v>
      </c>
      <c r="P20" s="242"/>
      <c r="Q20" s="1743">
        <v>0.99999999999999956</v>
      </c>
      <c r="R20" s="242"/>
      <c r="S20" s="1743">
        <v>5.9</v>
      </c>
      <c r="T20" s="242"/>
      <c r="U20" s="1743">
        <v>1</v>
      </c>
      <c r="V20" s="242"/>
      <c r="W20" s="1743">
        <f>$AB20-$C20-$E20-$G20-$I20-$K20-$M20-$O20-$Q20-$S20-$U20</f>
        <v>0.90000000000000036</v>
      </c>
      <c r="X20" s="242"/>
      <c r="Y20" s="1743"/>
      <c r="Z20" s="233"/>
      <c r="AA20" s="234"/>
      <c r="AB20" s="2156">
        <v>15.6</v>
      </c>
      <c r="AC20" s="1598"/>
      <c r="AD20" s="1749"/>
      <c r="AE20" s="2156">
        <v>14.2</v>
      </c>
      <c r="AF20" s="1617"/>
      <c r="AG20" s="1712"/>
      <c r="AH20" s="3362">
        <f>ROUND(AB20-AE20,1)</f>
        <v>1.4</v>
      </c>
      <c r="AI20" s="1157"/>
      <c r="AJ20" s="1582">
        <f>ROUND(IF(AE20=0,0,AH20/ABS(AE20)),3)</f>
        <v>9.9000000000000005E-2</v>
      </c>
    </row>
    <row r="21" spans="1:38" ht="17.25" customHeight="1">
      <c r="A21" s="244" t="s">
        <v>219</v>
      </c>
      <c r="B21" s="221"/>
      <c r="C21" s="233">
        <v>187.5</v>
      </c>
      <c r="D21" s="233"/>
      <c r="E21" s="233">
        <v>139.19999999999999</v>
      </c>
      <c r="F21" s="242"/>
      <c r="G21" s="233">
        <v>134.89999999999998</v>
      </c>
      <c r="H21" s="242"/>
      <c r="I21" s="233">
        <v>186.00000000000006</v>
      </c>
      <c r="J21" s="242"/>
      <c r="K21" s="233">
        <v>160.60000000000002</v>
      </c>
      <c r="L21" s="242"/>
      <c r="M21" s="233">
        <v>150.2999999999999</v>
      </c>
      <c r="N21" s="242"/>
      <c r="O21" s="1743">
        <v>147</v>
      </c>
      <c r="P21" s="242"/>
      <c r="Q21" s="1743">
        <v>151.19999999999999</v>
      </c>
      <c r="R21" s="242"/>
      <c r="S21" s="1743">
        <v>220.3</v>
      </c>
      <c r="T21" s="242"/>
      <c r="U21" s="1743">
        <v>227.70000000000005</v>
      </c>
      <c r="V21" s="242"/>
      <c r="W21" s="1743">
        <f>$AB21-$C21-$E21-$G21-$I21-$K21-$M21-$O21-$Q21-$S21-$U21</f>
        <v>222.59999999999985</v>
      </c>
      <c r="X21" s="242"/>
      <c r="Y21" s="1743"/>
      <c r="Z21" s="233"/>
      <c r="AA21" s="234"/>
      <c r="AB21" s="2156">
        <v>1927.3</v>
      </c>
      <c r="AC21" s="1598"/>
      <c r="AD21" s="1749"/>
      <c r="AE21" s="2156">
        <v>1837.3</v>
      </c>
      <c r="AF21" s="1715"/>
      <c r="AG21" s="1718"/>
      <c r="AH21" s="3363">
        <f>ROUND(AB21-AE21,1)</f>
        <v>90</v>
      </c>
      <c r="AI21" s="1157"/>
      <c r="AJ21" s="1674">
        <f>ROUND(IF(AE21=0,0,AH21/ABS(AE21)),3)</f>
        <v>4.9000000000000002E-2</v>
      </c>
    </row>
    <row r="22" spans="1:38" ht="16.5" customHeight="1">
      <c r="A22" s="221"/>
      <c r="B22" s="221"/>
      <c r="C22" s="369"/>
      <c r="D22" s="233"/>
      <c r="E22" s="370"/>
      <c r="F22" s="242"/>
      <c r="G22" s="370"/>
      <c r="H22" s="242"/>
      <c r="I22" s="370"/>
      <c r="J22" s="242"/>
      <c r="K22" s="370"/>
      <c r="L22" s="242"/>
      <c r="M22" s="370"/>
      <c r="N22" s="242"/>
      <c r="O22" s="370"/>
      <c r="P22" s="242"/>
      <c r="Q22" s="370"/>
      <c r="R22" s="242"/>
      <c r="S22" s="370"/>
      <c r="T22" s="242"/>
      <c r="U22" s="370"/>
      <c r="V22" s="242"/>
      <c r="W22" s="1745"/>
      <c r="X22" s="242"/>
      <c r="Y22" s="370"/>
      <c r="Z22" s="233"/>
      <c r="AA22" s="234"/>
      <c r="AB22" s="3339"/>
      <c r="AC22" s="1598"/>
      <c r="AD22" s="1749"/>
      <c r="AE22" s="3339"/>
      <c r="AF22" s="1614"/>
      <c r="AG22" s="1718"/>
      <c r="AH22" s="1729"/>
      <c r="AJ22" s="1147"/>
    </row>
    <row r="23" spans="1:38" ht="16.5" customHeight="1">
      <c r="A23" s="230" t="s">
        <v>151</v>
      </c>
      <c r="B23" s="221"/>
      <c r="C23" s="243">
        <f>ROUND(SUM(C19:C22),1)</f>
        <v>193.4</v>
      </c>
      <c r="D23" s="235"/>
      <c r="E23" s="243">
        <f>ROUND(SUM(E19:E22),1)</f>
        <v>146.30000000000001</v>
      </c>
      <c r="F23" s="243"/>
      <c r="G23" s="243">
        <f>ROUND(SUM(G19:G22),1)</f>
        <v>140.9</v>
      </c>
      <c r="H23" s="243"/>
      <c r="I23" s="243">
        <f>ROUND(SUM(I19:I22),1)</f>
        <v>192.5</v>
      </c>
      <c r="J23" s="243"/>
      <c r="K23" s="243">
        <f>ROUND(SUM(K19:K22),1)</f>
        <v>168.2</v>
      </c>
      <c r="L23" s="243"/>
      <c r="M23" s="243">
        <f>ROUND(SUM(M19:M22),1)</f>
        <v>168.4</v>
      </c>
      <c r="N23" s="243"/>
      <c r="O23" s="243">
        <f>ROUND(SUM(O19:O22),1)</f>
        <v>157.9</v>
      </c>
      <c r="P23" s="243"/>
      <c r="Q23" s="243">
        <f>ROUND(SUM(Q19:Q22),1)</f>
        <v>157.9</v>
      </c>
      <c r="R23" s="243"/>
      <c r="S23" s="243">
        <f>ROUND(SUM(S19:S22),1)</f>
        <v>230.8</v>
      </c>
      <c r="T23" s="243"/>
      <c r="U23" s="243">
        <f>ROUND(SUM(U19:U22),1)</f>
        <v>234.7</v>
      </c>
      <c r="V23" s="243"/>
      <c r="W23" s="3340">
        <f>ROUND(SUM(W19:W22),1)</f>
        <v>227.8</v>
      </c>
      <c r="X23" s="243"/>
      <c r="Y23" s="243">
        <f>ROUND(SUM(Y19:Y22),1)</f>
        <v>0</v>
      </c>
      <c r="Z23" s="235"/>
      <c r="AA23" s="236"/>
      <c r="AB23" s="3340">
        <f>ROUND(SUM(AB19:AB22),1)</f>
        <v>2018.8</v>
      </c>
      <c r="AC23" s="3341"/>
      <c r="AD23" s="3364"/>
      <c r="AE23" s="3340">
        <f>ROUND(SUM(AE19:AE22),1)</f>
        <v>1908</v>
      </c>
      <c r="AF23" s="1715"/>
      <c r="AG23" s="1718"/>
      <c r="AH23" s="3365">
        <f>ROUND(SUM(AH19:AH21),1)</f>
        <v>110.8</v>
      </c>
      <c r="AI23" s="1159"/>
      <c r="AJ23" s="1160">
        <f>ROUND(IF(AH23=0,0,AH23/ABS(AE23)),3)</f>
        <v>5.8000000000000003E-2</v>
      </c>
      <c r="AK23" s="367"/>
      <c r="AL23" s="367"/>
    </row>
    <row r="24" spans="1:38" ht="16.5" customHeight="1">
      <c r="A24" s="221"/>
      <c r="B24" s="221"/>
      <c r="C24" s="369"/>
      <c r="D24" s="233"/>
      <c r="E24" s="370"/>
      <c r="F24" s="242"/>
      <c r="G24" s="370"/>
      <c r="H24" s="242"/>
      <c r="I24" s="370"/>
      <c r="J24" s="242"/>
      <c r="K24" s="370"/>
      <c r="L24" s="242"/>
      <c r="M24" s="370"/>
      <c r="N24" s="242"/>
      <c r="O24" s="370"/>
      <c r="P24" s="242"/>
      <c r="Q24" s="370"/>
      <c r="R24" s="242"/>
      <c r="S24" s="370"/>
      <c r="T24" s="242"/>
      <c r="U24" s="370"/>
      <c r="V24" s="242"/>
      <c r="W24" s="370"/>
      <c r="X24" s="242"/>
      <c r="Y24" s="370"/>
      <c r="Z24" s="233"/>
      <c r="AA24" s="234"/>
      <c r="AB24" s="3339"/>
      <c r="AC24" s="1598"/>
      <c r="AD24" s="1749"/>
      <c r="AE24" s="3339"/>
      <c r="AF24" s="2248"/>
      <c r="AG24" s="1718"/>
      <c r="AH24" s="1729"/>
      <c r="AJ24" s="1147"/>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98"/>
      <c r="AC25" s="1598"/>
      <c r="AD25" s="1749"/>
      <c r="AE25" s="1598"/>
      <c r="AF25" s="2249"/>
      <c r="AG25" s="1718"/>
      <c r="AH25" s="1729"/>
      <c r="AJ25" s="1147"/>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598"/>
      <c r="AC26" s="1598"/>
      <c r="AD26" s="1749"/>
      <c r="AE26" s="1598"/>
      <c r="AF26" s="1713"/>
      <c r="AG26" s="1712"/>
      <c r="AH26" s="1729"/>
      <c r="AJ26" s="1161"/>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44"/>
      <c r="Y27" s="1744"/>
      <c r="Z27" s="1598"/>
      <c r="AA27" s="1749"/>
      <c r="AB27" s="1598"/>
      <c r="AC27" s="1598"/>
      <c r="AD27" s="1749"/>
      <c r="AE27" s="1598"/>
      <c r="AF27" s="1617"/>
      <c r="AG27" s="1712"/>
      <c r="AH27" s="1729"/>
      <c r="AI27" s="1162"/>
      <c r="AJ27" s="1161"/>
    </row>
    <row r="28" spans="1:38" ht="16.5" customHeight="1">
      <c r="A28" s="221" t="s">
        <v>153</v>
      </c>
      <c r="B28" s="221"/>
      <c r="C28" s="233"/>
      <c r="D28" s="233"/>
      <c r="E28" s="242"/>
      <c r="F28" s="242"/>
      <c r="G28" s="242"/>
      <c r="H28" s="242"/>
      <c r="I28" s="242"/>
      <c r="J28" s="242"/>
      <c r="K28" s="242"/>
      <c r="L28" s="242"/>
      <c r="M28" s="242"/>
      <c r="N28" s="242"/>
      <c r="O28" s="242"/>
      <c r="P28" s="242"/>
      <c r="Q28" s="242"/>
      <c r="R28" s="242"/>
      <c r="S28" s="1743"/>
      <c r="T28" s="242"/>
      <c r="U28" s="242"/>
      <c r="V28" s="242"/>
      <c r="W28" s="242"/>
      <c r="X28" s="1744"/>
      <c r="Y28" s="1744"/>
      <c r="Z28" s="1598"/>
      <c r="AA28" s="1749"/>
      <c r="AB28" s="1598"/>
      <c r="AC28" s="1598"/>
      <c r="AD28" s="1749"/>
      <c r="AE28" s="1598"/>
      <c r="AF28" s="2251"/>
      <c r="AG28" s="1718"/>
      <c r="AH28" s="1729"/>
      <c r="AJ28" s="1161"/>
    </row>
    <row r="29" spans="1:38" ht="16.5" customHeight="1">
      <c r="A29" s="221" t="s">
        <v>220</v>
      </c>
      <c r="B29" s="221"/>
      <c r="C29" s="233">
        <v>0.3</v>
      </c>
      <c r="D29" s="233"/>
      <c r="E29" s="233">
        <v>0.60000000000000009</v>
      </c>
      <c r="F29" s="242"/>
      <c r="G29" s="233">
        <v>0.29999999999999982</v>
      </c>
      <c r="H29" s="242"/>
      <c r="I29" s="233">
        <v>0.30000000000000004</v>
      </c>
      <c r="J29" s="242"/>
      <c r="K29" s="233">
        <v>0.39999999999999991</v>
      </c>
      <c r="L29" s="242"/>
      <c r="M29" s="233">
        <v>0.39999999999999991</v>
      </c>
      <c r="N29" s="242"/>
      <c r="O29" s="1743">
        <v>8.1999999999999993</v>
      </c>
      <c r="P29" s="242"/>
      <c r="Q29" s="1743">
        <v>2.5</v>
      </c>
      <c r="R29" s="242"/>
      <c r="S29" s="1743">
        <v>1.3000000000000007</v>
      </c>
      <c r="T29" s="242"/>
      <c r="U29" s="1743">
        <v>1</v>
      </c>
      <c r="V29" s="242"/>
      <c r="W29" s="1743">
        <f>$AB29-$C29-$E29-$G29-$I29-$K29-$M29-$O29-$Q29-$S29-$U29</f>
        <v>0.89999999999999858</v>
      </c>
      <c r="X29" s="1744"/>
      <c r="Y29" s="1743"/>
      <c r="Z29" s="1598"/>
      <c r="AA29" s="1749"/>
      <c r="AB29" s="2156">
        <v>16.2</v>
      </c>
      <c r="AC29" s="1598"/>
      <c r="AD29" s="1749"/>
      <c r="AE29" s="2156">
        <v>5.7</v>
      </c>
      <c r="AF29" s="1713"/>
      <c r="AG29" s="1723"/>
      <c r="AH29" s="1729">
        <f>ROUND(SUM(AB29-AE29),1)</f>
        <v>10.5</v>
      </c>
      <c r="AJ29" s="1163">
        <f>ROUND(IF(AH29=0,0,AH29/ABS(AE29)),3)</f>
        <v>1.8420000000000001</v>
      </c>
    </row>
    <row r="30" spans="1:38" ht="16.5" customHeight="1">
      <c r="A30" s="221" t="s">
        <v>180</v>
      </c>
      <c r="B30" s="221"/>
      <c r="C30" s="233">
        <v>3.6</v>
      </c>
      <c r="D30" s="233"/>
      <c r="E30" s="233">
        <v>5.0999999999999996</v>
      </c>
      <c r="F30" s="242"/>
      <c r="G30" s="233">
        <v>4.5</v>
      </c>
      <c r="H30" s="242"/>
      <c r="I30" s="233">
        <v>4.3999999999999986</v>
      </c>
      <c r="J30" s="242"/>
      <c r="K30" s="233">
        <v>7.1999999999999957</v>
      </c>
      <c r="L30" s="242"/>
      <c r="M30" s="233">
        <v>4.3000000000000043</v>
      </c>
      <c r="N30" s="242"/>
      <c r="O30" s="1743">
        <v>7.7999999999999972</v>
      </c>
      <c r="P30" s="242"/>
      <c r="Q30" s="1743">
        <v>4.8000000000000043</v>
      </c>
      <c r="R30" s="242"/>
      <c r="S30" s="1743">
        <v>4.5999999999999943</v>
      </c>
      <c r="T30" s="242"/>
      <c r="U30" s="1743">
        <v>3.7000000000000028</v>
      </c>
      <c r="V30" s="242"/>
      <c r="W30" s="1743">
        <f t="shared" ref="W30:W32" si="0">$AB30-$C30-$E30-$G30-$I30-$K30-$M30-$O30-$Q30-$S30-$U30</f>
        <v>4.2999999999999972</v>
      </c>
      <c r="X30" s="1744"/>
      <c r="Y30" s="1743"/>
      <c r="Z30" s="1598"/>
      <c r="AA30" s="1749"/>
      <c r="AB30" s="2156">
        <v>54.3</v>
      </c>
      <c r="AC30" s="1598"/>
      <c r="AD30" s="1749"/>
      <c r="AE30" s="2156">
        <v>49.6</v>
      </c>
      <c r="AF30" s="1617"/>
      <c r="AG30" s="1723"/>
      <c r="AH30" s="1729">
        <f>ROUND(SUM(AB30-AE30),1)</f>
        <v>4.7</v>
      </c>
      <c r="AJ30" s="1163">
        <f>ROUND(IF(AH30=0,0,AH30/ABS(AE30)),3)</f>
        <v>9.5000000000000001E-2</v>
      </c>
    </row>
    <row r="31" spans="1:38" ht="16.5" customHeight="1">
      <c r="A31" s="221" t="s">
        <v>156</v>
      </c>
      <c r="B31" s="221"/>
      <c r="C31" s="233">
        <v>0.1</v>
      </c>
      <c r="D31" s="233"/>
      <c r="E31" s="233">
        <v>0</v>
      </c>
      <c r="F31" s="242"/>
      <c r="G31" s="233">
        <v>0.1</v>
      </c>
      <c r="H31" s="242"/>
      <c r="I31" s="233">
        <v>9.9999999999999978E-2</v>
      </c>
      <c r="J31" s="242"/>
      <c r="K31" s="233">
        <v>0</v>
      </c>
      <c r="L31" s="242"/>
      <c r="M31" s="233">
        <v>0.10000000000000006</v>
      </c>
      <c r="N31" s="242"/>
      <c r="O31" s="1743">
        <v>0</v>
      </c>
      <c r="P31" s="242"/>
      <c r="Q31" s="1743">
        <v>0.7</v>
      </c>
      <c r="R31" s="242"/>
      <c r="S31" s="1743">
        <v>0.19999999999999984</v>
      </c>
      <c r="T31" s="242"/>
      <c r="U31" s="1743">
        <v>9.9999999999999756E-2</v>
      </c>
      <c r="V31" s="242"/>
      <c r="W31" s="1743">
        <f t="shared" si="0"/>
        <v>0.10000000000000009</v>
      </c>
      <c r="X31" s="1744"/>
      <c r="Y31" s="1743"/>
      <c r="Z31" s="1598"/>
      <c r="AA31" s="1749"/>
      <c r="AB31" s="2156">
        <v>1.5</v>
      </c>
      <c r="AC31" s="1598"/>
      <c r="AD31" s="1749"/>
      <c r="AE31" s="2156">
        <v>0.9</v>
      </c>
      <c r="AF31" s="1715"/>
      <c r="AG31" s="1722"/>
      <c r="AH31" s="1729">
        <f>ROUND(SUM(AB31-AE31),1)</f>
        <v>0.6</v>
      </c>
      <c r="AJ31" s="1163">
        <f>ROUND(IF(AH31=0,0,AH31/ABS(AE31)),3)</f>
        <v>0.66700000000000004</v>
      </c>
    </row>
    <row r="32" spans="1:38" ht="16.5" customHeight="1">
      <c r="A32" s="244" t="s">
        <v>221</v>
      </c>
      <c r="B32" s="221"/>
      <c r="C32" s="233">
        <v>189.4</v>
      </c>
      <c r="D32" s="233"/>
      <c r="E32" s="233">
        <v>140.29999999999998</v>
      </c>
      <c r="F32" s="242"/>
      <c r="G32" s="233">
        <v>135.6</v>
      </c>
      <c r="H32" s="242"/>
      <c r="I32" s="233">
        <v>187.20000000000007</v>
      </c>
      <c r="J32" s="242"/>
      <c r="K32" s="233">
        <v>161.29999999999993</v>
      </c>
      <c r="L32" s="242"/>
      <c r="M32" s="233">
        <v>151.40000000000012</v>
      </c>
      <c r="N32" s="242"/>
      <c r="O32" s="1743">
        <v>147.79999999999993</v>
      </c>
      <c r="P32" s="242"/>
      <c r="Q32" s="1743">
        <v>152.19999999999996</v>
      </c>
      <c r="R32" s="242"/>
      <c r="S32" s="1743">
        <v>226.89999999999995</v>
      </c>
      <c r="T32" s="242"/>
      <c r="U32" s="1743">
        <v>228.40000000000012</v>
      </c>
      <c r="V32" s="242"/>
      <c r="W32" s="1743">
        <f t="shared" si="0"/>
        <v>222.99999999999997</v>
      </c>
      <c r="X32" s="242"/>
      <c r="Y32" s="1743"/>
      <c r="Z32" s="233"/>
      <c r="AA32" s="234"/>
      <c r="AB32" s="2156">
        <v>1943.5</v>
      </c>
      <c r="AC32" s="1598"/>
      <c r="AD32" s="1749"/>
      <c r="AE32" s="2156">
        <v>1851.5</v>
      </c>
      <c r="AF32" s="1715"/>
      <c r="AG32" s="1723"/>
      <c r="AH32" s="1741">
        <f>ROUND(SUM(AB32-AE32),1)</f>
        <v>92</v>
      </c>
      <c r="AJ32" s="1164">
        <f>ROUND(IF(AH32=0,0,AH32/ABS(AE32)),3)</f>
        <v>0.05</v>
      </c>
    </row>
    <row r="33" spans="1:37" ht="16.5" customHeight="1">
      <c r="A33" s="221"/>
      <c r="B33" s="221"/>
      <c r="C33" s="369"/>
      <c r="D33" s="233"/>
      <c r="E33" s="370"/>
      <c r="F33" s="242"/>
      <c r="G33" s="370"/>
      <c r="H33" s="242"/>
      <c r="I33" s="370"/>
      <c r="J33" s="242"/>
      <c r="K33" s="370"/>
      <c r="L33" s="242"/>
      <c r="M33" s="370"/>
      <c r="N33" s="242"/>
      <c r="O33" s="370"/>
      <c r="P33" s="242"/>
      <c r="Q33" s="370"/>
      <c r="R33" s="242"/>
      <c r="S33" s="370"/>
      <c r="T33" s="242"/>
      <c r="U33" s="370"/>
      <c r="V33" s="242"/>
      <c r="W33" s="1745"/>
      <c r="X33" s="242"/>
      <c r="Y33" s="370"/>
      <c r="Z33" s="233"/>
      <c r="AA33" s="234"/>
      <c r="AB33" s="3339"/>
      <c r="AC33" s="1598"/>
      <c r="AD33" s="1749"/>
      <c r="AE33" s="3339"/>
      <c r="AF33" s="2254"/>
      <c r="AG33" s="1722"/>
      <c r="AH33" s="1729"/>
      <c r="AI33" s="1165"/>
      <c r="AJ33" s="1161"/>
    </row>
    <row r="34" spans="1:37" ht="16.5" customHeight="1">
      <c r="A34" s="230" t="s">
        <v>157</v>
      </c>
      <c r="B34" s="221"/>
      <c r="C34" s="243">
        <f>ROUND(SUM(C29:C33),1)</f>
        <v>193.4</v>
      </c>
      <c r="D34" s="235"/>
      <c r="E34" s="243">
        <f>ROUND(SUM(E29:E33),1)</f>
        <v>146</v>
      </c>
      <c r="F34" s="243"/>
      <c r="G34" s="243">
        <f>ROUND(SUM(G29:G33),1)</f>
        <v>140.5</v>
      </c>
      <c r="H34" s="243"/>
      <c r="I34" s="243">
        <f>ROUND(SUM(I29:I33),1)</f>
        <v>192</v>
      </c>
      <c r="J34" s="243"/>
      <c r="K34" s="910">
        <f>ROUND(SUM(K29:K33),1)</f>
        <v>168.9</v>
      </c>
      <c r="L34" s="371"/>
      <c r="M34" s="910">
        <f>ROUND(SUM(M29:M33),1)</f>
        <v>156.19999999999999</v>
      </c>
      <c r="N34" s="243"/>
      <c r="O34" s="243">
        <f>ROUND(SUM(O29:O33),1)</f>
        <v>163.80000000000001</v>
      </c>
      <c r="P34" s="243"/>
      <c r="Q34" s="243">
        <f>ROUND(SUM(Q29:Q33),1)</f>
        <v>160.19999999999999</v>
      </c>
      <c r="R34" s="243"/>
      <c r="S34" s="243">
        <f>ROUND(SUM(S29:S33),1)</f>
        <v>233</v>
      </c>
      <c r="T34" s="243"/>
      <c r="U34" s="243">
        <f>ROUND(SUM(U29:U33),1)</f>
        <v>233.2</v>
      </c>
      <c r="V34" s="243"/>
      <c r="W34" s="3340">
        <f>ROUND(SUM(W29:W33),1)</f>
        <v>228.3</v>
      </c>
      <c r="X34" s="243"/>
      <c r="Y34" s="243">
        <f>ROUND(SUM(Y29:Y33),1)</f>
        <v>0</v>
      </c>
      <c r="Z34" s="235"/>
      <c r="AA34" s="236"/>
      <c r="AB34" s="3340">
        <f>ROUND(SUM(AB29:AB33),1)</f>
        <v>2015.5</v>
      </c>
      <c r="AC34" s="3341"/>
      <c r="AD34" s="3364"/>
      <c r="AE34" s="3340">
        <f>ROUND(SUM(AE29:AE33),1)</f>
        <v>1907.7</v>
      </c>
      <c r="AF34" s="1713"/>
      <c r="AG34" s="1712"/>
      <c r="AH34" s="3365">
        <f>ROUND(SUM(AH29:AH32),1)</f>
        <v>107.8</v>
      </c>
      <c r="AI34" s="1159"/>
      <c r="AJ34" s="1160">
        <f>ROUND(IF(AH34=0,0,AH34/ABS(AE34)),3)</f>
        <v>5.7000000000000002E-2</v>
      </c>
      <c r="AK34" s="367"/>
    </row>
    <row r="35" spans="1:37" ht="16.5" customHeight="1">
      <c r="A35" s="221"/>
      <c r="B35" s="221"/>
      <c r="C35" s="369"/>
      <c r="D35" s="233"/>
      <c r="E35" s="370"/>
      <c r="F35" s="242"/>
      <c r="G35" s="370"/>
      <c r="H35" s="242"/>
      <c r="I35" s="370"/>
      <c r="J35" s="242"/>
      <c r="K35" s="240"/>
      <c r="L35" s="242"/>
      <c r="M35" s="240"/>
      <c r="N35" s="242"/>
      <c r="O35" s="370"/>
      <c r="P35" s="242"/>
      <c r="Q35" s="370"/>
      <c r="R35" s="242"/>
      <c r="S35" s="370"/>
      <c r="T35" s="242"/>
      <c r="U35" s="370"/>
      <c r="V35" s="242"/>
      <c r="W35" s="370"/>
      <c r="X35" s="242"/>
      <c r="Y35" s="370"/>
      <c r="Z35" s="233"/>
      <c r="AA35" s="234"/>
      <c r="AB35" s="3339"/>
      <c r="AC35" s="3342"/>
      <c r="AD35" s="1749"/>
      <c r="AE35" s="3339"/>
      <c r="AF35" s="1617"/>
      <c r="AG35" s="1712"/>
      <c r="AH35" s="1729"/>
      <c r="AJ35" s="1147"/>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98"/>
      <c r="AC36" s="3342"/>
      <c r="AD36" s="1749"/>
      <c r="AE36" s="1598"/>
      <c r="AF36" s="2255"/>
      <c r="AG36" s="1750"/>
      <c r="AH36" s="1729"/>
      <c r="AI36" s="1162"/>
      <c r="AJ36" s="1161"/>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598"/>
      <c r="AC37" s="3342"/>
      <c r="AD37" s="1749"/>
      <c r="AE37" s="1598"/>
      <c r="AF37" s="2251"/>
      <c r="AG37" s="2256"/>
      <c r="AH37" s="1729"/>
      <c r="AI37" s="1162"/>
      <c r="AJ37" s="1161"/>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598"/>
      <c r="AC38" s="3342"/>
      <c r="AD38" s="1749"/>
      <c r="AE38" s="1598"/>
      <c r="AF38" s="2257"/>
      <c r="AG38" s="2258"/>
      <c r="AH38" s="1729"/>
      <c r="AI38" s="1162"/>
      <c r="AJ38" s="1161"/>
    </row>
    <row r="39" spans="1:37" ht="16.5" customHeight="1">
      <c r="A39" s="230" t="s">
        <v>45</v>
      </c>
      <c r="B39" s="221"/>
      <c r="C39" s="243">
        <f>ROUND(C23-C34,1)</f>
        <v>0</v>
      </c>
      <c r="D39" s="235"/>
      <c r="E39" s="243">
        <f>ROUND(E23-E34,1)</f>
        <v>0.3</v>
      </c>
      <c r="F39" s="243"/>
      <c r="G39" s="243">
        <f>ROUND(G23-G34,1)</f>
        <v>0.4</v>
      </c>
      <c r="H39" s="243"/>
      <c r="I39" s="243">
        <f>ROUND(I23-I34,1)</f>
        <v>0.5</v>
      </c>
      <c r="J39" s="243"/>
      <c r="K39" s="243">
        <f>ROUND(K23-K34,1)</f>
        <v>-0.7</v>
      </c>
      <c r="L39" s="243"/>
      <c r="M39" s="243">
        <f>ROUND(M23-M34,1)</f>
        <v>12.2</v>
      </c>
      <c r="N39" s="243"/>
      <c r="O39" s="243">
        <f>ROUND(O23-O34,1)</f>
        <v>-5.9</v>
      </c>
      <c r="P39" s="243"/>
      <c r="Q39" s="243">
        <f>ROUND(Q23-Q34,1)</f>
        <v>-2.2999999999999998</v>
      </c>
      <c r="R39" s="243"/>
      <c r="S39" s="243">
        <f>ROUND(S23-S34,1)</f>
        <v>-2.2000000000000002</v>
      </c>
      <c r="T39" s="243"/>
      <c r="U39" s="243">
        <f>ROUND(U23-U34,1)</f>
        <v>1.5</v>
      </c>
      <c r="V39" s="243"/>
      <c r="W39" s="243">
        <f>ROUND(W23-W34,1)</f>
        <v>-0.5</v>
      </c>
      <c r="X39" s="243"/>
      <c r="Y39" s="243">
        <f>ROUND(Y23-Y34,1)</f>
        <v>0</v>
      </c>
      <c r="Z39" s="235"/>
      <c r="AA39" s="236"/>
      <c r="AB39" s="3340">
        <f>ROUND(AB23-AB34,1)</f>
        <v>3.3</v>
      </c>
      <c r="AC39" s="3341"/>
      <c r="AD39" s="3364"/>
      <c r="AE39" s="3340">
        <f>ROUND(AE23-AE34,1)</f>
        <v>0.3</v>
      </c>
      <c r="AF39" s="2259"/>
      <c r="AG39" s="1750"/>
      <c r="AH39" s="3365">
        <f>ROUND(SUM(AH23-AH34),1)</f>
        <v>3</v>
      </c>
      <c r="AI39" s="1159"/>
      <c r="AJ39" s="2167">
        <f>ROUND(IF(AE39=0,1,AH39/ABS(AE39)),3)</f>
        <v>10</v>
      </c>
    </row>
    <row r="40" spans="1:37" ht="16.5" customHeight="1">
      <c r="A40" s="221"/>
      <c r="B40" s="221"/>
      <c r="C40" s="369"/>
      <c r="D40" s="233"/>
      <c r="E40" s="370"/>
      <c r="F40" s="242"/>
      <c r="G40" s="370"/>
      <c r="H40" s="242"/>
      <c r="I40" s="370"/>
      <c r="J40" s="242"/>
      <c r="K40" s="370"/>
      <c r="L40" s="242"/>
      <c r="M40" s="370"/>
      <c r="N40" s="242"/>
      <c r="O40" s="370"/>
      <c r="P40" s="242"/>
      <c r="Q40" s="370"/>
      <c r="R40" s="242"/>
      <c r="S40" s="370"/>
      <c r="T40" s="242"/>
      <c r="U40" s="370"/>
      <c r="V40" s="242"/>
      <c r="W40" s="370"/>
      <c r="X40" s="242"/>
      <c r="Y40" s="370"/>
      <c r="Z40" s="233"/>
      <c r="AA40" s="234"/>
      <c r="AB40" s="3339"/>
      <c r="AC40" s="3342"/>
      <c r="AD40" s="1749"/>
      <c r="AE40" s="3339"/>
      <c r="AF40" s="117"/>
      <c r="AG40" s="1750"/>
      <c r="AH40" s="1729"/>
      <c r="AJ40" s="1147"/>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598"/>
      <c r="AC41" s="1598"/>
      <c r="AD41" s="1749"/>
      <c r="AE41" s="1598"/>
      <c r="AF41" s="140"/>
      <c r="AG41" s="1750"/>
      <c r="AH41" s="1729"/>
      <c r="AJ41" s="1147"/>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598"/>
      <c r="AC42" s="1598"/>
      <c r="AD42" s="1749"/>
      <c r="AE42" s="1598"/>
      <c r="AG42" s="1718"/>
      <c r="AH42" s="1729"/>
      <c r="AJ42" s="1161"/>
    </row>
    <row r="43" spans="1:37" s="1754" customFormat="1" ht="16.5" customHeight="1">
      <c r="A43" s="1746" t="s">
        <v>46</v>
      </c>
      <c r="B43" s="1747"/>
      <c r="C43" s="233"/>
      <c r="D43" s="233"/>
      <c r="E43" s="242"/>
      <c r="F43" s="242"/>
      <c r="G43" s="242"/>
      <c r="H43" s="242"/>
      <c r="I43" s="242"/>
      <c r="J43" s="1744"/>
      <c r="K43" s="1748"/>
      <c r="L43" s="1744"/>
      <c r="M43" s="1748"/>
      <c r="N43" s="1744"/>
      <c r="O43" s="1744"/>
      <c r="P43" s="1744"/>
      <c r="Q43" s="1744"/>
      <c r="R43" s="1744"/>
      <c r="S43" s="1744"/>
      <c r="T43" s="1744"/>
      <c r="U43" s="1744"/>
      <c r="V43" s="1744"/>
      <c r="W43" s="1744"/>
      <c r="X43" s="1744"/>
      <c r="Y43" s="1744"/>
      <c r="Z43" s="1598"/>
      <c r="AA43" s="1749"/>
      <c r="AB43" s="1598"/>
      <c r="AC43" s="1598"/>
      <c r="AD43" s="1749"/>
      <c r="AE43" s="1598"/>
      <c r="AF43" s="140"/>
      <c r="AG43" s="1750"/>
      <c r="AH43" s="1751"/>
      <c r="AI43" s="1752"/>
      <c r="AJ43" s="1753"/>
    </row>
    <row r="44" spans="1:37" ht="16.5" customHeight="1">
      <c r="A44" s="221" t="s">
        <v>182</v>
      </c>
      <c r="B44" s="221"/>
      <c r="C44" s="233">
        <v>0</v>
      </c>
      <c r="D44" s="233"/>
      <c r="E44" s="233">
        <v>0</v>
      </c>
      <c r="F44" s="242"/>
      <c r="G44" s="233">
        <v>0</v>
      </c>
      <c r="H44" s="1888"/>
      <c r="I44" s="233">
        <v>0</v>
      </c>
      <c r="J44" s="242"/>
      <c r="K44" s="233">
        <v>0</v>
      </c>
      <c r="L44" s="242"/>
      <c r="M44" s="233">
        <v>0</v>
      </c>
      <c r="N44" s="242"/>
      <c r="O44" s="1743">
        <v>0</v>
      </c>
      <c r="P44" s="242"/>
      <c r="Q44" s="1743">
        <v>0</v>
      </c>
      <c r="R44" s="242"/>
      <c r="S44" s="1743">
        <v>0</v>
      </c>
      <c r="T44" s="242"/>
      <c r="U44" s="1743">
        <v>0</v>
      </c>
      <c r="V44" s="242"/>
      <c r="W44" s="1743">
        <f t="shared" ref="W44:W45" si="1">$AB44-$C44-$E44-$G44-$I44-$K44-$M44-$O44-$Q44-$S44-$U44</f>
        <v>0</v>
      </c>
      <c r="X44" s="242"/>
      <c r="Y44" s="1743"/>
      <c r="Z44" s="233"/>
      <c r="AA44" s="234"/>
      <c r="AB44" s="2156">
        <v>0</v>
      </c>
      <c r="AC44" s="1598"/>
      <c r="AD44" s="1749"/>
      <c r="AE44" s="2156">
        <v>0</v>
      </c>
      <c r="AF44" s="140"/>
      <c r="AG44" s="1750"/>
      <c r="AH44" s="1729">
        <f>ROUND(SUM(AB44-AE44),1)</f>
        <v>0</v>
      </c>
      <c r="AJ44" s="1438">
        <f>ROUND(IF(AH44=0,0,AH44/ABS(AE44)),3)</f>
        <v>0</v>
      </c>
    </row>
    <row r="45" spans="1:37" ht="16.5" customHeight="1">
      <c r="A45" s="221" t="s">
        <v>183</v>
      </c>
      <c r="B45" s="221"/>
      <c r="C45" s="233">
        <v>0</v>
      </c>
      <c r="D45" s="233"/>
      <c r="E45" s="233">
        <v>0</v>
      </c>
      <c r="F45" s="242"/>
      <c r="G45" s="233">
        <v>0</v>
      </c>
      <c r="H45" s="1888"/>
      <c r="I45" s="233">
        <v>0</v>
      </c>
      <c r="J45" s="242"/>
      <c r="K45" s="233">
        <v>0</v>
      </c>
      <c r="L45" s="242"/>
      <c r="M45" s="233">
        <v>0</v>
      </c>
      <c r="N45" s="242"/>
      <c r="O45" s="1743">
        <v>0</v>
      </c>
      <c r="P45" s="242"/>
      <c r="Q45" s="1743">
        <v>0</v>
      </c>
      <c r="R45" s="242"/>
      <c r="S45" s="1743">
        <v>0</v>
      </c>
      <c r="T45" s="242"/>
      <c r="U45" s="1743">
        <v>0</v>
      </c>
      <c r="V45" s="242"/>
      <c r="W45" s="1743">
        <f t="shared" si="1"/>
        <v>0</v>
      </c>
      <c r="X45" s="242"/>
      <c r="Y45" s="1743"/>
      <c r="Z45" s="233"/>
      <c r="AA45" s="234"/>
      <c r="AB45" s="2156">
        <v>0</v>
      </c>
      <c r="AC45" s="1598"/>
      <c r="AD45" s="1749"/>
      <c r="AE45" s="2156">
        <v>0</v>
      </c>
      <c r="AF45" s="140"/>
      <c r="AG45" s="1750"/>
      <c r="AH45" s="3366">
        <f>-ROUND(SUM(AB45-AE45),1)</f>
        <v>0</v>
      </c>
      <c r="AJ45" s="1553">
        <f>ROUND(IF(AH45=0,0,AH45/ABS(AE45)),3)</f>
        <v>0</v>
      </c>
    </row>
    <row r="46" spans="1:37" ht="16.5" customHeight="1">
      <c r="A46" s="221"/>
      <c r="B46" s="221"/>
      <c r="C46" s="369"/>
      <c r="D46" s="233"/>
      <c r="E46" s="369"/>
      <c r="F46" s="242"/>
      <c r="G46" s="369"/>
      <c r="H46" s="242"/>
      <c r="I46" s="369"/>
      <c r="J46" s="242"/>
      <c r="K46" s="369"/>
      <c r="L46" s="242"/>
      <c r="M46" s="369"/>
      <c r="N46" s="242"/>
      <c r="O46" s="369"/>
      <c r="P46" s="242"/>
      <c r="Q46" s="369"/>
      <c r="R46" s="242"/>
      <c r="S46" s="369"/>
      <c r="T46" s="242"/>
      <c r="U46" s="370"/>
      <c r="V46" s="242"/>
      <c r="W46" s="370"/>
      <c r="X46" s="242"/>
      <c r="Y46" s="370"/>
      <c r="Z46" s="233"/>
      <c r="AA46" s="234"/>
      <c r="AB46" s="3339"/>
      <c r="AC46" s="1598"/>
      <c r="AD46" s="1749"/>
      <c r="AE46" s="3339"/>
      <c r="AF46" s="140"/>
      <c r="AG46" s="1750"/>
      <c r="AH46" s="3361"/>
      <c r="AJ46" s="1497"/>
    </row>
    <row r="47" spans="1:37" ht="16.5" customHeight="1">
      <c r="A47" s="230" t="s">
        <v>209</v>
      </c>
      <c r="B47" s="221"/>
      <c r="C47" s="372">
        <f>ROUND(SUM(C44:C46),1)</f>
        <v>0</v>
      </c>
      <c r="D47" s="235"/>
      <c r="E47" s="372">
        <f>ROUND(SUM(E44:E46),1)</f>
        <v>0</v>
      </c>
      <c r="F47" s="243"/>
      <c r="G47" s="372">
        <f>ROUND(SUM(G44:G46),1)</f>
        <v>0</v>
      </c>
      <c r="H47" s="243"/>
      <c r="I47" s="372">
        <f>ROUND(SUM(I44:I46),1)</f>
        <v>0</v>
      </c>
      <c r="J47" s="243"/>
      <c r="K47" s="372">
        <f>ROUND(SUM(K44:K46),1)</f>
        <v>0</v>
      </c>
      <c r="L47" s="243"/>
      <c r="M47" s="372">
        <f>ROUND(SUM(M44:M46),1)</f>
        <v>0</v>
      </c>
      <c r="N47" s="243"/>
      <c r="O47" s="372">
        <f>ROUND(SUM(O44:O46),1)</f>
        <v>0</v>
      </c>
      <c r="P47" s="243"/>
      <c r="Q47" s="372">
        <f>ROUND(SUM(Q44:Q46),1)</f>
        <v>0</v>
      </c>
      <c r="R47" s="243"/>
      <c r="S47" s="372">
        <f>ROUND(SUM(S44:S46),1)</f>
        <v>0</v>
      </c>
      <c r="T47" s="243"/>
      <c r="U47" s="372">
        <f>ROUND(SUM(U44:U46),1)</f>
        <v>0</v>
      </c>
      <c r="V47" s="243"/>
      <c r="W47" s="372">
        <f>ROUND(SUM(W44:W46),1)</f>
        <v>0</v>
      </c>
      <c r="X47" s="243"/>
      <c r="Y47" s="372">
        <f>ROUND(SUM(Y44:Y46),1)</f>
        <v>0</v>
      </c>
      <c r="Z47" s="235"/>
      <c r="AA47" s="236"/>
      <c r="AB47" s="3343">
        <f>ROUND(SUM(AB44+AB45),1)</f>
        <v>0</v>
      </c>
      <c r="AC47" s="3341"/>
      <c r="AD47" s="3364"/>
      <c r="AE47" s="3343">
        <f>ROUND(SUM(AE44+AE45),1)</f>
        <v>0</v>
      </c>
      <c r="AF47" s="107"/>
      <c r="AG47" s="1718"/>
      <c r="AH47" s="3365">
        <f>ROUND(SUM(AH44:AH45),1)</f>
        <v>0</v>
      </c>
      <c r="AI47" s="1167"/>
      <c r="AJ47" s="1160">
        <f>ROUND(IF(AH47=0,0,AH47/ABS(AE47)),3)</f>
        <v>0</v>
      </c>
    </row>
    <row r="48" spans="1:37" ht="16.5" customHeight="1">
      <c r="A48" s="221"/>
      <c r="B48" s="221"/>
      <c r="C48" s="369"/>
      <c r="D48" s="233"/>
      <c r="E48" s="370"/>
      <c r="F48" s="242"/>
      <c r="G48" s="370"/>
      <c r="H48" s="242"/>
      <c r="I48" s="370"/>
      <c r="J48" s="242"/>
      <c r="K48" s="370"/>
      <c r="L48" s="242"/>
      <c r="M48" s="370"/>
      <c r="N48" s="242"/>
      <c r="O48" s="370"/>
      <c r="P48" s="242"/>
      <c r="Q48" s="370"/>
      <c r="R48" s="242"/>
      <c r="S48" s="370"/>
      <c r="T48" s="242"/>
      <c r="U48" s="370"/>
      <c r="V48" s="242"/>
      <c r="W48" s="370"/>
      <c r="X48" s="242"/>
      <c r="Y48" s="370"/>
      <c r="Z48" s="233"/>
      <c r="AA48" s="234"/>
      <c r="AB48" s="3339"/>
      <c r="AC48" s="1598"/>
      <c r="AD48" s="1749"/>
      <c r="AE48" s="3339"/>
      <c r="AG48" s="1718"/>
      <c r="AH48" s="3361"/>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598"/>
      <c r="AC49" s="1598"/>
      <c r="AD49" s="1749"/>
      <c r="AE49" s="1598"/>
      <c r="AG49" s="1718"/>
      <c r="AH49" s="3361"/>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598"/>
      <c r="AC50" s="1598"/>
      <c r="AD50" s="1749"/>
      <c r="AE50" s="1598"/>
      <c r="AG50" s="1718"/>
    </row>
    <row r="51" spans="1:39" ht="16.5" customHeight="1">
      <c r="A51" s="230" t="s">
        <v>166</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598"/>
      <c r="AC51" s="1598"/>
      <c r="AD51" s="1749"/>
      <c r="AE51" s="1598"/>
      <c r="AG51" s="1718"/>
    </row>
    <row r="52" spans="1:39" ht="16.5" customHeight="1">
      <c r="A52" s="230" t="s">
        <v>228</v>
      </c>
      <c r="B52" s="221"/>
      <c r="C52" s="233"/>
      <c r="D52" s="233"/>
      <c r="E52" s="242"/>
      <c r="F52" s="242"/>
      <c r="G52" s="242"/>
      <c r="H52" s="242"/>
      <c r="I52" s="242"/>
      <c r="J52" s="242"/>
      <c r="K52" s="373"/>
      <c r="L52" s="242"/>
      <c r="M52" s="242"/>
      <c r="N52" s="242"/>
      <c r="O52" s="242"/>
      <c r="P52" s="242"/>
      <c r="Q52" s="242"/>
      <c r="R52" s="242"/>
      <c r="S52" s="242"/>
      <c r="T52" s="242"/>
      <c r="U52" s="242"/>
      <c r="V52" s="242"/>
      <c r="W52" s="242"/>
      <c r="X52" s="242"/>
      <c r="Y52" s="242"/>
      <c r="Z52" s="233"/>
      <c r="AA52" s="234"/>
      <c r="AB52" s="1598"/>
      <c r="AC52" s="1598"/>
      <c r="AD52" s="1749"/>
      <c r="AE52" s="1598"/>
      <c r="AG52" s="1718"/>
    </row>
    <row r="53" spans="1:39" ht="16.5" customHeight="1">
      <c r="A53" s="230" t="s">
        <v>168</v>
      </c>
      <c r="B53" s="221"/>
      <c r="C53" s="243">
        <f>ROUND(C39+C47,1)</f>
        <v>0</v>
      </c>
      <c r="D53" s="235"/>
      <c r="E53" s="243">
        <f>ROUND(E39+E47,1)</f>
        <v>0.3</v>
      </c>
      <c r="F53" s="243"/>
      <c r="G53" s="243">
        <f>ROUND(G39+G47,1)</f>
        <v>0.4</v>
      </c>
      <c r="H53" s="243"/>
      <c r="I53" s="243">
        <f>ROUND(I39+I47,1)</f>
        <v>0.5</v>
      </c>
      <c r="J53" s="243"/>
      <c r="K53" s="910">
        <f>ROUND(K39+K47,1)</f>
        <v>-0.7</v>
      </c>
      <c r="L53" s="243"/>
      <c r="M53" s="243">
        <f>ROUND(M39+M47,1)</f>
        <v>12.2</v>
      </c>
      <c r="N53" s="243"/>
      <c r="O53" s="243">
        <f>ROUND(O39+O47,1)</f>
        <v>-5.9</v>
      </c>
      <c r="P53" s="243"/>
      <c r="Q53" s="243">
        <f>ROUND(Q39+Q47,1)</f>
        <v>-2.2999999999999998</v>
      </c>
      <c r="R53" s="243"/>
      <c r="S53" s="243">
        <f>ROUND(S39+S47,1)</f>
        <v>-2.2000000000000002</v>
      </c>
      <c r="T53" s="243"/>
      <c r="U53" s="243">
        <f>ROUND(U39+U47,1)</f>
        <v>1.5</v>
      </c>
      <c r="V53" s="243"/>
      <c r="W53" s="243">
        <f>ROUND(W39+W47,1)</f>
        <v>-0.5</v>
      </c>
      <c r="X53" s="243"/>
      <c r="Y53" s="243">
        <f>ROUND(Y39+Y47,1)</f>
        <v>0</v>
      </c>
      <c r="Z53" s="235"/>
      <c r="AA53" s="236"/>
      <c r="AB53" s="3340">
        <f>ROUND(AB39+AB47,1)</f>
        <v>3.3</v>
      </c>
      <c r="AC53" s="3341"/>
      <c r="AD53" s="3364"/>
      <c r="AE53" s="3340">
        <f>ROUND(AE39+AE47,1)</f>
        <v>0.3</v>
      </c>
      <c r="AG53" s="1718"/>
      <c r="AH53" s="3365">
        <f>ROUND(SUM(AH39+AH47),1)</f>
        <v>3</v>
      </c>
      <c r="AI53" s="1138"/>
      <c r="AJ53" s="2167">
        <f>ROUND(IF(AE53=0,1,AH53/ABS(AE53)),3)</f>
        <v>10</v>
      </c>
      <c r="AK53" s="367"/>
      <c r="AL53" s="367"/>
      <c r="AM53" s="367"/>
    </row>
    <row r="54" spans="1:39" ht="16.5" customHeight="1">
      <c r="A54" s="221"/>
      <c r="B54" s="221"/>
      <c r="C54" s="374"/>
      <c r="D54" s="230"/>
      <c r="E54" s="375"/>
      <c r="F54" s="376"/>
      <c r="G54" s="375"/>
      <c r="H54" s="376"/>
      <c r="I54" s="375"/>
      <c r="J54" s="376"/>
      <c r="K54" s="377"/>
      <c r="L54" s="376"/>
      <c r="M54" s="375"/>
      <c r="N54" s="376"/>
      <c r="O54" s="375"/>
      <c r="P54" s="376"/>
      <c r="Q54" s="375"/>
      <c r="R54" s="376"/>
      <c r="S54" s="375"/>
      <c r="T54" s="376"/>
      <c r="U54" s="375"/>
      <c r="V54" s="376"/>
      <c r="W54" s="375"/>
      <c r="X54" s="376"/>
      <c r="Y54" s="375"/>
      <c r="Z54" s="230"/>
      <c r="AA54" s="378"/>
      <c r="AB54" s="3344"/>
      <c r="AC54" s="1746"/>
      <c r="AD54" s="3367"/>
      <c r="AE54" s="3344"/>
      <c r="AG54" s="1718"/>
      <c r="AJ54" s="1147"/>
      <c r="AK54" s="367"/>
      <c r="AL54" s="367"/>
      <c r="AM54" s="367"/>
    </row>
    <row r="55" spans="1:39" ht="16.5" customHeight="1" thickBot="1">
      <c r="A55" s="230" t="s">
        <v>142</v>
      </c>
      <c r="B55" s="221"/>
      <c r="C55" s="228">
        <f>ROUND(C16+C53,1)</f>
        <v>26.6</v>
      </c>
      <c r="D55" s="228"/>
      <c r="E55" s="228">
        <f>ROUND(E16+E53,1)</f>
        <v>26.9</v>
      </c>
      <c r="F55" s="366"/>
      <c r="G55" s="228">
        <f>ROUND(G16+G53,1)</f>
        <v>27.3</v>
      </c>
      <c r="H55" s="366"/>
      <c r="I55" s="912">
        <f>ROUND(I16+I53,1)</f>
        <v>27.8</v>
      </c>
      <c r="J55" s="379"/>
      <c r="K55" s="228">
        <f>ROUND(K16+K53,1)</f>
        <v>27.1</v>
      </c>
      <c r="L55" s="379"/>
      <c r="M55" s="228">
        <f>ROUND(M16+M53,1)</f>
        <v>39.299999999999997</v>
      </c>
      <c r="N55" s="366"/>
      <c r="O55" s="228">
        <f>ROUND(O16+O53,1)</f>
        <v>33.4</v>
      </c>
      <c r="P55" s="366"/>
      <c r="Q55" s="228">
        <f>ROUND(Q16+Q53,1)</f>
        <v>31.1</v>
      </c>
      <c r="R55" s="366"/>
      <c r="S55" s="228">
        <f>ROUND(S16+S53,1)</f>
        <v>28.9</v>
      </c>
      <c r="T55" s="366"/>
      <c r="U55" s="228">
        <f>ROUND(U16+U53,1)</f>
        <v>30.4</v>
      </c>
      <c r="V55" s="366"/>
      <c r="W55" s="228">
        <f>ROUND(W16+W53,1)</f>
        <v>29.9</v>
      </c>
      <c r="X55" s="366"/>
      <c r="Y55" s="228">
        <f>ROUND(Y16+Y53,1)</f>
        <v>0</v>
      </c>
      <c r="Z55" s="228"/>
      <c r="AA55" s="229"/>
      <c r="AB55" s="3338">
        <f>ROUND(AB16+AB53,1)</f>
        <v>29.9</v>
      </c>
      <c r="AC55" s="3338"/>
      <c r="AD55" s="3359"/>
      <c r="AE55" s="3338">
        <f>ROUND(AE16+AE53,1)</f>
        <v>24.9</v>
      </c>
      <c r="AG55" s="1718"/>
      <c r="AH55" s="3368">
        <f>ROUND(SUM(AB55-AE55),1)</f>
        <v>5</v>
      </c>
      <c r="AI55" s="1166"/>
      <c r="AJ55" s="1168">
        <f>ROUND(IF(AH55=0,0,AH55/ABS(AE55)),3)</f>
        <v>0.20100000000000001</v>
      </c>
      <c r="AK55" s="367"/>
      <c r="AL55" s="367"/>
      <c r="AM55" s="367"/>
    </row>
    <row r="56" spans="1:39" ht="16.5" customHeight="1" thickTop="1">
      <c r="A56" s="223"/>
      <c r="B56" s="223"/>
      <c r="C56" s="380"/>
      <c r="D56" s="223"/>
      <c r="E56" s="380"/>
      <c r="F56" s="223"/>
      <c r="G56" s="380"/>
      <c r="H56" s="223"/>
      <c r="I56" s="239"/>
      <c r="J56" s="239"/>
      <c r="K56" s="380"/>
      <c r="L56" s="239"/>
      <c r="M56" s="380"/>
      <c r="N56" s="223"/>
      <c r="O56" s="380"/>
      <c r="P56" s="223"/>
      <c r="Q56" s="380"/>
      <c r="R56" s="223"/>
      <c r="S56" s="380"/>
      <c r="T56" s="223"/>
      <c r="U56" s="380"/>
      <c r="V56" s="223"/>
      <c r="W56" s="380"/>
      <c r="X56" s="223"/>
      <c r="Y56" s="380"/>
      <c r="Z56" s="223"/>
      <c r="AA56" s="223"/>
      <c r="AB56" s="3345"/>
      <c r="AC56" s="3346"/>
      <c r="AD56" s="3346"/>
      <c r="AE56" s="3345"/>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25" right="0.25" top="0.5" bottom="0.25" header="0" footer="0.25"/>
  <pageSetup scale="43"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workbookViewId="0"/>
  </sheetViews>
  <sheetFormatPr defaultColWidth="8.88671875" defaultRowHeight="16.5" customHeight="1"/>
  <cols>
    <col min="1" max="1" width="48.44140625" style="208" customWidth="1"/>
    <col min="2" max="2" width="11" style="208" customWidth="1"/>
    <col min="3" max="3" width="1.88671875" style="208" customWidth="1"/>
    <col min="4" max="4" width="11" style="208" customWidth="1"/>
    <col min="5" max="5" width="1.88671875" style="208" customWidth="1"/>
    <col min="6" max="6" width="11.109375" style="208" customWidth="1"/>
    <col min="7" max="7" width="1.88671875" style="208" customWidth="1"/>
    <col min="8" max="8" width="11" style="208" customWidth="1"/>
    <col min="9" max="9" width="1.88671875" style="208" customWidth="1"/>
    <col min="10" max="10" width="10.44140625" style="208" customWidth="1"/>
    <col min="11" max="11" width="1.88671875" style="208" customWidth="1"/>
    <col min="12" max="12" width="13.109375" style="208" customWidth="1"/>
    <col min="13" max="13" width="1.88671875" style="208" customWidth="1"/>
    <col min="14" max="14" width="11.109375" style="208" customWidth="1"/>
    <col min="15" max="15" width="1.88671875" style="208" customWidth="1"/>
    <col min="16" max="16" width="12.109375" style="208" customWidth="1"/>
    <col min="17" max="17" width="1.88671875" style="208" customWidth="1"/>
    <col min="18" max="18" width="12" style="208" customWidth="1"/>
    <col min="19" max="19" width="1.88671875" style="208" customWidth="1"/>
    <col min="20" max="20" width="11.109375" style="208" customWidth="1"/>
    <col min="21" max="21" width="1.88671875" style="208" customWidth="1"/>
    <col min="22" max="22" width="11.88671875" style="208" customWidth="1"/>
    <col min="23" max="23" width="1.88671875" style="208" customWidth="1"/>
    <col min="24" max="24" width="11.109375" style="1102" customWidth="1"/>
    <col min="25" max="26" width="1.88671875" style="1102" customWidth="1"/>
    <col min="27" max="27" width="11.5546875" style="1102" customWidth="1"/>
    <col min="28" max="29" width="1.88671875" style="1102" customWidth="1"/>
    <col min="30" max="30" width="11.5546875" style="1102" customWidth="1"/>
    <col min="31" max="31" width="1.88671875" style="2260" customWidth="1"/>
    <col min="32" max="32" width="2.44140625" style="3347" customWidth="1"/>
    <col min="33" max="33" width="10.109375" style="1702" bestFit="1" customWidth="1"/>
    <col min="34" max="34" width="1.88671875" style="1147" customWidth="1"/>
    <col min="35" max="35" width="11.109375" style="1146" customWidth="1"/>
    <col min="36" max="16384" width="8.88671875" style="208"/>
  </cols>
  <sheetData>
    <row r="1" spans="1:251" ht="16.5" customHeight="1">
      <c r="A1" s="653" t="s">
        <v>979</v>
      </c>
    </row>
    <row r="2" spans="1:251" ht="16.5" customHeight="1">
      <c r="A2" s="834"/>
    </row>
    <row r="3" spans="1:251" ht="20.25" customHeight="1">
      <c r="A3" s="3711" t="s">
        <v>0</v>
      </c>
      <c r="B3" s="321"/>
      <c r="C3" s="381"/>
      <c r="D3" s="381"/>
      <c r="E3" s="381"/>
      <c r="F3" s="381"/>
      <c r="G3" s="381"/>
      <c r="H3" s="381"/>
      <c r="I3" s="381"/>
      <c r="J3" s="381"/>
      <c r="K3" s="381"/>
      <c r="L3" s="381"/>
      <c r="M3" s="381"/>
      <c r="N3" s="381"/>
      <c r="O3" s="381"/>
      <c r="P3" s="381"/>
      <c r="Q3" s="381"/>
      <c r="R3" s="381"/>
      <c r="S3" s="381"/>
      <c r="T3" s="381"/>
      <c r="U3" s="381"/>
      <c r="V3" s="381"/>
      <c r="W3" s="381"/>
      <c r="X3" s="3369"/>
      <c r="Y3" s="3369"/>
      <c r="Z3" s="3369"/>
      <c r="AA3" s="3369"/>
      <c r="AB3" s="3369"/>
      <c r="AC3" s="3369"/>
      <c r="AD3" s="3369"/>
      <c r="AE3" s="107"/>
      <c r="AI3" s="270" t="s">
        <v>224</v>
      </c>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row>
    <row r="4" spans="1:251" ht="22.5" customHeight="1">
      <c r="A4" s="3711" t="s">
        <v>222</v>
      </c>
      <c r="B4" s="321"/>
      <c r="C4" s="381"/>
      <c r="D4" s="381"/>
      <c r="E4" s="381"/>
      <c r="F4" s="381"/>
      <c r="G4" s="381"/>
      <c r="H4" s="321" t="s">
        <v>15</v>
      </c>
      <c r="I4" s="381"/>
      <c r="J4" s="381"/>
      <c r="K4" s="381"/>
      <c r="L4" s="381"/>
      <c r="M4" s="381"/>
      <c r="N4" s="381"/>
      <c r="O4" s="381"/>
      <c r="P4" s="381"/>
      <c r="Q4" s="381"/>
      <c r="R4" s="381"/>
      <c r="S4" s="381"/>
      <c r="T4" s="381"/>
      <c r="U4" s="381"/>
      <c r="V4" s="381"/>
      <c r="W4" s="381"/>
      <c r="X4" s="3369" t="s">
        <v>15</v>
      </c>
      <c r="Y4" s="3369"/>
      <c r="Z4" s="3369"/>
      <c r="AA4" s="3369"/>
      <c r="AB4" s="3369"/>
      <c r="AC4" s="3369"/>
      <c r="AD4" s="3369"/>
      <c r="AE4" s="107"/>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row>
    <row r="5" spans="1:251" ht="20.25" customHeight="1">
      <c r="A5" s="3711" t="s">
        <v>223</v>
      </c>
      <c r="B5" s="321"/>
      <c r="C5" s="381"/>
      <c r="D5" s="381"/>
      <c r="E5" s="381"/>
      <c r="F5" s="381"/>
      <c r="G5" s="381"/>
      <c r="H5" s="381"/>
      <c r="I5" s="381"/>
      <c r="J5" s="381"/>
      <c r="K5" s="381"/>
      <c r="L5" s="381"/>
      <c r="M5" s="381"/>
      <c r="N5" s="381"/>
      <c r="O5" s="381"/>
      <c r="P5" s="381"/>
      <c r="Q5" s="381"/>
      <c r="R5" s="381"/>
      <c r="S5" s="381"/>
      <c r="T5" s="381"/>
      <c r="U5" s="381"/>
      <c r="V5" s="381"/>
      <c r="W5" s="381"/>
      <c r="X5" s="3369"/>
      <c r="Y5" s="3369"/>
      <c r="Z5" s="3369"/>
      <c r="AB5" s="3370"/>
      <c r="AC5" s="3370"/>
      <c r="AD5" s="3370"/>
      <c r="AE5" s="3348"/>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row>
    <row r="6" spans="1:251" ht="20.25" customHeight="1">
      <c r="A6" s="3712" t="str">
        <f>'Cashflow Governmental'!A6</f>
        <v xml:space="preserve">FISCAL YEAR 2019-2020   </v>
      </c>
      <c r="B6" s="321"/>
      <c r="C6" s="381"/>
      <c r="D6" s="381"/>
      <c r="E6" s="381"/>
      <c r="F6" s="381"/>
      <c r="G6" s="381"/>
      <c r="H6" s="381"/>
      <c r="I6" s="381"/>
      <c r="J6" s="381"/>
      <c r="K6" s="381"/>
      <c r="L6" s="381"/>
      <c r="M6" s="381"/>
      <c r="N6" s="381"/>
      <c r="O6" s="381"/>
      <c r="P6" s="381"/>
      <c r="Q6" s="381"/>
      <c r="R6" s="381"/>
      <c r="S6" s="381"/>
      <c r="T6" s="381"/>
      <c r="U6" s="381"/>
      <c r="V6" s="381"/>
      <c r="W6" s="381"/>
      <c r="X6" s="3369"/>
      <c r="Y6" s="3369"/>
      <c r="Z6" s="3369"/>
      <c r="AA6" s="3369"/>
      <c r="AB6" s="3369"/>
      <c r="AC6" s="3369"/>
      <c r="AD6" s="3369"/>
      <c r="AE6" s="107"/>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row>
    <row r="7" spans="1:251" ht="20.25" customHeight="1">
      <c r="A7" s="3711" t="s">
        <v>1416</v>
      </c>
      <c r="B7" s="321"/>
      <c r="C7" s="381"/>
      <c r="D7" s="381"/>
      <c r="E7" s="381"/>
      <c r="F7" s="381"/>
      <c r="G7" s="381"/>
      <c r="H7" s="381"/>
      <c r="I7" s="381"/>
      <c r="J7" s="381"/>
      <c r="K7" s="381"/>
      <c r="L7" s="381"/>
      <c r="M7" s="381"/>
      <c r="N7" s="381"/>
      <c r="O7" s="381"/>
      <c r="P7" s="381"/>
      <c r="Q7" s="381"/>
      <c r="R7" s="381"/>
      <c r="S7" s="381"/>
      <c r="T7" s="381"/>
      <c r="U7" s="381"/>
      <c r="V7" s="381"/>
      <c r="W7" s="381"/>
      <c r="X7" s="3369"/>
      <c r="Y7" s="3369"/>
      <c r="Z7" s="3369"/>
      <c r="AA7" s="3369"/>
      <c r="AB7" s="3369"/>
      <c r="AC7" s="3369"/>
      <c r="AD7" s="3369"/>
      <c r="AE7" s="107"/>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row>
    <row r="8" spans="1:251" ht="16.5" customHeight="1">
      <c r="L8" s="2164"/>
      <c r="AE8" s="107"/>
    </row>
    <row r="9" spans="1:251" ht="16.5" customHeight="1">
      <c r="A9" s="382"/>
      <c r="B9" s="217"/>
      <c r="C9" s="217"/>
      <c r="D9" s="217"/>
      <c r="E9" s="217"/>
      <c r="F9" s="217"/>
      <c r="G9" s="217"/>
      <c r="H9" s="266"/>
      <c r="I9" s="266"/>
      <c r="J9" s="266"/>
      <c r="K9" s="217"/>
      <c r="L9" s="217"/>
      <c r="M9" s="217"/>
      <c r="N9" s="217"/>
      <c r="O9" s="217"/>
      <c r="P9" s="217"/>
      <c r="Q9" s="217"/>
      <c r="R9" s="217"/>
      <c r="S9" s="217"/>
      <c r="T9" s="217"/>
      <c r="U9" s="217"/>
      <c r="V9" s="217"/>
      <c r="W9" s="217"/>
      <c r="X9" s="3371"/>
      <c r="Y9" s="3371"/>
      <c r="Z9" s="3371"/>
      <c r="AA9" s="3371"/>
      <c r="AB9" s="3371"/>
      <c r="AC9" s="3371"/>
      <c r="AD9" s="3371"/>
      <c r="AE9" s="1102"/>
      <c r="AF9" s="3349"/>
      <c r="AG9" s="3349"/>
      <c r="AH9" s="1148"/>
      <c r="AI9" s="1148"/>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372"/>
      <c r="Y10" s="3372"/>
      <c r="Z10" s="3373"/>
      <c r="AA10" s="3936" t="s">
        <v>1594</v>
      </c>
      <c r="AB10" s="3937"/>
      <c r="AC10" s="3937"/>
      <c r="AD10" s="3937"/>
      <c r="AE10" s="3937"/>
      <c r="AF10" s="3937"/>
      <c r="AG10" s="3937"/>
      <c r="AH10" s="3937"/>
      <c r="AI10" s="3937"/>
    </row>
    <row r="11" spans="1:251" ht="16.5" customHeight="1">
      <c r="A11" s="245"/>
      <c r="B11" s="779" t="str">
        <f>'Cashflow Governmental'!C13</f>
        <v>2019</v>
      </c>
      <c r="C11" s="249"/>
      <c r="D11" s="249"/>
      <c r="E11" s="249"/>
      <c r="F11" s="249"/>
      <c r="G11" s="249"/>
      <c r="H11" s="249"/>
      <c r="I11" s="249"/>
      <c r="J11" s="249"/>
      <c r="K11" s="249"/>
      <c r="L11" s="249"/>
      <c r="M11" s="249"/>
      <c r="N11" s="249"/>
      <c r="O11" s="249"/>
      <c r="P11" s="249"/>
      <c r="Q11" s="249"/>
      <c r="R11" s="249"/>
      <c r="S11" s="249"/>
      <c r="T11" s="779" t="str">
        <f>'Cashflow Governmental'!U13</f>
        <v>2020</v>
      </c>
      <c r="U11" s="249"/>
      <c r="V11" s="249"/>
      <c r="W11" s="249"/>
      <c r="X11" s="1693"/>
      <c r="Y11" s="1693"/>
      <c r="Z11" s="3373"/>
      <c r="AA11" s="3373"/>
      <c r="AB11" s="3373"/>
      <c r="AC11" s="3373"/>
      <c r="AD11" s="3373"/>
      <c r="AE11" s="3351"/>
      <c r="AF11" s="3352"/>
      <c r="AG11" s="3355" t="s">
        <v>8</v>
      </c>
      <c r="AH11" s="1150"/>
      <c r="AI11" s="1151" t="s">
        <v>9</v>
      </c>
    </row>
    <row r="12" spans="1:251" ht="16.5" customHeight="1">
      <c r="A12" s="245"/>
      <c r="B12" s="781" t="s">
        <v>125</v>
      </c>
      <c r="C12" s="249"/>
      <c r="D12" s="781" t="s">
        <v>126</v>
      </c>
      <c r="E12" s="249"/>
      <c r="F12" s="781" t="s">
        <v>127</v>
      </c>
      <c r="G12" s="249"/>
      <c r="H12" s="781" t="s">
        <v>128</v>
      </c>
      <c r="I12" s="249"/>
      <c r="J12" s="781" t="s">
        <v>129</v>
      </c>
      <c r="K12" s="249"/>
      <c r="L12" s="779" t="s">
        <v>144</v>
      </c>
      <c r="M12" s="249"/>
      <c r="N12" s="779" t="s">
        <v>145</v>
      </c>
      <c r="O12" s="249"/>
      <c r="P12" s="781" t="s">
        <v>132</v>
      </c>
      <c r="Q12" s="249"/>
      <c r="R12" s="781" t="s">
        <v>133</v>
      </c>
      <c r="S12" s="249"/>
      <c r="T12" s="781" t="s">
        <v>134</v>
      </c>
      <c r="U12" s="249"/>
      <c r="V12" s="781" t="s">
        <v>135</v>
      </c>
      <c r="W12" s="249"/>
      <c r="X12" s="3374" t="s">
        <v>186</v>
      </c>
      <c r="Y12" s="1693"/>
      <c r="Z12" s="1693"/>
      <c r="AA12" s="3375">
        <f>'Cashflow Governmental'!AB14</f>
        <v>2020</v>
      </c>
      <c r="AB12" s="1693" t="s">
        <v>15</v>
      </c>
      <c r="AC12" s="1693"/>
      <c r="AD12" s="3375">
        <f>'Cashflow Governmental'!AE14</f>
        <v>2019</v>
      </c>
      <c r="AE12" s="3390"/>
      <c r="AF12" s="3391"/>
      <c r="AG12" s="3358" t="s">
        <v>12</v>
      </c>
      <c r="AH12" s="1153"/>
      <c r="AI12" s="1152" t="s">
        <v>13</v>
      </c>
    </row>
    <row r="13" spans="1:251" ht="4.5" customHeight="1">
      <c r="A13" s="245"/>
      <c r="B13" s="383"/>
      <c r="C13" s="245"/>
      <c r="D13" s="383"/>
      <c r="E13" s="245"/>
      <c r="F13" s="383"/>
      <c r="G13" s="245"/>
      <c r="H13" s="383"/>
      <c r="I13" s="245"/>
      <c r="J13" s="383"/>
      <c r="K13" s="245"/>
      <c r="L13" s="383"/>
      <c r="M13" s="245"/>
      <c r="N13" s="383"/>
      <c r="O13" s="245"/>
      <c r="P13" s="383"/>
      <c r="Q13" s="245"/>
      <c r="R13" s="383"/>
      <c r="S13" s="245"/>
      <c r="T13" s="383"/>
      <c r="U13" s="245"/>
      <c r="V13" s="383"/>
      <c r="W13" s="245"/>
      <c r="X13" s="3376"/>
      <c r="Y13" s="3377"/>
      <c r="Z13" s="3377"/>
      <c r="AA13" s="3376"/>
      <c r="AB13" s="3377"/>
      <c r="AC13" s="3377"/>
      <c r="AD13" s="3376"/>
      <c r="AE13" s="3353"/>
      <c r="AF13" s="1700"/>
    </row>
    <row r="14" spans="1:251" ht="16.5" customHeight="1">
      <c r="A14" s="322" t="s">
        <v>137</v>
      </c>
      <c r="B14" s="2189">
        <v>-302.7</v>
      </c>
      <c r="C14" s="384"/>
      <c r="D14" s="384">
        <f>B50</f>
        <v>-293.39999999999998</v>
      </c>
      <c r="E14" s="384"/>
      <c r="F14" s="384">
        <f>D50</f>
        <v>-318.60000000000002</v>
      </c>
      <c r="G14" s="384"/>
      <c r="H14" s="384">
        <f>F50</f>
        <v>-293.7</v>
      </c>
      <c r="I14" s="384" t="s">
        <v>15</v>
      </c>
      <c r="J14" s="384">
        <f>H50</f>
        <v>-284.39999999999998</v>
      </c>
      <c r="K14" s="384"/>
      <c r="L14" s="384">
        <f>J50</f>
        <v>-296.5</v>
      </c>
      <c r="M14" s="384"/>
      <c r="N14" s="384">
        <f>L50</f>
        <v>-278.3</v>
      </c>
      <c r="O14" s="384"/>
      <c r="P14" s="384">
        <f>N50</f>
        <v>-288.7</v>
      </c>
      <c r="Q14" s="384"/>
      <c r="R14" s="384">
        <f>P50</f>
        <v>-290.7</v>
      </c>
      <c r="S14" s="384"/>
      <c r="T14" s="384">
        <f>R50</f>
        <v>-291.3</v>
      </c>
      <c r="U14" s="384"/>
      <c r="V14" s="384">
        <f>T50</f>
        <v>-264.39999999999998</v>
      </c>
      <c r="W14" s="384"/>
      <c r="X14" s="1695" t="s">
        <v>15</v>
      </c>
      <c r="Y14" s="1695"/>
      <c r="Z14" s="3378"/>
      <c r="AA14" s="1695">
        <f>B14</f>
        <v>-302.7</v>
      </c>
      <c r="AB14" s="3379"/>
      <c r="AC14" s="2257"/>
      <c r="AD14" s="2189">
        <v>-269.2</v>
      </c>
      <c r="AE14" s="3356"/>
      <c r="AF14" s="3392"/>
      <c r="AG14" s="1701">
        <f>ROUND(SUM(AA14-AD14),1)</f>
        <v>-33.5</v>
      </c>
      <c r="AI14" s="1395">
        <f>-ROUND(IF(AG14=0,0,AG14/(AD14)),3)</f>
        <v>-0.124</v>
      </c>
    </row>
    <row r="15" spans="1:251" ht="16.5" customHeight="1">
      <c r="A15" s="149"/>
      <c r="B15" s="386"/>
      <c r="C15" s="386"/>
      <c r="D15" s="386"/>
      <c r="E15" s="386"/>
      <c r="F15" s="386"/>
      <c r="G15" s="386"/>
      <c r="H15" s="386"/>
      <c r="I15" s="386"/>
      <c r="J15" s="386"/>
      <c r="K15" s="386"/>
      <c r="L15" s="386"/>
      <c r="M15" s="386"/>
      <c r="N15" s="386"/>
      <c r="O15" s="386"/>
      <c r="P15" s="386"/>
      <c r="Q15" s="386"/>
      <c r="R15" s="386"/>
      <c r="S15" s="386"/>
      <c r="T15" s="386"/>
      <c r="U15" s="386"/>
      <c r="V15" s="386"/>
      <c r="W15" s="386"/>
      <c r="X15" s="3356"/>
      <c r="Y15" s="3356"/>
      <c r="Z15" s="3380"/>
      <c r="AA15" s="3356"/>
      <c r="AB15" s="3381"/>
      <c r="AC15" s="3382"/>
      <c r="AD15" s="3356"/>
      <c r="AE15" s="3356"/>
      <c r="AF15" s="3392"/>
      <c r="AG15" s="3361"/>
      <c r="AI15" s="1147"/>
    </row>
    <row r="16" spans="1:251" ht="16.5" customHeight="1">
      <c r="A16" s="249" t="s">
        <v>14</v>
      </c>
      <c r="B16" s="386"/>
      <c r="C16" s="386"/>
      <c r="D16" s="386"/>
      <c r="E16" s="386"/>
      <c r="F16" s="386"/>
      <c r="G16" s="386"/>
      <c r="H16" s="386"/>
      <c r="I16" s="386"/>
      <c r="J16" s="386"/>
      <c r="K16" s="386"/>
      <c r="L16" s="386"/>
      <c r="M16" s="386"/>
      <c r="N16" s="386"/>
      <c r="O16" s="386"/>
      <c r="P16" s="386"/>
      <c r="Q16" s="386"/>
      <c r="R16" s="386"/>
      <c r="S16" s="386"/>
      <c r="T16" s="386"/>
      <c r="U16" s="386"/>
      <c r="V16" s="386"/>
      <c r="W16" s="386"/>
      <c r="X16" s="3356"/>
      <c r="Y16" s="3356"/>
      <c r="Z16" s="3380"/>
      <c r="AA16" s="3356"/>
      <c r="AB16" s="3381"/>
      <c r="AC16" s="3382"/>
      <c r="AD16" s="3356"/>
      <c r="AE16" s="1728"/>
      <c r="AF16" s="1712"/>
      <c r="AG16" s="1729"/>
      <c r="AI16" s="1161"/>
    </row>
    <row r="17" spans="1:36" s="1102" customFormat="1" ht="16.5" customHeight="1">
      <c r="A17" s="193" t="s">
        <v>179</v>
      </c>
      <c r="B17" s="237">
        <v>33.200000000000003</v>
      </c>
      <c r="C17" s="237"/>
      <c r="D17" s="237">
        <v>32.5</v>
      </c>
      <c r="E17" s="237"/>
      <c r="F17" s="237">
        <v>42.3</v>
      </c>
      <c r="G17" s="237"/>
      <c r="H17" s="237">
        <v>56.59999999999998</v>
      </c>
      <c r="I17" s="1617"/>
      <c r="J17" s="237">
        <v>37.900000000000034</v>
      </c>
      <c r="K17" s="1617"/>
      <c r="L17" s="237">
        <v>61.699999999999974</v>
      </c>
      <c r="M17" s="1617"/>
      <c r="N17" s="1614">
        <v>43.400000000000048</v>
      </c>
      <c r="O17" s="1617"/>
      <c r="P17" s="1614">
        <v>57</v>
      </c>
      <c r="Q17" s="1617"/>
      <c r="R17" s="1614">
        <v>41.899999999999963</v>
      </c>
      <c r="S17" s="1617"/>
      <c r="T17" s="1614">
        <v>62.300000000000026</v>
      </c>
      <c r="U17" s="1617"/>
      <c r="V17" s="1614">
        <f>$AA17-$B17-$D17-$F17-$H17-$J17-$L17-$N17-$P17-$R17-$T17</f>
        <v>56.800000000000011</v>
      </c>
      <c r="W17" s="1617"/>
      <c r="X17" s="1614"/>
      <c r="Y17" s="1617"/>
      <c r="Z17" s="1739"/>
      <c r="AA17" s="3383">
        <v>525.6</v>
      </c>
      <c r="AB17" s="3384"/>
      <c r="AC17" s="1713"/>
      <c r="AD17" s="3383">
        <v>442.1</v>
      </c>
      <c r="AE17" s="1740"/>
      <c r="AF17" s="1712"/>
      <c r="AG17" s="1741">
        <f>ROUND(SUM(AA17-AD17),1)</f>
        <v>83.5</v>
      </c>
      <c r="AH17" s="1702"/>
      <c r="AI17" s="1742">
        <f>ROUND(IF(AG17=0,0,AG17/ABS(AD17)),3)</f>
        <v>0.189</v>
      </c>
    </row>
    <row r="18" spans="1:36" ht="16.5" customHeight="1">
      <c r="A18" s="149"/>
      <c r="B18" s="388"/>
      <c r="C18" s="237"/>
      <c r="D18" s="388"/>
      <c r="E18" s="237"/>
      <c r="F18" s="388"/>
      <c r="G18" s="237"/>
      <c r="H18" s="388"/>
      <c r="I18" s="237"/>
      <c r="J18" s="388"/>
      <c r="K18" s="237"/>
      <c r="L18" s="388"/>
      <c r="M18" s="237"/>
      <c r="N18" s="388"/>
      <c r="O18" s="237"/>
      <c r="P18" s="388"/>
      <c r="Q18" s="237"/>
      <c r="R18" s="388"/>
      <c r="S18" s="237"/>
      <c r="T18" s="388"/>
      <c r="U18" s="237"/>
      <c r="V18" s="388"/>
      <c r="W18" s="237"/>
      <c r="X18" s="2250"/>
      <c r="Y18" s="1617"/>
      <c r="Z18" s="1739"/>
      <c r="AA18" s="1035"/>
      <c r="AB18" s="3384"/>
      <c r="AC18" s="1713"/>
      <c r="AD18" s="1035"/>
      <c r="AE18" s="1713"/>
      <c r="AF18" s="1712"/>
      <c r="AG18" s="1729"/>
      <c r="AI18" s="1147"/>
    </row>
    <row r="19" spans="1:36" ht="16.5" customHeight="1">
      <c r="A19" s="249" t="s">
        <v>151</v>
      </c>
      <c r="B19" s="389">
        <f>ROUND(SUM(B17),1)</f>
        <v>33.200000000000003</v>
      </c>
      <c r="C19" s="389"/>
      <c r="D19" s="389">
        <f>ROUND(SUM(D17),1)</f>
        <v>32.5</v>
      </c>
      <c r="E19" s="389"/>
      <c r="F19" s="389">
        <f>ROUND(SUM(F17),1)</f>
        <v>42.3</v>
      </c>
      <c r="G19" s="389"/>
      <c r="H19" s="389">
        <f>ROUND(SUM(H17),1)</f>
        <v>56.6</v>
      </c>
      <c r="I19" s="389"/>
      <c r="J19" s="389">
        <f>ROUND(SUM(J17),1)</f>
        <v>37.9</v>
      </c>
      <c r="K19" s="389"/>
      <c r="L19" s="389">
        <f>ROUND(SUM(L17),1)</f>
        <v>61.7</v>
      </c>
      <c r="M19" s="389"/>
      <c r="N19" s="389">
        <f>ROUND(SUM(N17),1)</f>
        <v>43.4</v>
      </c>
      <c r="O19" s="389"/>
      <c r="P19" s="389">
        <f>ROUND(SUM(P17),1)</f>
        <v>57</v>
      </c>
      <c r="Q19" s="389"/>
      <c r="R19" s="389">
        <f>ROUND(SUM(R17),1)</f>
        <v>41.9</v>
      </c>
      <c r="S19" s="389"/>
      <c r="T19" s="389">
        <f>ROUND(SUM(T17),1)</f>
        <v>62.3</v>
      </c>
      <c r="U19" s="389"/>
      <c r="V19" s="389">
        <f>ROUND(SUM(V17),1)</f>
        <v>56.8</v>
      </c>
      <c r="W19" s="389"/>
      <c r="X19" s="2252">
        <f>ROUND(SUM(X17),1)</f>
        <v>0</v>
      </c>
      <c r="Y19" s="2252"/>
      <c r="Z19" s="2253"/>
      <c r="AA19" s="2252">
        <f>ROUND(SUM(AA17),1)</f>
        <v>525.6</v>
      </c>
      <c r="AB19" s="3385"/>
      <c r="AC19" s="3386"/>
      <c r="AD19" s="2252">
        <f>ROUND(SUM(AD17),1)</f>
        <v>442.1</v>
      </c>
      <c r="AE19" s="1617"/>
      <c r="AF19" s="1712"/>
      <c r="AG19" s="3365">
        <f>ROUND(SUM(AG17),1)</f>
        <v>83.5</v>
      </c>
      <c r="AH19" s="1159"/>
      <c r="AI19" s="1160">
        <f>ROUND(IF(AG19=0,0,AG19/ABS(AD19)),3)</f>
        <v>0.189</v>
      </c>
    </row>
    <row r="20" spans="1:36" ht="16.5" customHeight="1">
      <c r="A20" s="149"/>
      <c r="B20" s="388"/>
      <c r="C20" s="237"/>
      <c r="D20" s="388"/>
      <c r="E20" s="237"/>
      <c r="F20" s="388"/>
      <c r="G20" s="237"/>
      <c r="H20" s="388"/>
      <c r="I20" s="237"/>
      <c r="J20" s="388"/>
      <c r="K20" s="237"/>
      <c r="L20" s="388"/>
      <c r="M20" s="237"/>
      <c r="N20" s="388"/>
      <c r="O20" s="237"/>
      <c r="P20" s="388"/>
      <c r="Q20" s="237"/>
      <c r="R20" s="388"/>
      <c r="S20" s="237"/>
      <c r="T20" s="388"/>
      <c r="U20" s="237"/>
      <c r="V20" s="388"/>
      <c r="W20" s="237"/>
      <c r="X20" s="2250"/>
      <c r="Y20" s="1617"/>
      <c r="Z20" s="1739"/>
      <c r="AA20" s="2250"/>
      <c r="AB20" s="3384"/>
      <c r="AC20" s="1713"/>
      <c r="AD20" s="2250"/>
      <c r="AE20" s="1617"/>
      <c r="AF20" s="1712"/>
      <c r="AG20" s="1729"/>
      <c r="AI20" s="1147"/>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17"/>
      <c r="Y21" s="1617"/>
      <c r="Z21" s="1739"/>
      <c r="AA21" s="1617"/>
      <c r="AB21" s="3384"/>
      <c r="AC21" s="1713"/>
      <c r="AD21" s="1617"/>
      <c r="AE21" s="1715"/>
      <c r="AF21" s="1718"/>
      <c r="AG21" s="1729"/>
      <c r="AI21" s="1147"/>
    </row>
    <row r="22" spans="1:36"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17"/>
      <c r="Y22" s="1617"/>
      <c r="Z22" s="1739"/>
      <c r="AA22" s="1617"/>
      <c r="AB22" s="3384"/>
      <c r="AC22" s="1713"/>
      <c r="AD22" s="1617"/>
      <c r="AE22" s="1614"/>
      <c r="AF22" s="1718"/>
      <c r="AG22" s="1729"/>
      <c r="AI22" s="1161"/>
    </row>
    <row r="23" spans="1:36"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17"/>
      <c r="Y23" s="1617"/>
      <c r="Z23" s="1739"/>
      <c r="AA23" s="1617"/>
      <c r="AB23" s="3384"/>
      <c r="AC23" s="1713"/>
      <c r="AD23" s="1617"/>
      <c r="AE23" s="1715"/>
      <c r="AF23" s="1718"/>
      <c r="AG23" s="1729"/>
      <c r="AH23" s="1162"/>
      <c r="AI23" s="1161"/>
    </row>
    <row r="24" spans="1:36"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17"/>
      <c r="Y24" s="1617"/>
      <c r="Z24" s="1739"/>
      <c r="AA24" s="1715"/>
      <c r="AB24" s="3384"/>
      <c r="AC24" s="1713"/>
      <c r="AD24" s="1715"/>
      <c r="AE24" s="2248"/>
      <c r="AF24" s="1718"/>
      <c r="AG24" s="1729"/>
      <c r="AI24" s="1161"/>
    </row>
    <row r="25" spans="1:36" ht="16.5" customHeight="1">
      <c r="A25" s="149" t="s">
        <v>220</v>
      </c>
      <c r="B25" s="237">
        <v>9.6999999999999993</v>
      </c>
      <c r="C25" s="237"/>
      <c r="D25" s="237">
        <v>14</v>
      </c>
      <c r="E25" s="237"/>
      <c r="F25" s="237">
        <v>9.5999999999999979</v>
      </c>
      <c r="G25" s="237"/>
      <c r="H25" s="237">
        <v>9.6999999999999993</v>
      </c>
      <c r="I25" s="1617"/>
      <c r="J25" s="237">
        <v>9.9000000000000057</v>
      </c>
      <c r="K25" s="1617"/>
      <c r="L25" s="237">
        <v>9.5999999999999943</v>
      </c>
      <c r="M25" s="1617"/>
      <c r="N25" s="1614">
        <v>14</v>
      </c>
      <c r="O25" s="1617"/>
      <c r="P25" s="1614">
        <v>9.5999999999999943</v>
      </c>
      <c r="Q25" s="1617"/>
      <c r="R25" s="1614">
        <v>9.5</v>
      </c>
      <c r="S25" s="1617"/>
      <c r="T25" s="1614">
        <v>10.700000000000003</v>
      </c>
      <c r="U25" s="1617"/>
      <c r="V25" s="1614">
        <f>$AA25-$B25-$D25-$F25-$H25-$J25-$L25-$N25-$P25-$R25-$T25</f>
        <v>8.7999999999999972</v>
      </c>
      <c r="W25" s="1617"/>
      <c r="X25" s="1614"/>
      <c r="Y25" s="1617"/>
      <c r="Z25" s="1739"/>
      <c r="AA25" s="1614">
        <v>115.1</v>
      </c>
      <c r="AB25" s="3384"/>
      <c r="AC25" s="1713"/>
      <c r="AD25" s="1614">
        <v>94.7</v>
      </c>
      <c r="AE25" s="2249"/>
      <c r="AF25" s="1718"/>
      <c r="AG25" s="1729">
        <f>ROUND(SUM(AA25-AD25),1)</f>
        <v>20.399999999999999</v>
      </c>
      <c r="AI25" s="1163">
        <f>ROUND(IF(AG25=0,0,AG25/ABS(AD25)),3)</f>
        <v>0.215</v>
      </c>
    </row>
    <row r="26" spans="1:36" ht="16.5" customHeight="1">
      <c r="A26" s="149" t="s">
        <v>180</v>
      </c>
      <c r="B26" s="237">
        <v>24.4</v>
      </c>
      <c r="C26" s="237"/>
      <c r="D26" s="237">
        <v>56.300000000000004</v>
      </c>
      <c r="E26" s="237"/>
      <c r="F26" s="237">
        <v>5.8999999999999915</v>
      </c>
      <c r="G26" s="237"/>
      <c r="H26" s="237">
        <v>34.70000000000001</v>
      </c>
      <c r="I26" s="1617"/>
      <c r="J26" s="237">
        <v>36.4</v>
      </c>
      <c r="K26" s="1617"/>
      <c r="L26" s="237">
        <v>34.1</v>
      </c>
      <c r="M26" s="1617"/>
      <c r="N26" s="1614">
        <v>41.799999999999976</v>
      </c>
      <c r="O26" s="1617"/>
      <c r="P26" s="1614">
        <v>48.10000000000003</v>
      </c>
      <c r="Q26" s="1617"/>
      <c r="R26" s="1614">
        <v>29.699999999999982</v>
      </c>
      <c r="S26" s="1617"/>
      <c r="T26" s="1614">
        <v>28.100000000000023</v>
      </c>
      <c r="U26" s="1617"/>
      <c r="V26" s="1614">
        <f>$AA26-$B26-$D26-$F26-$H26-$J26-$L26-$N26-$P26-$R26-$T26</f>
        <v>70.500000000000028</v>
      </c>
      <c r="W26" s="1617"/>
      <c r="X26" s="1614"/>
      <c r="Y26" s="1617"/>
      <c r="Z26" s="1739"/>
      <c r="AA26" s="1614">
        <v>410</v>
      </c>
      <c r="AB26" s="3384"/>
      <c r="AC26" s="1713"/>
      <c r="AD26" s="1614">
        <v>402.5</v>
      </c>
      <c r="AE26" s="1713"/>
      <c r="AF26" s="1712"/>
      <c r="AG26" s="1729">
        <f>ROUND(SUM(AA26-AD26),1)</f>
        <v>7.5</v>
      </c>
      <c r="AI26" s="1163">
        <f>ROUND(IF(AG26=0,0,AG26/ABS(AD26)),3)</f>
        <v>1.9E-2</v>
      </c>
      <c r="AJ26" s="3725"/>
    </row>
    <row r="27" spans="1:36" ht="16.5" customHeight="1">
      <c r="A27" s="149" t="s">
        <v>156</v>
      </c>
      <c r="B27" s="237">
        <v>4.0999999999999996</v>
      </c>
      <c r="C27" s="237"/>
      <c r="D27" s="237">
        <v>4.9000000000000004</v>
      </c>
      <c r="E27" s="237"/>
      <c r="F27" s="237">
        <v>6.6</v>
      </c>
      <c r="G27" s="237"/>
      <c r="H27" s="237">
        <v>5.2000000000000028</v>
      </c>
      <c r="I27" s="1617"/>
      <c r="J27" s="237">
        <v>4.5999999999999961</v>
      </c>
      <c r="K27" s="1617"/>
      <c r="L27" s="237">
        <v>4.6000000000000014</v>
      </c>
      <c r="M27" s="1617"/>
      <c r="N27" s="1614">
        <v>1.5999999999999996</v>
      </c>
      <c r="O27" s="1617"/>
      <c r="P27" s="1614">
        <v>4.6999999999999957</v>
      </c>
      <c r="Q27" s="1617"/>
      <c r="R27" s="1614">
        <v>4.5</v>
      </c>
      <c r="S27" s="1617"/>
      <c r="T27" s="1614">
        <v>7.3000000000000043</v>
      </c>
      <c r="U27" s="1617"/>
      <c r="V27" s="1614">
        <f>$AA27-$B27-$D27-$F27-$H27-$J27-$L27-$N27-$P27-$R27-$T27</f>
        <v>4.3999999999999986</v>
      </c>
      <c r="W27" s="1617"/>
      <c r="X27" s="1614"/>
      <c r="Y27" s="1617"/>
      <c r="Z27" s="1739"/>
      <c r="AA27" s="1614">
        <v>52.5</v>
      </c>
      <c r="AB27" s="3384"/>
      <c r="AC27" s="1713"/>
      <c r="AD27" s="1614">
        <v>68.900000000000006</v>
      </c>
      <c r="AE27" s="1617"/>
      <c r="AF27" s="1712"/>
      <c r="AG27" s="1741">
        <f>ROUND(SUM(AA27-AD27),1)</f>
        <v>-16.399999999999999</v>
      </c>
      <c r="AI27" s="3728">
        <f>ROUND(IF(AD27=0,1,AG27/ABS(AD27)),3)</f>
        <v>-0.23799999999999999</v>
      </c>
      <c r="AJ27" s="3725"/>
    </row>
    <row r="28" spans="1:36" ht="16.5" customHeight="1">
      <c r="A28" s="149"/>
      <c r="B28" s="388"/>
      <c r="C28" s="237"/>
      <c r="D28" s="388"/>
      <c r="E28" s="237"/>
      <c r="F28" s="388"/>
      <c r="G28" s="237"/>
      <c r="H28" s="388"/>
      <c r="I28" s="237"/>
      <c r="J28" s="388"/>
      <c r="K28" s="237"/>
      <c r="L28" s="388"/>
      <c r="M28" s="237"/>
      <c r="N28" s="388"/>
      <c r="O28" s="237"/>
      <c r="P28" s="388"/>
      <c r="Q28" s="237"/>
      <c r="R28" s="388"/>
      <c r="S28" s="237"/>
      <c r="T28" s="388"/>
      <c r="U28" s="237"/>
      <c r="V28" s="388"/>
      <c r="W28" s="237"/>
      <c r="X28" s="2250"/>
      <c r="Y28" s="1617"/>
      <c r="Z28" s="1739"/>
      <c r="AA28" s="2250"/>
      <c r="AB28" s="3384"/>
      <c r="AC28" s="1713"/>
      <c r="AD28" s="2250"/>
      <c r="AE28" s="2251"/>
      <c r="AF28" s="1718"/>
      <c r="AG28" s="1729"/>
      <c r="AH28" s="1165"/>
      <c r="AI28" s="1161"/>
    </row>
    <row r="29" spans="1:36" ht="16.5" customHeight="1">
      <c r="A29" s="249" t="s">
        <v>157</v>
      </c>
      <c r="B29" s="389">
        <f>ROUND(SUM(B25:B28),1)</f>
        <v>38.200000000000003</v>
      </c>
      <c r="C29" s="389"/>
      <c r="D29" s="389">
        <f>ROUND(SUM(D25:D28),1)</f>
        <v>75.2</v>
      </c>
      <c r="E29" s="389"/>
      <c r="F29" s="389">
        <f>ROUND(SUM(F25:F28),1)</f>
        <v>22.1</v>
      </c>
      <c r="G29" s="389"/>
      <c r="H29" s="389">
        <f>ROUND(SUM(H25:H28),1)</f>
        <v>49.6</v>
      </c>
      <c r="I29" s="389"/>
      <c r="J29" s="389">
        <f>ROUND(SUM(J25:J28),1)</f>
        <v>50.9</v>
      </c>
      <c r="K29" s="389"/>
      <c r="L29" s="389">
        <f>ROUND(SUM(L25:L28),1)</f>
        <v>48.3</v>
      </c>
      <c r="M29" s="389"/>
      <c r="N29" s="389">
        <f>ROUND(SUM(N25:N28),1)</f>
        <v>57.4</v>
      </c>
      <c r="O29" s="389"/>
      <c r="P29" s="389">
        <f>ROUND(SUM(P25:P28),1)</f>
        <v>62.4</v>
      </c>
      <c r="Q29" s="389"/>
      <c r="R29" s="389">
        <f>ROUND(SUM(R25:R28),1)</f>
        <v>43.7</v>
      </c>
      <c r="S29" s="389"/>
      <c r="T29" s="389">
        <f>ROUND(SUM(T25:T28),1)</f>
        <v>46.1</v>
      </c>
      <c r="U29" s="389"/>
      <c r="V29" s="389">
        <f>ROUND(SUM(V25:V28),1)</f>
        <v>83.7</v>
      </c>
      <c r="W29" s="389">
        <f>SUM(W25:W28)</f>
        <v>0</v>
      </c>
      <c r="X29" s="2252">
        <f>ROUND(SUM(X25:X27),1)</f>
        <v>0</v>
      </c>
      <c r="Y29" s="2252"/>
      <c r="Z29" s="2253"/>
      <c r="AA29" s="2252">
        <f>ROUND(SUM(AA24:AA27),1)</f>
        <v>577.6</v>
      </c>
      <c r="AB29" s="3385"/>
      <c r="AC29" s="3386"/>
      <c r="AD29" s="2252">
        <f>ROUND(SUM(AD24:AD27),1)</f>
        <v>566.1</v>
      </c>
      <c r="AE29" s="1713"/>
      <c r="AF29" s="1723"/>
      <c r="AG29" s="3365">
        <f>ROUND(SUM(AG25:AG27),1)</f>
        <v>11.5</v>
      </c>
      <c r="AH29" s="1159"/>
      <c r="AI29" s="1160">
        <f>ROUND(IF(AG29=0,0,AG29/ABS(AD29)),3)</f>
        <v>0.02</v>
      </c>
    </row>
    <row r="30" spans="1:36" ht="16.5" customHeight="1">
      <c r="A30" s="149"/>
      <c r="B30" s="388"/>
      <c r="C30" s="237"/>
      <c r="D30" s="388"/>
      <c r="E30" s="237"/>
      <c r="F30" s="388"/>
      <c r="G30" s="237"/>
      <c r="H30" s="388"/>
      <c r="I30" s="237"/>
      <c r="J30" s="388"/>
      <c r="K30" s="237"/>
      <c r="L30" s="388"/>
      <c r="M30" s="237"/>
      <c r="N30" s="388"/>
      <c r="O30" s="237"/>
      <c r="P30" s="388"/>
      <c r="Q30" s="237"/>
      <c r="R30" s="388"/>
      <c r="S30" s="237"/>
      <c r="T30" s="388"/>
      <c r="U30" s="237"/>
      <c r="V30" s="388"/>
      <c r="W30" s="237"/>
      <c r="X30" s="2250"/>
      <c r="Y30" s="1617"/>
      <c r="Z30" s="1739"/>
      <c r="AA30" s="2250"/>
      <c r="AB30" s="3384"/>
      <c r="AC30" s="1713"/>
      <c r="AD30" s="2250"/>
      <c r="AE30" s="1617"/>
      <c r="AF30" s="1723"/>
      <c r="AG30" s="1729"/>
      <c r="AI30" s="1147"/>
    </row>
    <row r="31" spans="1:36"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17"/>
      <c r="Y31" s="1617"/>
      <c r="Z31" s="1739"/>
      <c r="AA31" s="1617"/>
      <c r="AB31" s="3384"/>
      <c r="AC31" s="1713"/>
      <c r="AD31" s="1617"/>
      <c r="AE31" s="1715"/>
      <c r="AF31" s="1722"/>
      <c r="AG31" s="1729"/>
      <c r="AH31" s="1162"/>
      <c r="AI31" s="1161"/>
    </row>
    <row r="32" spans="1:36"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17"/>
      <c r="Y32" s="1617"/>
      <c r="Z32" s="1739"/>
      <c r="AA32" s="1617"/>
      <c r="AB32" s="3384"/>
      <c r="AC32" s="1713"/>
      <c r="AD32" s="1617"/>
      <c r="AE32" s="1715"/>
      <c r="AF32" s="1723"/>
      <c r="AG32" s="1729"/>
      <c r="AH32" s="1162"/>
      <c r="AI32" s="1161"/>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17"/>
      <c r="Y33" s="1617"/>
      <c r="Z33" s="1739"/>
      <c r="AA33" s="1617"/>
      <c r="AB33" s="3384"/>
      <c r="AC33" s="1713"/>
      <c r="AD33" s="1617"/>
      <c r="AE33" s="2254"/>
      <c r="AF33" s="1722"/>
      <c r="AG33" s="1729"/>
      <c r="AH33" s="1162"/>
      <c r="AI33" s="1161"/>
    </row>
    <row r="34" spans="1:35" ht="16.5" customHeight="1">
      <c r="A34" s="249" t="s">
        <v>45</v>
      </c>
      <c r="B34" s="389">
        <f>ROUND(B19-B29,1)</f>
        <v>-5</v>
      </c>
      <c r="C34" s="389"/>
      <c r="D34" s="389">
        <f>ROUND(D19-D29,1)</f>
        <v>-42.7</v>
      </c>
      <c r="E34" s="389"/>
      <c r="F34" s="389">
        <f>ROUND(F19-F29,1)</f>
        <v>20.2</v>
      </c>
      <c r="G34" s="389"/>
      <c r="H34" s="389">
        <f>ROUND(H19-H29,1)</f>
        <v>7</v>
      </c>
      <c r="I34" s="389"/>
      <c r="J34" s="389">
        <f>ROUND(J19-J29,1)</f>
        <v>-13</v>
      </c>
      <c r="K34" s="389"/>
      <c r="L34" s="389">
        <f>ROUND(L19-L29,1)</f>
        <v>13.4</v>
      </c>
      <c r="M34" s="389"/>
      <c r="N34" s="389">
        <f>ROUND(N19-N29,1)</f>
        <v>-14</v>
      </c>
      <c r="O34" s="389"/>
      <c r="P34" s="389">
        <f>ROUND(P19-P29,1)</f>
        <v>-5.4</v>
      </c>
      <c r="Q34" s="389"/>
      <c r="R34" s="389">
        <f>ROUND(R19-R29,1)</f>
        <v>-1.8</v>
      </c>
      <c r="S34" s="389"/>
      <c r="T34" s="389">
        <f>ROUND(T19-T29,1)</f>
        <v>16.2</v>
      </c>
      <c r="U34" s="389"/>
      <c r="V34" s="389">
        <f>ROUND(V19-V29,1)</f>
        <v>-26.9</v>
      </c>
      <c r="W34" s="389"/>
      <c r="X34" s="2252">
        <f>ROUND(X19-X29,1)</f>
        <v>0</v>
      </c>
      <c r="Y34" s="2252"/>
      <c r="Z34" s="2253"/>
      <c r="AA34" s="2252">
        <f>ROUND(AA19-AA29,1)</f>
        <v>-52</v>
      </c>
      <c r="AB34" s="3385"/>
      <c r="AC34" s="3386"/>
      <c r="AD34" s="2252">
        <f>ROUND(AD19-AD29,1)</f>
        <v>-124</v>
      </c>
      <c r="AE34" s="1713"/>
      <c r="AF34" s="1712"/>
      <c r="AG34" s="3365">
        <f>ROUND(SUM(AG19-AG29),1)</f>
        <v>72</v>
      </c>
      <c r="AH34" s="1159"/>
      <c r="AI34" s="2167">
        <f>ROUND(IF(AG34=0,0,AG34/ABS(AD34)),3)</f>
        <v>0.58099999999999996</v>
      </c>
    </row>
    <row r="35" spans="1:35" ht="16.5" customHeight="1">
      <c r="A35" s="149"/>
      <c r="B35" s="388"/>
      <c r="C35" s="237"/>
      <c r="D35" s="388"/>
      <c r="E35" s="237"/>
      <c r="F35" s="388"/>
      <c r="G35" s="237"/>
      <c r="H35" s="388"/>
      <c r="I35" s="237"/>
      <c r="J35" s="388"/>
      <c r="K35" s="237"/>
      <c r="L35" s="388"/>
      <c r="M35" s="237"/>
      <c r="N35" s="388"/>
      <c r="O35" s="237"/>
      <c r="P35" s="388"/>
      <c r="Q35" s="237"/>
      <c r="R35" s="388"/>
      <c r="S35" s="237"/>
      <c r="T35" s="388"/>
      <c r="U35" s="237"/>
      <c r="V35" s="388"/>
      <c r="W35" s="237"/>
      <c r="X35" s="2250"/>
      <c r="Y35" s="1617"/>
      <c r="Z35" s="1739"/>
      <c r="AA35" s="2250"/>
      <c r="AB35" s="3384"/>
      <c r="AC35" s="1713"/>
      <c r="AD35" s="2250"/>
      <c r="AE35" s="1617"/>
      <c r="AF35" s="1712"/>
      <c r="AG35" s="1729"/>
      <c r="AI35" s="1147"/>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17"/>
      <c r="Y36" s="1617"/>
      <c r="Z36" s="1739"/>
      <c r="AA36" s="1617"/>
      <c r="AB36" s="3384"/>
      <c r="AC36" s="1713"/>
      <c r="AD36" s="1617"/>
      <c r="AE36" s="2255"/>
      <c r="AF36" s="1750"/>
      <c r="AG36" s="1729"/>
      <c r="AI36" s="1147"/>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17"/>
      <c r="Y37" s="1617"/>
      <c r="Z37" s="1739"/>
      <c r="AA37" s="1617"/>
      <c r="AB37" s="3384"/>
      <c r="AC37" s="1713"/>
      <c r="AD37" s="1617"/>
      <c r="AE37" s="2251"/>
      <c r="AF37" s="2256"/>
      <c r="AG37" s="1729"/>
      <c r="AI37" s="1161"/>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17"/>
      <c r="Y38" s="1617"/>
      <c r="Z38" s="1739"/>
      <c r="AA38" s="1617"/>
      <c r="AB38" s="3384"/>
      <c r="AC38" s="1713"/>
      <c r="AD38" s="1617"/>
      <c r="AE38" s="2257"/>
      <c r="AF38" s="2258"/>
      <c r="AG38" s="1751"/>
      <c r="AH38" s="1166"/>
      <c r="AI38" s="1161"/>
    </row>
    <row r="39" spans="1:35" ht="16.5" customHeight="1">
      <c r="A39" s="149" t="s">
        <v>182</v>
      </c>
      <c r="B39" s="237">
        <v>14.3</v>
      </c>
      <c r="C39" s="237"/>
      <c r="D39" s="237">
        <v>17.5</v>
      </c>
      <c r="E39" s="237"/>
      <c r="F39" s="237">
        <v>4.6999999999999993</v>
      </c>
      <c r="G39" s="237"/>
      <c r="H39" s="237">
        <v>2.2999999999999972</v>
      </c>
      <c r="I39" s="1617"/>
      <c r="J39" s="237">
        <v>1.3000000000000043</v>
      </c>
      <c r="K39" s="1617"/>
      <c r="L39" s="237">
        <v>5.2999999999999972</v>
      </c>
      <c r="M39" s="1617"/>
      <c r="N39" s="1614">
        <v>3.600000000000005</v>
      </c>
      <c r="O39" s="1617"/>
      <c r="P39" s="1614">
        <v>3.5999999999999943</v>
      </c>
      <c r="Q39" s="1617"/>
      <c r="R39" s="1614">
        <v>4.4000000000000057</v>
      </c>
      <c r="S39" s="1617"/>
      <c r="T39" s="1614">
        <v>10.700000000000003</v>
      </c>
      <c r="U39" s="1617"/>
      <c r="V39" s="1614">
        <f>$AA39-$B39-$D39-$F39-$H39-$J39-$L39-$N39-$P39-$R39-$T39</f>
        <v>4.7999999999999936</v>
      </c>
      <c r="W39" s="1617"/>
      <c r="X39" s="1614"/>
      <c r="Y39" s="1617"/>
      <c r="Z39" s="1739"/>
      <c r="AA39" s="1614">
        <v>72.5</v>
      </c>
      <c r="AB39" s="3384"/>
      <c r="AC39" s="1713"/>
      <c r="AD39" s="1614">
        <v>56</v>
      </c>
      <c r="AE39" s="2259"/>
      <c r="AF39" s="1750"/>
      <c r="AG39" s="1729">
        <f>ROUND(SUM(AA39-AD39),1)</f>
        <v>16.5</v>
      </c>
      <c r="AH39" s="1162"/>
      <c r="AI39" s="1163">
        <f>ROUND(IF(AG39=0,0,AG39/ABS(AD39)),3)</f>
        <v>0.29499999999999998</v>
      </c>
    </row>
    <row r="40" spans="1:35" s="1102" customFormat="1" ht="16.5" customHeight="1">
      <c r="A40" s="193" t="s">
        <v>183</v>
      </c>
      <c r="B40" s="237">
        <v>0</v>
      </c>
      <c r="C40" s="1617"/>
      <c r="D40" s="237">
        <v>0</v>
      </c>
      <c r="E40" s="1617"/>
      <c r="F40" s="237">
        <v>0</v>
      </c>
      <c r="G40" s="1617"/>
      <c r="H40" s="237">
        <v>0</v>
      </c>
      <c r="I40" s="1617"/>
      <c r="J40" s="237">
        <v>-0.4</v>
      </c>
      <c r="K40" s="1617"/>
      <c r="L40" s="237">
        <v>-0.5</v>
      </c>
      <c r="M40" s="1617"/>
      <c r="N40" s="1614">
        <v>0</v>
      </c>
      <c r="O40" s="1617"/>
      <c r="P40" s="1614">
        <v>-0.20000000000000007</v>
      </c>
      <c r="Q40" s="1617"/>
      <c r="R40" s="1614">
        <v>-3.1999999999999997</v>
      </c>
      <c r="S40" s="1617"/>
      <c r="T40" s="1614">
        <v>0</v>
      </c>
      <c r="U40" s="1617"/>
      <c r="V40" s="1614">
        <f>$AA40-$B40-$D40-$F40-$H40-$J40-$L40-$N40-$P40-$R40-$T40</f>
        <v>0</v>
      </c>
      <c r="W40" s="1617"/>
      <c r="X40" s="1614"/>
      <c r="Y40" s="1617"/>
      <c r="Z40" s="1739"/>
      <c r="AA40" s="1614">
        <v>-4.3</v>
      </c>
      <c r="AB40" s="3384"/>
      <c r="AC40" s="1713"/>
      <c r="AD40" s="1614">
        <v>-11.1</v>
      </c>
      <c r="AE40" s="117"/>
      <c r="AF40" s="1750"/>
      <c r="AG40" s="3164">
        <f>-ROUND(SUM(AA40-AD40),1)</f>
        <v>-6.8</v>
      </c>
      <c r="AH40" s="1721"/>
      <c r="AI40" s="3165">
        <f>ROUND(IF(AG40=0,0,AG40/ABS(AD40)),3)</f>
        <v>-0.61299999999999999</v>
      </c>
    </row>
    <row r="41" spans="1:35" ht="16.5" customHeight="1">
      <c r="A41" s="149"/>
      <c r="B41" s="388"/>
      <c r="C41" s="237"/>
      <c r="D41" s="388"/>
      <c r="E41" s="237"/>
      <c r="F41" s="388"/>
      <c r="G41" s="237"/>
      <c r="H41" s="388"/>
      <c r="I41" s="237"/>
      <c r="J41" s="388"/>
      <c r="K41" s="237"/>
      <c r="L41" s="388"/>
      <c r="M41" s="237"/>
      <c r="N41" s="388"/>
      <c r="O41" s="237"/>
      <c r="P41" s="388"/>
      <c r="Q41" s="237"/>
      <c r="R41" s="388"/>
      <c r="S41" s="237"/>
      <c r="T41" s="388"/>
      <c r="U41" s="237"/>
      <c r="V41" s="388"/>
      <c r="W41" s="237"/>
      <c r="X41" s="2250"/>
      <c r="Y41" s="1617"/>
      <c r="Z41" s="1739"/>
      <c r="AA41" s="3387"/>
      <c r="AB41" s="3384"/>
      <c r="AC41" s="1713"/>
      <c r="AD41" s="3387"/>
      <c r="AE41" s="140"/>
      <c r="AF41" s="1750"/>
      <c r="AG41" s="3361"/>
    </row>
    <row r="42" spans="1:35" ht="16.5" customHeight="1">
      <c r="A42" s="249" t="s">
        <v>209</v>
      </c>
      <c r="B42" s="389">
        <f>ROUND(SUM(B39:B41),1)</f>
        <v>14.3</v>
      </c>
      <c r="C42" s="389"/>
      <c r="D42" s="389">
        <f>ROUND(SUM(D39:D41),1)</f>
        <v>17.5</v>
      </c>
      <c r="E42" s="389"/>
      <c r="F42" s="389">
        <f>ROUND(SUM(F39:F41),1)</f>
        <v>4.7</v>
      </c>
      <c r="G42" s="389"/>
      <c r="H42" s="389">
        <f>ROUND(SUM(H39:H41),1)</f>
        <v>2.2999999999999998</v>
      </c>
      <c r="I42" s="389"/>
      <c r="J42" s="389">
        <f>ROUND(SUM(J39:J41),1)</f>
        <v>0.9</v>
      </c>
      <c r="K42" s="389"/>
      <c r="L42" s="389">
        <f>ROUND(SUM(L39:L41),1)</f>
        <v>4.8</v>
      </c>
      <c r="M42" s="389"/>
      <c r="N42" s="389">
        <f>ROUND(SUM(N39:N41),1)</f>
        <v>3.6</v>
      </c>
      <c r="O42" s="389"/>
      <c r="P42" s="389">
        <f>ROUND(SUM(P39:P41),1)</f>
        <v>3.4</v>
      </c>
      <c r="Q42" s="389"/>
      <c r="R42" s="389">
        <f>ROUND(SUM(R39:R41),1)</f>
        <v>1.2</v>
      </c>
      <c r="S42" s="389"/>
      <c r="T42" s="389">
        <f>ROUND(SUM(T39:T41),1)</f>
        <v>10.7</v>
      </c>
      <c r="U42" s="389"/>
      <c r="V42" s="389">
        <f>ROUND(SUM(V39:V41),1)</f>
        <v>4.8</v>
      </c>
      <c r="W42" s="389"/>
      <c r="X42" s="2252">
        <f>ROUND(SUM(X39:X41),1)</f>
        <v>0</v>
      </c>
      <c r="Y42" s="2252"/>
      <c r="Z42" s="2253"/>
      <c r="AA42" s="2252">
        <f>ROUND(SUM(AA39:AA41),1)</f>
        <v>68.2</v>
      </c>
      <c r="AB42" s="3385"/>
      <c r="AC42" s="3386"/>
      <c r="AD42" s="2252">
        <f>ROUND(SUM(AD39:AD41),1)</f>
        <v>44.9</v>
      </c>
      <c r="AF42" s="1718"/>
      <c r="AG42" s="3365">
        <f>AA42-AD42</f>
        <v>23.300000000000004</v>
      </c>
      <c r="AH42" s="1167"/>
      <c r="AI42" s="1160">
        <f>ROUND(IF(AG42=0,0,AG42/ABS(AD42)),3)</f>
        <v>0.51900000000000002</v>
      </c>
    </row>
    <row r="43" spans="1:35" ht="16.5" customHeight="1">
      <c r="A43" s="149"/>
      <c r="B43" s="388"/>
      <c r="C43" s="237"/>
      <c r="D43" s="388"/>
      <c r="E43" s="237"/>
      <c r="F43" s="388"/>
      <c r="G43" s="237"/>
      <c r="H43" s="388"/>
      <c r="I43" s="237"/>
      <c r="J43" s="388"/>
      <c r="K43" s="237"/>
      <c r="L43" s="388"/>
      <c r="M43" s="237"/>
      <c r="N43" s="388"/>
      <c r="O43" s="237"/>
      <c r="P43" s="388"/>
      <c r="Q43" s="237"/>
      <c r="R43" s="388"/>
      <c r="S43" s="237"/>
      <c r="T43" s="388"/>
      <c r="U43" s="237"/>
      <c r="V43" s="388"/>
      <c r="W43" s="237"/>
      <c r="X43" s="2250"/>
      <c r="Y43" s="1617"/>
      <c r="Z43" s="1739"/>
      <c r="AA43" s="2250"/>
      <c r="AB43" s="3384"/>
      <c r="AC43" s="1713"/>
      <c r="AD43" s="2250"/>
      <c r="AE43" s="140"/>
      <c r="AF43" s="1750"/>
      <c r="AG43" s="3361"/>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17"/>
      <c r="Y44" s="1617"/>
      <c r="Z44" s="1739"/>
      <c r="AA44" s="1617"/>
      <c r="AB44" s="3384"/>
      <c r="AC44" s="1713"/>
      <c r="AD44" s="1617"/>
      <c r="AE44" s="140"/>
      <c r="AF44" s="1750"/>
      <c r="AG44" s="3361"/>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17"/>
      <c r="Y45" s="1617"/>
      <c r="Z45" s="1739"/>
      <c r="AA45" s="1617"/>
      <c r="AB45" s="3384"/>
      <c r="AC45" s="1713"/>
      <c r="AD45" s="1617"/>
      <c r="AE45" s="140"/>
      <c r="AF45" s="1750"/>
    </row>
    <row r="46" spans="1:35" ht="16.5" customHeight="1">
      <c r="A46" s="249" t="s">
        <v>166</v>
      </c>
      <c r="B46" s="237"/>
      <c r="C46" s="237"/>
      <c r="D46" s="237"/>
      <c r="E46" s="237"/>
      <c r="F46" s="237"/>
      <c r="G46" s="237"/>
      <c r="H46" s="237"/>
      <c r="I46" s="237"/>
      <c r="J46" s="237"/>
      <c r="K46" s="237"/>
      <c r="L46" s="237"/>
      <c r="M46" s="237"/>
      <c r="N46" s="237"/>
      <c r="O46" s="237"/>
      <c r="P46" s="237"/>
      <c r="Q46" s="237"/>
      <c r="R46" s="237"/>
      <c r="S46" s="237"/>
      <c r="T46" s="237"/>
      <c r="U46" s="237"/>
      <c r="V46" s="237"/>
      <c r="W46" s="237"/>
      <c r="X46" s="1617"/>
      <c r="Y46" s="1617"/>
      <c r="Z46" s="1739"/>
      <c r="AA46" s="1617"/>
      <c r="AB46" s="3384"/>
      <c r="AC46" s="1713"/>
      <c r="AD46" s="1617"/>
      <c r="AE46" s="140"/>
      <c r="AF46" s="1750"/>
    </row>
    <row r="47" spans="1:35" ht="16.5" customHeight="1">
      <c r="A47" s="249" t="s">
        <v>228</v>
      </c>
      <c r="B47" s="237"/>
      <c r="C47" s="237"/>
      <c r="D47" s="237"/>
      <c r="E47" s="237"/>
      <c r="F47" s="237"/>
      <c r="G47" s="237"/>
      <c r="H47" s="237"/>
      <c r="I47" s="237"/>
      <c r="J47" s="237"/>
      <c r="K47" s="237"/>
      <c r="L47" s="237"/>
      <c r="M47" s="237"/>
      <c r="N47" s="237"/>
      <c r="O47" s="237"/>
      <c r="P47" s="237"/>
      <c r="Q47" s="237"/>
      <c r="R47" s="237"/>
      <c r="S47" s="237"/>
      <c r="T47" s="237"/>
      <c r="U47" s="237"/>
      <c r="V47" s="237"/>
      <c r="W47" s="237"/>
      <c r="X47" s="1617"/>
      <c r="Y47" s="1617"/>
      <c r="Z47" s="1739"/>
      <c r="AA47" s="1617"/>
      <c r="AB47" s="3384"/>
      <c r="AC47" s="1713"/>
      <c r="AD47" s="1617"/>
      <c r="AE47" s="107"/>
      <c r="AF47" s="1718"/>
    </row>
    <row r="48" spans="1:35" s="217" customFormat="1" ht="16.5" customHeight="1">
      <c r="A48" s="249" t="s">
        <v>168</v>
      </c>
      <c r="B48" s="389">
        <f>ROUND(SUM(B34,B42),1)</f>
        <v>9.3000000000000007</v>
      </c>
      <c r="C48" s="389"/>
      <c r="D48" s="389">
        <f>ROUND(SUM(D34,D42),1)</f>
        <v>-25.2</v>
      </c>
      <c r="E48" s="389"/>
      <c r="F48" s="389">
        <f>ROUND(SUM(F34,F42),1)</f>
        <v>24.9</v>
      </c>
      <c r="G48" s="389"/>
      <c r="H48" s="389">
        <f>ROUND(SUM(H34,H42),1)</f>
        <v>9.3000000000000007</v>
      </c>
      <c r="I48" s="389"/>
      <c r="J48" s="389">
        <f>ROUND(SUM(J34,J42),1)</f>
        <v>-12.1</v>
      </c>
      <c r="K48" s="389"/>
      <c r="L48" s="389">
        <f>ROUND(SUM(L34,L42),1)</f>
        <v>18.2</v>
      </c>
      <c r="M48" s="389"/>
      <c r="N48" s="389">
        <f>ROUND(SUM(N34,N42),1)</f>
        <v>-10.4</v>
      </c>
      <c r="O48" s="389"/>
      <c r="P48" s="389">
        <f>ROUND(SUM(P34,P42),1)</f>
        <v>-2</v>
      </c>
      <c r="Q48" s="389"/>
      <c r="R48" s="389">
        <f>ROUND(SUM(R34,R42),1)</f>
        <v>-0.6</v>
      </c>
      <c r="S48" s="389"/>
      <c r="T48" s="389">
        <f>ROUND(SUM(T34,T42),1)</f>
        <v>26.9</v>
      </c>
      <c r="U48" s="389"/>
      <c r="V48" s="389">
        <f>ROUND(SUM(V34,V42),1)</f>
        <v>-22.1</v>
      </c>
      <c r="W48" s="389"/>
      <c r="X48" s="2252">
        <f>ROUND(SUM(X34,X42),1)</f>
        <v>0</v>
      </c>
      <c r="Y48" s="2252"/>
      <c r="Z48" s="2253"/>
      <c r="AA48" s="2255">
        <f>ROUND(AA34+AA42,1)</f>
        <v>16.2</v>
      </c>
      <c r="AB48" s="3385"/>
      <c r="AC48" s="3386"/>
      <c r="AD48" s="2255">
        <f>ROUND(AD34+AD42,1)</f>
        <v>-79.099999999999994</v>
      </c>
      <c r="AE48" s="2260"/>
      <c r="AF48" s="1718"/>
      <c r="AG48" s="3365">
        <f>ROUND(SUM(AG34+AG42),1)</f>
        <v>95.3</v>
      </c>
      <c r="AH48" s="1138"/>
      <c r="AI48" s="2167">
        <f>ROUND(IF(AG48=0,0,AG48/ABS(AD48)),3)</f>
        <v>1.2050000000000001</v>
      </c>
    </row>
    <row r="49" spans="1:35" ht="16.5" customHeight="1">
      <c r="A49" s="149"/>
      <c r="B49" s="392"/>
      <c r="C49" s="386"/>
      <c r="D49" s="392"/>
      <c r="E49" s="386"/>
      <c r="F49" s="392"/>
      <c r="G49" s="386"/>
      <c r="H49" s="392"/>
      <c r="I49" s="386"/>
      <c r="J49" s="392"/>
      <c r="K49" s="386"/>
      <c r="L49" s="392"/>
      <c r="M49" s="386"/>
      <c r="N49" s="392"/>
      <c r="O49" s="386"/>
      <c r="P49" s="392"/>
      <c r="Q49" s="386"/>
      <c r="R49" s="392"/>
      <c r="S49" s="386"/>
      <c r="T49" s="392"/>
      <c r="U49" s="386"/>
      <c r="V49" s="392"/>
      <c r="W49" s="386"/>
      <c r="X49" s="3388"/>
      <c r="Y49" s="3356"/>
      <c r="Z49" s="3380"/>
      <c r="AA49" s="3388"/>
      <c r="AB49" s="3381"/>
      <c r="AC49" s="3382"/>
      <c r="AD49" s="3388"/>
      <c r="AF49" s="1718"/>
      <c r="AI49" s="1147"/>
    </row>
    <row r="50" spans="1:35" ht="16.5" customHeight="1" thickBot="1">
      <c r="A50" s="322" t="s">
        <v>142</v>
      </c>
      <c r="B50" s="384">
        <f>ROUND(SUM(B14,B48),1)</f>
        <v>-293.39999999999998</v>
      </c>
      <c r="C50" s="384"/>
      <c r="D50" s="384">
        <f>ROUND(SUM(D14,D48),1)</f>
        <v>-318.60000000000002</v>
      </c>
      <c r="E50" s="384"/>
      <c r="F50" s="384">
        <f>ROUND(SUM(F14,F48),1)</f>
        <v>-293.7</v>
      </c>
      <c r="G50" s="384"/>
      <c r="H50" s="384">
        <f>ROUND(SUM(H14,H48),1)</f>
        <v>-284.39999999999998</v>
      </c>
      <c r="I50" s="384"/>
      <c r="J50" s="384">
        <f>ROUND(SUM(J14,J48),1)</f>
        <v>-296.5</v>
      </c>
      <c r="K50" s="384"/>
      <c r="L50" s="384">
        <f>ROUND(SUM(L14,L48),1)</f>
        <v>-278.3</v>
      </c>
      <c r="M50" s="384"/>
      <c r="N50" s="384">
        <f>ROUND(SUM(N14,N48),1)</f>
        <v>-288.7</v>
      </c>
      <c r="O50" s="384"/>
      <c r="P50" s="384">
        <f>ROUND(SUM(P14,P48),1)</f>
        <v>-290.7</v>
      </c>
      <c r="Q50" s="384"/>
      <c r="R50" s="393">
        <f>ROUND(SUM(R14,R48),1)</f>
        <v>-291.3</v>
      </c>
      <c r="S50" s="384"/>
      <c r="T50" s="384">
        <f>ROUND(SUM(T14,T48),1)</f>
        <v>-264.39999999999998</v>
      </c>
      <c r="U50" s="384"/>
      <c r="V50" s="384">
        <f>ROUND(SUM(V14,V48),1)</f>
        <v>-286.5</v>
      </c>
      <c r="W50" s="384"/>
      <c r="X50" s="1695">
        <f>ROUND(SUM(X14,X48),1)</f>
        <v>0</v>
      </c>
      <c r="Y50" s="1695"/>
      <c r="Z50" s="3378"/>
      <c r="AA50" s="1695">
        <f>ROUND(SUM(AA14,AA48),1)</f>
        <v>-286.5</v>
      </c>
      <c r="AB50" s="3379"/>
      <c r="AC50" s="2257"/>
      <c r="AD50" s="1695">
        <f>ROUND(SUM(AD14,AD48),1)</f>
        <v>-348.3</v>
      </c>
      <c r="AF50" s="1718"/>
      <c r="AG50" s="3368">
        <f>ROUND(SUM(AA50-AD50),1)</f>
        <v>61.8</v>
      </c>
      <c r="AH50" s="1166"/>
      <c r="AI50" s="1168">
        <f>ROUND(IF(AG50=0,0,AG50/ABS(AD50)),3)</f>
        <v>0.17699999999999999</v>
      </c>
    </row>
    <row r="51" spans="1:35" ht="16.5" customHeight="1" thickTop="1">
      <c r="A51" s="149"/>
      <c r="B51" s="394"/>
      <c r="C51" s="386"/>
      <c r="D51" s="394"/>
      <c r="E51" s="386"/>
      <c r="F51" s="394"/>
      <c r="G51" s="386"/>
      <c r="H51" s="394"/>
      <c r="I51" s="386"/>
      <c r="J51" s="394"/>
      <c r="K51" s="386"/>
      <c r="L51" s="394"/>
      <c r="M51" s="386"/>
      <c r="N51" s="394"/>
      <c r="O51" s="386"/>
      <c r="P51" s="394"/>
      <c r="Q51" s="386"/>
      <c r="R51" s="387"/>
      <c r="S51" s="386"/>
      <c r="T51" s="394"/>
      <c r="U51" s="386"/>
      <c r="V51" s="394"/>
      <c r="W51" s="386"/>
      <c r="X51" s="3389"/>
      <c r="Y51" s="3356"/>
      <c r="Z51" s="3356"/>
      <c r="AA51" s="3389"/>
      <c r="AB51" s="3356"/>
      <c r="AC51" s="3356"/>
      <c r="AD51" s="3389"/>
    </row>
    <row r="53" spans="1:35" ht="16.5" customHeight="1">
      <c r="A53" s="395"/>
    </row>
    <row r="54" spans="1:35" ht="16.5" customHeight="1">
      <c r="A54" s="247"/>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70" workbookViewId="0"/>
  </sheetViews>
  <sheetFormatPr defaultColWidth="8.88671875" defaultRowHeight="18"/>
  <cols>
    <col min="1" max="1" width="45.5546875" style="396" customWidth="1"/>
    <col min="2" max="2" width="11.109375" style="396" customWidth="1"/>
    <col min="3" max="3" width="1.88671875" style="396" customWidth="1"/>
    <col min="4" max="4" width="8.88671875" style="396" customWidth="1"/>
    <col min="5" max="5" width="1.88671875" style="396" customWidth="1"/>
    <col min="6" max="6" width="8.88671875" style="396" customWidth="1"/>
    <col min="7" max="7" width="1.88671875" style="396" customWidth="1"/>
    <col min="8" max="8" width="9.44140625" style="396" customWidth="1"/>
    <col min="9" max="9" width="1.88671875" style="396" customWidth="1"/>
    <col min="10" max="10" width="10.88671875" style="396" customWidth="1"/>
    <col min="11" max="11" width="1.88671875" style="396" customWidth="1"/>
    <col min="12" max="12" width="14.109375" style="396" customWidth="1"/>
    <col min="13" max="13" width="1.88671875" style="396" customWidth="1"/>
    <col min="14" max="14" width="12" style="396" bestFit="1" customWidth="1"/>
    <col min="15" max="15" width="1.88671875" style="396" customWidth="1"/>
    <col min="16" max="16" width="13.5546875" style="396" bestFit="1" customWidth="1"/>
    <col min="17" max="17" width="1.88671875" style="396" customWidth="1"/>
    <col min="18" max="18" width="13.5546875" style="396" bestFit="1" customWidth="1"/>
    <col min="19" max="19" width="1.88671875" style="396" customWidth="1"/>
    <col min="20" max="20" width="11" style="396" bestFit="1" customWidth="1"/>
    <col min="21" max="21" width="1.88671875" style="396" customWidth="1"/>
    <col min="22" max="22" width="12.88671875" style="396" bestFit="1" customWidth="1"/>
    <col min="23" max="23" width="1.88671875" style="396" customWidth="1"/>
    <col min="24" max="24" width="11" style="396" customWidth="1"/>
    <col min="25" max="26" width="1.88671875" style="396" customWidth="1"/>
    <col min="27" max="27" width="10.109375" style="2260" customWidth="1"/>
    <col min="28" max="29" width="1.88671875" style="2260" customWidth="1"/>
    <col min="30" max="30" width="10.109375" style="3411" customWidth="1"/>
    <col min="31" max="31" width="1.88671875" style="1146" customWidth="1"/>
    <col min="32" max="32" width="2.44140625" style="1146" customWidth="1"/>
    <col min="33" max="33" width="10.109375" style="1147" bestFit="1" customWidth="1"/>
    <col min="34" max="34" width="1.88671875" style="1147" customWidth="1"/>
    <col min="35" max="35" width="11.109375" style="1146" customWidth="1"/>
    <col min="36" max="16384" width="8.88671875" style="396"/>
  </cols>
  <sheetData>
    <row r="1" spans="1:35">
      <c r="A1" s="653" t="s">
        <v>979</v>
      </c>
    </row>
    <row r="2" spans="1:35">
      <c r="A2" s="834"/>
    </row>
    <row r="3" spans="1:35" ht="20.25" customHeight="1">
      <c r="A3" s="3713"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87" t="s">
        <v>226</v>
      </c>
    </row>
    <row r="4" spans="1:35" ht="20.25" customHeight="1">
      <c r="A4" s="291" t="s">
        <v>225</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70" t="s">
        <v>124</v>
      </c>
      <c r="B5" s="31"/>
      <c r="C5" s="31"/>
      <c r="D5" s="31"/>
      <c r="E5" s="31"/>
      <c r="F5" s="31"/>
      <c r="G5" s="31"/>
      <c r="H5" s="31"/>
      <c r="I5" s="31"/>
      <c r="J5" s="31"/>
      <c r="K5" s="29"/>
      <c r="L5" s="29"/>
      <c r="M5" s="31"/>
      <c r="N5" s="31"/>
      <c r="O5" s="31"/>
      <c r="P5" s="31"/>
      <c r="Q5" s="31"/>
      <c r="R5" s="31"/>
      <c r="S5" s="31"/>
      <c r="T5" s="31"/>
      <c r="U5" s="31"/>
      <c r="V5" s="31"/>
      <c r="W5" s="31"/>
      <c r="X5" s="31"/>
      <c r="Y5" s="31"/>
      <c r="Z5" s="31"/>
      <c r="AB5" s="3393"/>
      <c r="AC5" s="3393"/>
      <c r="AE5" s="1170"/>
    </row>
    <row r="6" spans="1:35" ht="20.25" customHeight="1">
      <c r="A6" s="1570"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713" t="s">
        <v>1416</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8"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46"/>
      <c r="AF8" s="1146"/>
      <c r="AG8" s="1147"/>
      <c r="AH8" s="1147"/>
      <c r="AI8" s="1146"/>
    </row>
    <row r="9" spans="1:35" s="398" customFormat="1" ht="19.350000000000001" customHeight="1">
      <c r="A9" s="699"/>
      <c r="B9" s="699"/>
      <c r="C9" s="699"/>
      <c r="D9" s="699"/>
      <c r="E9" s="699"/>
      <c r="F9" s="699"/>
      <c r="G9" s="699"/>
      <c r="H9" s="29"/>
      <c r="I9" s="29"/>
      <c r="J9" s="29"/>
      <c r="K9" s="699"/>
      <c r="L9" s="699"/>
      <c r="M9" s="699"/>
      <c r="N9" s="699"/>
      <c r="O9" s="699"/>
      <c r="P9" s="699"/>
      <c r="Q9" s="699"/>
      <c r="R9" s="699"/>
      <c r="S9" s="699"/>
      <c r="T9" s="699"/>
      <c r="U9" s="699"/>
      <c r="V9" s="699"/>
      <c r="W9" s="699"/>
      <c r="X9" s="699"/>
      <c r="Y9" s="699"/>
      <c r="Z9" s="149"/>
      <c r="AA9" s="193"/>
      <c r="AB9" s="193"/>
      <c r="AC9" s="3938"/>
      <c r="AD9" s="3939"/>
      <c r="AE9" s="3939"/>
      <c r="AF9" s="3939"/>
      <c r="AG9" s="3939"/>
      <c r="AH9" s="3939"/>
      <c r="AI9" s="3939"/>
    </row>
    <row r="10" spans="1:35" s="398"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63"/>
      <c r="W10" s="841"/>
      <c r="X10" s="842"/>
      <c r="Y10" s="843"/>
      <c r="Z10" s="3940" t="s">
        <v>1594</v>
      </c>
      <c r="AA10" s="3940"/>
      <c r="AB10" s="3940"/>
      <c r="AC10" s="3940"/>
      <c r="AD10" s="3940"/>
      <c r="AE10" s="3940"/>
      <c r="AF10" s="3940"/>
      <c r="AG10" s="3940"/>
      <c r="AH10" s="3940"/>
      <c r="AI10" s="3940"/>
    </row>
    <row r="11" spans="1:35" s="398" customFormat="1" ht="19.350000000000001" customHeight="1">
      <c r="A11" s="149"/>
      <c r="B11" s="779" t="str">
        <f>'Cashflow Governmental'!C13</f>
        <v>2019</v>
      </c>
      <c r="C11" s="249"/>
      <c r="D11" s="249"/>
      <c r="E11" s="249"/>
      <c r="F11" s="249"/>
      <c r="G11" s="249"/>
      <c r="H11" s="249"/>
      <c r="I11" s="249"/>
      <c r="J11" s="249"/>
      <c r="K11" s="249"/>
      <c r="L11" s="249"/>
      <c r="M11" s="249"/>
      <c r="N11" s="249"/>
      <c r="O11" s="249"/>
      <c r="P11" s="249"/>
      <c r="Q11" s="249"/>
      <c r="R11" s="249"/>
      <c r="S11" s="249"/>
      <c r="T11" s="779" t="str">
        <f>'Cashflow Governmental'!U13</f>
        <v>2020</v>
      </c>
      <c r="U11" s="249"/>
      <c r="V11" s="781"/>
      <c r="W11" s="249"/>
      <c r="X11" s="249"/>
      <c r="Y11" s="249"/>
      <c r="Z11" s="780"/>
      <c r="AA11" s="3373"/>
      <c r="AB11" s="3373"/>
      <c r="AC11" s="3373"/>
      <c r="AD11" s="3351"/>
      <c r="AE11" s="1171"/>
      <c r="AF11" s="1138"/>
      <c r="AG11" s="1150" t="s">
        <v>8</v>
      </c>
      <c r="AH11" s="1150"/>
      <c r="AI11" s="1151" t="s">
        <v>9</v>
      </c>
    </row>
    <row r="12" spans="1:35" s="398" customFormat="1" ht="19.350000000000001" customHeight="1">
      <c r="A12" s="149"/>
      <c r="B12" s="844" t="s">
        <v>125</v>
      </c>
      <c r="C12" s="249"/>
      <c r="D12" s="844" t="s">
        <v>126</v>
      </c>
      <c r="E12" s="249"/>
      <c r="F12" s="844" t="s">
        <v>127</v>
      </c>
      <c r="G12" s="249"/>
      <c r="H12" s="844" t="s">
        <v>128</v>
      </c>
      <c r="I12" s="249"/>
      <c r="J12" s="845" t="s">
        <v>227</v>
      </c>
      <c r="K12" s="249"/>
      <c r="L12" s="845" t="s">
        <v>144</v>
      </c>
      <c r="M12" s="249"/>
      <c r="N12" s="845" t="s">
        <v>145</v>
      </c>
      <c r="O12" s="249"/>
      <c r="P12" s="844" t="s">
        <v>132</v>
      </c>
      <c r="Q12" s="249"/>
      <c r="R12" s="844" t="s">
        <v>133</v>
      </c>
      <c r="S12" s="249"/>
      <c r="T12" s="845" t="s">
        <v>134</v>
      </c>
      <c r="U12" s="249"/>
      <c r="V12" s="844" t="s">
        <v>135</v>
      </c>
      <c r="W12" s="249"/>
      <c r="X12" s="845" t="s">
        <v>186</v>
      </c>
      <c r="Y12" s="249"/>
      <c r="Z12" s="249"/>
      <c r="AA12" s="3375">
        <f>'Cashflow Governmental'!AB14</f>
        <v>2020</v>
      </c>
      <c r="AB12" s="3375"/>
      <c r="AC12" s="3390"/>
      <c r="AD12" s="3612">
        <f>'Cashflow Governmental'!AE14</f>
        <v>2019</v>
      </c>
      <c r="AE12" s="1167"/>
      <c r="AF12" s="1167"/>
      <c r="AG12" s="1152" t="s">
        <v>12</v>
      </c>
      <c r="AH12" s="1153"/>
      <c r="AI12" s="1152" t="s">
        <v>13</v>
      </c>
    </row>
    <row r="13" spans="1:35" s="1704" customFormat="1" ht="19.350000000000001" customHeight="1">
      <c r="A13" s="1693" t="s">
        <v>137</v>
      </c>
      <c r="B13" s="1724">
        <v>-3</v>
      </c>
      <c r="C13" s="1695"/>
      <c r="D13" s="1724">
        <f>B38</f>
        <v>-7.4</v>
      </c>
      <c r="E13" s="1695"/>
      <c r="F13" s="1724">
        <f>D38</f>
        <v>-11.8</v>
      </c>
      <c r="G13" s="1725"/>
      <c r="H13" s="1724">
        <f>F38</f>
        <v>-16.5</v>
      </c>
      <c r="I13" s="1725"/>
      <c r="J13" s="1724">
        <f>H38</f>
        <v>-22.6</v>
      </c>
      <c r="K13" s="1725"/>
      <c r="L13" s="1724">
        <f>J38</f>
        <v>-2</v>
      </c>
      <c r="M13" s="1725"/>
      <c r="N13" s="1724">
        <f>L38</f>
        <v>-7</v>
      </c>
      <c r="O13" s="1725"/>
      <c r="P13" s="1724">
        <f>N38</f>
        <v>-3.2</v>
      </c>
      <c r="Q13" s="1725"/>
      <c r="R13" s="1724">
        <f>P38</f>
        <v>-8</v>
      </c>
      <c r="S13" s="1725"/>
      <c r="T13" s="1724">
        <f>R38</f>
        <v>0.1</v>
      </c>
      <c r="U13" s="1725"/>
      <c r="V13" s="1724">
        <f>T38</f>
        <v>-6.1</v>
      </c>
      <c r="W13" s="1725"/>
      <c r="X13" s="1724"/>
      <c r="Y13" s="1697"/>
      <c r="Z13" s="1698"/>
      <c r="AA13" s="1724">
        <f>B13</f>
        <v>-3</v>
      </c>
      <c r="AB13" s="1697"/>
      <c r="AC13" s="3394"/>
      <c r="AD13" s="1724">
        <v>-2</v>
      </c>
      <c r="AE13" s="1699"/>
      <c r="AF13" s="1700"/>
      <c r="AG13" s="1701">
        <f>ROUND(SUM(AA13-AD13),1)</f>
        <v>-1</v>
      </c>
      <c r="AH13" s="1702"/>
      <c r="AI13" s="2171">
        <f>-ROUND(IF(AG13=0,0,AG13/(AD13)),3)</f>
        <v>-0.5</v>
      </c>
    </row>
    <row r="14" spans="1:35" s="398" customFormat="1" ht="19.350000000000001" customHeight="1">
      <c r="A14" s="149"/>
      <c r="B14" s="386"/>
      <c r="C14" s="386"/>
      <c r="D14" s="386"/>
      <c r="E14" s="386"/>
      <c r="F14" s="848"/>
      <c r="G14" s="848"/>
      <c r="H14" s="849"/>
      <c r="I14" s="849"/>
      <c r="J14" s="849"/>
      <c r="K14" s="848"/>
      <c r="L14" s="849"/>
      <c r="M14" s="849"/>
      <c r="N14" s="849"/>
      <c r="O14" s="849"/>
      <c r="P14" s="849"/>
      <c r="Q14" s="849"/>
      <c r="R14" s="849"/>
      <c r="S14" s="849"/>
      <c r="T14" s="849"/>
      <c r="U14" s="849"/>
      <c r="V14" s="849"/>
      <c r="W14" s="849"/>
      <c r="X14" s="849"/>
      <c r="Y14" s="850"/>
      <c r="Z14" s="851"/>
      <c r="AA14" s="3356"/>
      <c r="AB14" s="3395"/>
      <c r="AC14" s="3396"/>
      <c r="AD14" s="3356"/>
      <c r="AE14" s="1172"/>
      <c r="AF14" s="1169"/>
      <c r="AG14" s="1156"/>
      <c r="AH14" s="1147"/>
      <c r="AI14" s="1146"/>
    </row>
    <row r="15" spans="1:35" s="398" customFormat="1" ht="19.350000000000001" customHeight="1">
      <c r="A15" s="249" t="s">
        <v>14</v>
      </c>
      <c r="B15" s="386"/>
      <c r="C15" s="386"/>
      <c r="D15" s="386"/>
      <c r="E15" s="386"/>
      <c r="F15" s="848"/>
      <c r="G15" s="848"/>
      <c r="H15" s="849"/>
      <c r="I15" s="849"/>
      <c r="J15" s="849"/>
      <c r="K15" s="848"/>
      <c r="L15" s="849"/>
      <c r="M15" s="849"/>
      <c r="N15" s="849"/>
      <c r="O15" s="849"/>
      <c r="P15" s="849"/>
      <c r="Q15" s="849"/>
      <c r="R15" s="849"/>
      <c r="S15" s="849"/>
      <c r="T15" s="849"/>
      <c r="U15" s="849"/>
      <c r="V15" s="849"/>
      <c r="W15" s="849"/>
      <c r="X15" s="849"/>
      <c r="Y15" s="850"/>
      <c r="Z15" s="851"/>
      <c r="AA15" s="3356"/>
      <c r="AB15" s="3395"/>
      <c r="AC15" s="3396"/>
      <c r="AD15" s="3356"/>
      <c r="AE15" s="1172"/>
      <c r="AF15" s="1169"/>
      <c r="AG15" s="1156"/>
      <c r="AH15" s="1147"/>
      <c r="AI15" s="1146"/>
    </row>
    <row r="16" spans="1:35" s="398" customFormat="1" ht="19.350000000000001" customHeight="1">
      <c r="A16" s="853" t="s">
        <v>179</v>
      </c>
      <c r="B16" s="2210">
        <v>5.3</v>
      </c>
      <c r="C16" s="237"/>
      <c r="D16" s="2210">
        <v>7.8</v>
      </c>
      <c r="E16" s="237"/>
      <c r="F16" s="2210">
        <v>5.0999999999999988</v>
      </c>
      <c r="G16" s="237"/>
      <c r="H16" s="2210">
        <v>5.1000000000000005</v>
      </c>
      <c r="I16" s="1707"/>
      <c r="J16" s="2210">
        <v>30</v>
      </c>
      <c r="K16" s="1617"/>
      <c r="L16" s="2210">
        <v>5.2000000000000028</v>
      </c>
      <c r="M16" s="1708"/>
      <c r="N16" s="1706">
        <v>12.700000000000003</v>
      </c>
      <c r="O16" s="1708"/>
      <c r="P16" s="1706">
        <v>5.2999999999999972</v>
      </c>
      <c r="Q16" s="1708"/>
      <c r="R16" s="1706">
        <v>36.300000000000011</v>
      </c>
      <c r="S16" s="1708"/>
      <c r="T16" s="1706">
        <v>5.2999999999999972</v>
      </c>
      <c r="U16" s="1708"/>
      <c r="V16" s="1706">
        <f>$AA16-$B16-$D16-$F16-$H16-$J16-$L16-$N16-$P16-$R16-$T16</f>
        <v>5.3000000000000114</v>
      </c>
      <c r="W16" s="1708"/>
      <c r="X16" s="1706"/>
      <c r="Y16" s="1709"/>
      <c r="Z16" s="1710"/>
      <c r="AA16" s="1706">
        <v>123.4</v>
      </c>
      <c r="AB16" s="1709"/>
      <c r="AC16" s="1708"/>
      <c r="AD16" s="1706">
        <v>109.7</v>
      </c>
      <c r="AE16" s="1173"/>
      <c r="AF16" s="1139"/>
      <c r="AG16" s="1158">
        <f>ROUND(SUM(AA16-AD16),1)</f>
        <v>13.7</v>
      </c>
      <c r="AH16" s="1147"/>
      <c r="AI16" s="1163">
        <f>ROUND(IF(AG16=0,0,AG16/ABS(AD16)),3)</f>
        <v>0.125</v>
      </c>
    </row>
    <row r="17" spans="1:35" s="398" customFormat="1" ht="24" customHeight="1">
      <c r="A17" s="249" t="s">
        <v>151</v>
      </c>
      <c r="B17" s="2198">
        <f>ROUND(SUM(B16),1)</f>
        <v>5.3</v>
      </c>
      <c r="C17" s="389"/>
      <c r="D17" s="858">
        <f>ROUND(SUM(D16),1)</f>
        <v>7.8</v>
      </c>
      <c r="E17" s="389"/>
      <c r="F17" s="858">
        <f>ROUND(SUM(F16),1)</f>
        <v>5.0999999999999996</v>
      </c>
      <c r="G17" s="389"/>
      <c r="H17" s="858">
        <f>ROUND(SUM(H16),1)</f>
        <v>5.0999999999999996</v>
      </c>
      <c r="I17" s="859"/>
      <c r="J17" s="858">
        <f>ROUND(SUM(J16),1)</f>
        <v>30</v>
      </c>
      <c r="K17" s="389"/>
      <c r="L17" s="858">
        <f>ROUND(SUM(L16),1)</f>
        <v>5.2</v>
      </c>
      <c r="M17" s="860"/>
      <c r="N17" s="858">
        <f>ROUND(SUM(N16),1)</f>
        <v>12.7</v>
      </c>
      <c r="O17" s="860"/>
      <c r="P17" s="858">
        <f>ROUND(SUM(P16),1)</f>
        <v>5.3</v>
      </c>
      <c r="Q17" s="860"/>
      <c r="R17" s="2198">
        <f>ROUND(SUM(R16),1)</f>
        <v>36.299999999999997</v>
      </c>
      <c r="S17" s="860"/>
      <c r="T17" s="858">
        <f>ROUND(SUM(T16),1)</f>
        <v>5.3</v>
      </c>
      <c r="U17" s="860"/>
      <c r="V17" s="858">
        <f>ROUND(SUM(V16),1)</f>
        <v>5.3</v>
      </c>
      <c r="W17" s="860"/>
      <c r="X17" s="858">
        <f>ROUND(SUM(X16),1)</f>
        <v>0</v>
      </c>
      <c r="Y17" s="861"/>
      <c r="Z17" s="862"/>
      <c r="AA17" s="1740">
        <f>ROUND(SUM(AA16),1)</f>
        <v>123.4</v>
      </c>
      <c r="AB17" s="3397"/>
      <c r="AC17" s="3398"/>
      <c r="AD17" s="1740">
        <f>ROUND(SUM(AD16),1)</f>
        <v>109.7</v>
      </c>
      <c r="AE17" s="1174"/>
      <c r="AF17" s="1139"/>
      <c r="AG17" s="1181">
        <f>ROUND(SUM(AG16),1)</f>
        <v>13.7</v>
      </c>
      <c r="AH17" s="1182"/>
      <c r="AI17" s="1183">
        <f>ROUND(IF(AG17=0,0,AG17/ABS(AD17)),3)</f>
        <v>0.125</v>
      </c>
    </row>
    <row r="18" spans="1:35" s="398" customFormat="1" ht="19.350000000000001" customHeight="1">
      <c r="A18" s="149"/>
      <c r="B18" s="388"/>
      <c r="C18" s="237"/>
      <c r="D18" s="388" t="s">
        <v>15</v>
      </c>
      <c r="E18" s="237"/>
      <c r="F18" s="388"/>
      <c r="G18" s="237"/>
      <c r="H18" s="863"/>
      <c r="I18" s="855"/>
      <c r="J18" s="863"/>
      <c r="K18" s="237"/>
      <c r="L18" s="863"/>
      <c r="M18" s="855"/>
      <c r="N18" s="863"/>
      <c r="O18" s="855"/>
      <c r="P18" s="863"/>
      <c r="Q18" s="855"/>
      <c r="R18" s="863"/>
      <c r="S18" s="855"/>
      <c r="T18" s="863"/>
      <c r="U18" s="855"/>
      <c r="V18" s="863"/>
      <c r="W18" s="855"/>
      <c r="X18" s="863"/>
      <c r="Y18" s="856"/>
      <c r="Z18" s="857"/>
      <c r="AA18" s="2250"/>
      <c r="AB18" s="1709"/>
      <c r="AC18" s="1707"/>
      <c r="AD18" s="2250"/>
      <c r="AE18" s="1158"/>
      <c r="AF18" s="1139"/>
      <c r="AG18" s="1158"/>
      <c r="AH18" s="1147"/>
      <c r="AI18" s="1146"/>
    </row>
    <row r="19" spans="1:35" s="398" customFormat="1" ht="19.350000000000001" customHeight="1">
      <c r="A19" s="149"/>
      <c r="B19" s="237"/>
      <c r="C19" s="237"/>
      <c r="D19" s="237" t="s">
        <v>15</v>
      </c>
      <c r="E19" s="237"/>
      <c r="F19" s="237"/>
      <c r="G19" s="237"/>
      <c r="H19" s="855"/>
      <c r="I19" s="855"/>
      <c r="J19" s="855"/>
      <c r="K19" s="237"/>
      <c r="L19" s="855"/>
      <c r="M19" s="855"/>
      <c r="N19" s="855"/>
      <c r="O19" s="855"/>
      <c r="P19" s="855"/>
      <c r="Q19" s="855"/>
      <c r="R19" s="855"/>
      <c r="S19" s="855"/>
      <c r="T19" s="855"/>
      <c r="U19" s="855"/>
      <c r="V19" s="855"/>
      <c r="W19" s="855"/>
      <c r="X19" s="855"/>
      <c r="Y19" s="856"/>
      <c r="Z19" s="857"/>
      <c r="AA19" s="1617"/>
      <c r="AB19" s="1709"/>
      <c r="AC19" s="1708"/>
      <c r="AD19" s="1617"/>
      <c r="AE19" s="1175"/>
      <c r="AF19" s="1139"/>
      <c r="AG19" s="1158"/>
      <c r="AH19" s="1147"/>
      <c r="AI19" s="1146"/>
    </row>
    <row r="20" spans="1:35" s="398" customFormat="1" ht="19.350000000000001" customHeight="1">
      <c r="A20" s="249" t="s">
        <v>23</v>
      </c>
      <c r="B20" s="237"/>
      <c r="C20" s="237"/>
      <c r="D20" s="237" t="s">
        <v>15</v>
      </c>
      <c r="E20" s="237"/>
      <c r="F20" s="237"/>
      <c r="G20" s="237"/>
      <c r="H20" s="855"/>
      <c r="I20" s="855"/>
      <c r="J20" s="855"/>
      <c r="K20" s="237"/>
      <c r="L20" s="855"/>
      <c r="M20" s="855"/>
      <c r="N20" s="855"/>
      <c r="O20" s="855"/>
      <c r="P20" s="855"/>
      <c r="Q20" s="855"/>
      <c r="R20" s="855"/>
      <c r="S20" s="855"/>
      <c r="T20" s="855"/>
      <c r="U20" s="855"/>
      <c r="V20" s="855"/>
      <c r="W20" s="855"/>
      <c r="X20" s="855"/>
      <c r="Y20" s="856"/>
      <c r="Z20" s="857"/>
      <c r="AA20" s="1617"/>
      <c r="AB20" s="1709"/>
      <c r="AC20" s="1708"/>
      <c r="AD20" s="1617"/>
      <c r="AE20" s="1175"/>
      <c r="AF20" s="1139"/>
      <c r="AG20" s="1158"/>
      <c r="AH20" s="1147"/>
      <c r="AI20" s="1146"/>
    </row>
    <row r="21" spans="1:35" s="398" customFormat="1" ht="19.350000000000001" customHeight="1">
      <c r="A21" s="149" t="s">
        <v>153</v>
      </c>
      <c r="B21" s="238"/>
      <c r="C21" s="237"/>
      <c r="D21" s="237"/>
      <c r="E21" s="237"/>
      <c r="F21" s="237"/>
      <c r="G21" s="237"/>
      <c r="H21" s="855"/>
      <c r="I21" s="855"/>
      <c r="J21" s="855"/>
      <c r="K21" s="237"/>
      <c r="L21" s="855"/>
      <c r="M21" s="855"/>
      <c r="N21" s="855"/>
      <c r="O21" s="855"/>
      <c r="P21" s="855"/>
      <c r="Q21" s="855"/>
      <c r="R21" s="855"/>
      <c r="S21" s="855"/>
      <c r="T21" s="855"/>
      <c r="U21" s="855"/>
      <c r="V21" s="855"/>
      <c r="W21" s="855"/>
      <c r="X21" s="855"/>
      <c r="Y21" s="856"/>
      <c r="Z21" s="857"/>
      <c r="AA21" s="1715"/>
      <c r="AB21" s="3399"/>
      <c r="AC21" s="3400"/>
      <c r="AD21" s="1715"/>
      <c r="AE21" s="1176"/>
      <c r="AF21" s="1140"/>
      <c r="AG21" s="1158"/>
      <c r="AH21" s="1147"/>
      <c r="AI21" s="1146"/>
    </row>
    <row r="22" spans="1:35" s="1704" customFormat="1" ht="19.350000000000001" customHeight="1">
      <c r="A22" s="193" t="s">
        <v>220</v>
      </c>
      <c r="B22" s="864">
        <v>5.3</v>
      </c>
      <c r="C22" s="237"/>
      <c r="D22" s="864">
        <v>7.7</v>
      </c>
      <c r="E22" s="237"/>
      <c r="F22" s="864">
        <v>5.3999999999999977</v>
      </c>
      <c r="G22" s="237"/>
      <c r="H22" s="864">
        <v>5.0000000000000009</v>
      </c>
      <c r="I22" s="1708"/>
      <c r="J22" s="864">
        <v>5.1000000000000005</v>
      </c>
      <c r="K22" s="1617"/>
      <c r="L22" s="864">
        <v>5.299999999999998</v>
      </c>
      <c r="M22" s="1708"/>
      <c r="N22" s="1728">
        <v>7.7000000000000055</v>
      </c>
      <c r="O22" s="1708"/>
      <c r="P22" s="1728">
        <v>5.2999999999999945</v>
      </c>
      <c r="Q22" s="1708"/>
      <c r="R22" s="1728">
        <v>5.3000000000000034</v>
      </c>
      <c r="S22" s="1708"/>
      <c r="T22" s="1728">
        <v>5.0999999999999952</v>
      </c>
      <c r="U22" s="1708"/>
      <c r="V22" s="1728">
        <f>$AA22-$B22-$D22-$F22-$H22-$J22-$L22-$N22-$P22-$R22-$T22</f>
        <v>5.3000000000000034</v>
      </c>
      <c r="W22" s="1708"/>
      <c r="X22" s="1728"/>
      <c r="Y22" s="1709"/>
      <c r="Z22" s="1710"/>
      <c r="AA22" s="1728">
        <v>62.5</v>
      </c>
      <c r="AB22" s="1709"/>
      <c r="AC22" s="1708"/>
      <c r="AD22" s="1728">
        <v>62</v>
      </c>
      <c r="AE22" s="1717"/>
      <c r="AF22" s="1718"/>
      <c r="AG22" s="1729">
        <f>ROUND(SUM(AA22-AD22),1)</f>
        <v>0.5</v>
      </c>
      <c r="AH22" s="1702"/>
      <c r="AI22" s="1714">
        <f>ROUND(IF(AG22=0,0,AG22/ABS(AD22)),3)</f>
        <v>8.0000000000000002E-3</v>
      </c>
    </row>
    <row r="23" spans="1:35" s="398" customFormat="1" ht="19.350000000000001" customHeight="1">
      <c r="A23" s="853" t="s">
        <v>171</v>
      </c>
      <c r="B23" s="864">
        <v>1.1000000000000001</v>
      </c>
      <c r="C23" s="237"/>
      <c r="D23" s="864">
        <v>1.1000000000000001</v>
      </c>
      <c r="E23" s="237"/>
      <c r="F23" s="864">
        <v>1.0999999999999996</v>
      </c>
      <c r="G23" s="237"/>
      <c r="H23" s="864">
        <v>1.2999999999999998</v>
      </c>
      <c r="I23" s="1708"/>
      <c r="J23" s="864">
        <v>1.1000000000000001</v>
      </c>
      <c r="K23" s="1617"/>
      <c r="L23" s="864">
        <v>1.6</v>
      </c>
      <c r="M23" s="1708"/>
      <c r="N23" s="1728">
        <v>1.0000000000000018</v>
      </c>
      <c r="O23" s="1708"/>
      <c r="P23" s="1728">
        <v>1.4999999999999978</v>
      </c>
      <c r="Q23" s="1708"/>
      <c r="R23" s="1728">
        <v>19.499999999999996</v>
      </c>
      <c r="S23" s="1708"/>
      <c r="T23" s="1728">
        <v>1.3999999999999986</v>
      </c>
      <c r="U23" s="1708"/>
      <c r="V23" s="1728">
        <f t="shared" ref="V23" si="0">$AA23-$B23-$D23-$F23-$H23-$J23-$L23-$N23-$P23-$R23-$T23</f>
        <v>1</v>
      </c>
      <c r="W23" s="1708"/>
      <c r="X23" s="1728"/>
      <c r="Y23" s="1709"/>
      <c r="Z23" s="1710"/>
      <c r="AA23" s="1728">
        <v>31.7</v>
      </c>
      <c r="AB23" s="1709"/>
      <c r="AC23" s="1708"/>
      <c r="AD23" s="1728">
        <v>15.3</v>
      </c>
      <c r="AE23" s="1176"/>
      <c r="AF23" s="1140"/>
      <c r="AG23" s="1158">
        <f>ROUND(SUM(AA23-AD23),1)</f>
        <v>16.399999999999999</v>
      </c>
      <c r="AH23" s="1162"/>
      <c r="AI23" s="1163">
        <f>ROUND(IF(AG23=0,0,AG23/ABS(AD23)),3)</f>
        <v>1.0720000000000001</v>
      </c>
    </row>
    <row r="24" spans="1:35" s="1704" customFormat="1" ht="19.350000000000001" customHeight="1">
      <c r="A24" s="193" t="s">
        <v>156</v>
      </c>
      <c r="B24" s="864">
        <v>3.3</v>
      </c>
      <c r="C24" s="237"/>
      <c r="D24" s="2210">
        <v>3.4000000000000004</v>
      </c>
      <c r="E24" s="237"/>
      <c r="F24" s="2210">
        <v>3.3</v>
      </c>
      <c r="G24" s="237"/>
      <c r="H24" s="2210">
        <v>4.9000000000000012</v>
      </c>
      <c r="I24" s="1708"/>
      <c r="J24" s="2210">
        <v>3.2</v>
      </c>
      <c r="K24" s="1617"/>
      <c r="L24" s="864">
        <v>3.2999999999999972</v>
      </c>
      <c r="M24" s="1708"/>
      <c r="N24" s="1728">
        <v>0.19999999999999929</v>
      </c>
      <c r="O24" s="1708"/>
      <c r="P24" s="1728">
        <v>3.2999999999999963</v>
      </c>
      <c r="Q24" s="1708"/>
      <c r="R24" s="1706">
        <v>3.4000000000000066</v>
      </c>
      <c r="S24" s="1708"/>
      <c r="T24" s="1728">
        <v>4.999999999999992</v>
      </c>
      <c r="U24" s="1708"/>
      <c r="V24" s="1728">
        <f>$AA24-$B24-$D24-$F24-$H24-$J24-$L24-$N24-$P24-$R24-$T24</f>
        <v>3.4000000000000137</v>
      </c>
      <c r="W24" s="1708"/>
      <c r="X24" s="1728"/>
      <c r="Y24" s="1709"/>
      <c r="Z24" s="1710"/>
      <c r="AA24" s="3401">
        <v>36.700000000000003</v>
      </c>
      <c r="AB24" s="1709"/>
      <c r="AC24" s="1708"/>
      <c r="AD24" s="3401">
        <v>44.1</v>
      </c>
      <c r="AE24" s="1716"/>
      <c r="AF24" s="1718"/>
      <c r="AG24" s="1729">
        <f>ROUND(SUM(AA24-AD24),1)</f>
        <v>-7.4</v>
      </c>
      <c r="AH24" s="1702"/>
      <c r="AI24" s="1163">
        <f>ROUND(IF(AD24=0,1,AG24/ABS(AD24)),3)</f>
        <v>-0.16800000000000001</v>
      </c>
    </row>
    <row r="25" spans="1:35" s="398" customFormat="1" ht="22.5" customHeight="1">
      <c r="A25" s="249" t="s">
        <v>157</v>
      </c>
      <c r="B25" s="2158">
        <f>ROUND(SUM(B22)+SUM(B23)+SUM(B24),1)</f>
        <v>9.6999999999999993</v>
      </c>
      <c r="C25" s="389"/>
      <c r="D25" s="865">
        <f>ROUND(SUM(D22)+SUM(D23)+SUM(D24),1)</f>
        <v>12.2</v>
      </c>
      <c r="E25" s="389"/>
      <c r="F25" s="2158">
        <f>ROUND(SUM(F22)+SUM(F23)+SUM(F24),1)</f>
        <v>9.8000000000000007</v>
      </c>
      <c r="G25" s="865"/>
      <c r="H25" s="865">
        <f>ROUND(SUM(H22)+SUM(H23)+SUM(H24),1)</f>
        <v>11.2</v>
      </c>
      <c r="I25" s="860"/>
      <c r="J25" s="2165">
        <f>ROUND(SUM(J22)+SUM(J23)+SUM(J24),1)</f>
        <v>9.4</v>
      </c>
      <c r="K25" s="389"/>
      <c r="L25" s="2165">
        <f>ROUND(SUM(L22)+SUM(L23)+SUM(L24),1)</f>
        <v>10.199999999999999</v>
      </c>
      <c r="M25" s="860"/>
      <c r="N25" s="2165">
        <f>ROUND(SUM(N22)+SUM(N23)+SUM(N24),1)</f>
        <v>8.9</v>
      </c>
      <c r="O25" s="860"/>
      <c r="P25" s="2165">
        <f>ROUND(SUM(P22)+SUM(P23)+SUM(P24),1)</f>
        <v>10.1</v>
      </c>
      <c r="Q25" s="860"/>
      <c r="R25" s="2158">
        <f>ROUND(SUM(R22)+SUM(R23)+SUM(R24),1)</f>
        <v>28.2</v>
      </c>
      <c r="S25" s="860"/>
      <c r="T25" s="2158">
        <f>ROUND(SUM(T22)+SUM(T23)+SUM(T24),1)</f>
        <v>11.5</v>
      </c>
      <c r="U25" s="860"/>
      <c r="V25" s="2165">
        <f>ROUND(SUM(V22)+SUM(V23)+SUM(V24),1)</f>
        <v>9.6999999999999993</v>
      </c>
      <c r="W25" s="860"/>
      <c r="X25" s="2165">
        <f>ROUND(SUM(X22)+SUM(X23)+SUM(X24),1)</f>
        <v>0</v>
      </c>
      <c r="Y25" s="861"/>
      <c r="Z25" s="862"/>
      <c r="AA25" s="2249">
        <f>ROUND(SUM(AA22:AA24),1)</f>
        <v>130.9</v>
      </c>
      <c r="AB25" s="3397"/>
      <c r="AC25" s="3398"/>
      <c r="AD25" s="2249">
        <f>ROUND(SUM(AD22:AD24),1)</f>
        <v>121.4</v>
      </c>
      <c r="AE25" s="1177"/>
      <c r="AF25" s="1140"/>
      <c r="AG25" s="1181">
        <f>ROUND(SUM(AG22:AG24),1)</f>
        <v>9.5</v>
      </c>
      <c r="AH25" s="1159"/>
      <c r="AI25" s="1183">
        <f>ROUND(IF(AG25=0,0,AG25/ABS(AD25)),3)</f>
        <v>7.8E-2</v>
      </c>
    </row>
    <row r="26" spans="1:35" s="398" customFormat="1" ht="19.350000000000001" customHeight="1">
      <c r="A26" s="149"/>
      <c r="B26" s="388"/>
      <c r="C26" s="237"/>
      <c r="D26" s="388" t="s">
        <v>15</v>
      </c>
      <c r="E26" s="237"/>
      <c r="F26" s="388"/>
      <c r="G26" s="237"/>
      <c r="H26" s="863"/>
      <c r="I26" s="855"/>
      <c r="J26" s="863"/>
      <c r="K26" s="237"/>
      <c r="L26" s="863"/>
      <c r="M26" s="855"/>
      <c r="N26" s="863"/>
      <c r="O26" s="855"/>
      <c r="P26" s="863"/>
      <c r="Q26" s="855"/>
      <c r="R26" s="863"/>
      <c r="S26" s="855"/>
      <c r="T26" s="863"/>
      <c r="U26" s="855"/>
      <c r="V26" s="863"/>
      <c r="W26" s="855"/>
      <c r="X26" s="863"/>
      <c r="Y26" s="856"/>
      <c r="Z26" s="857"/>
      <c r="AA26" s="2250"/>
      <c r="AB26" s="1709"/>
      <c r="AC26" s="1707"/>
      <c r="AD26" s="2250"/>
      <c r="AE26" s="1158"/>
      <c r="AF26" s="1139"/>
      <c r="AG26" s="1158"/>
      <c r="AH26" s="1147"/>
      <c r="AI26" s="1146"/>
    </row>
    <row r="27" spans="1:35" s="398" customFormat="1" ht="19.350000000000001" customHeight="1">
      <c r="A27" s="249" t="s">
        <v>158</v>
      </c>
      <c r="B27" s="237"/>
      <c r="C27" s="237"/>
      <c r="D27" s="241" t="s">
        <v>15</v>
      </c>
      <c r="E27" s="237"/>
      <c r="F27" s="237"/>
      <c r="G27" s="237"/>
      <c r="H27" s="855"/>
      <c r="I27" s="855"/>
      <c r="J27" s="855"/>
      <c r="K27" s="237"/>
      <c r="L27" s="855"/>
      <c r="M27" s="855"/>
      <c r="N27" s="855"/>
      <c r="O27" s="855"/>
      <c r="P27" s="855"/>
      <c r="Q27" s="855"/>
      <c r="R27" s="855"/>
      <c r="S27" s="855"/>
      <c r="T27" s="855"/>
      <c r="U27" s="855"/>
      <c r="V27" s="855"/>
      <c r="W27" s="855"/>
      <c r="X27" s="855"/>
      <c r="Y27" s="856"/>
      <c r="Z27" s="857"/>
      <c r="AA27" s="1617"/>
      <c r="AB27" s="1709"/>
      <c r="AC27" s="1708"/>
      <c r="AD27" s="1617"/>
      <c r="AE27" s="1175"/>
      <c r="AF27" s="1139"/>
      <c r="AG27" s="1158"/>
      <c r="AH27" s="1147"/>
      <c r="AI27" s="1146"/>
    </row>
    <row r="28" spans="1:35" s="398" customFormat="1" ht="18.75" customHeight="1">
      <c r="A28" s="249" t="s">
        <v>45</v>
      </c>
      <c r="B28" s="866">
        <f>ROUND(B17-B25,1)</f>
        <v>-4.4000000000000004</v>
      </c>
      <c r="C28" s="389"/>
      <c r="D28" s="866">
        <f>ROUND(D17-D25,1)</f>
        <v>-4.4000000000000004</v>
      </c>
      <c r="E28" s="389"/>
      <c r="F28" s="866">
        <f>ROUND(F17-F25,1)</f>
        <v>-4.7</v>
      </c>
      <c r="G28" s="389"/>
      <c r="H28" s="866">
        <f>ROUND(H17-H25,1)</f>
        <v>-6.1</v>
      </c>
      <c r="I28" s="390"/>
      <c r="J28" s="866">
        <f>ROUND(J17-J25,1)</f>
        <v>20.6</v>
      </c>
      <c r="K28" s="389"/>
      <c r="L28" s="866">
        <f>ROUND(L17-L25,1)</f>
        <v>-5</v>
      </c>
      <c r="M28" s="860"/>
      <c r="N28" s="866">
        <f>ROUND(N17-N25,1)</f>
        <v>3.8</v>
      </c>
      <c r="O28" s="860"/>
      <c r="P28" s="866">
        <f>ROUND(P17-P25,1)</f>
        <v>-4.8</v>
      </c>
      <c r="Q28" s="860"/>
      <c r="R28" s="866">
        <f>ROUND(R17-R25,1)</f>
        <v>8.1</v>
      </c>
      <c r="S28" s="860"/>
      <c r="T28" s="866">
        <f>ROUND(T17-T25,1)</f>
        <v>-6.2</v>
      </c>
      <c r="U28" s="860"/>
      <c r="V28" s="866">
        <f>ROUND(V17-V25,1)</f>
        <v>-4.4000000000000004</v>
      </c>
      <c r="W28" s="860"/>
      <c r="X28" s="866">
        <f>ROUND(X17-X25,1)</f>
        <v>0</v>
      </c>
      <c r="Y28" s="861"/>
      <c r="Z28" s="862"/>
      <c r="AA28" s="3402">
        <f>ROUND(AA17-AA25,1)</f>
        <v>-7.5</v>
      </c>
      <c r="AB28" s="3397"/>
      <c r="AC28" s="3403"/>
      <c r="AD28" s="3402">
        <f>ROUND(AD17-AD25,1)</f>
        <v>-11.7</v>
      </c>
      <c r="AE28" s="1178"/>
      <c r="AF28" s="1140"/>
      <c r="AG28" s="1439">
        <f>ROUND(SUM(AA28-AD28),1)</f>
        <v>4.2</v>
      </c>
      <c r="AH28" s="1147"/>
      <c r="AI28" s="1624">
        <f>ROUND(IF(AG28=0,0,AG28/ABS(AD28)),3)</f>
        <v>0.35899999999999999</v>
      </c>
    </row>
    <row r="29" spans="1:35" s="398" customFormat="1" ht="19.350000000000001" customHeight="1">
      <c r="A29" s="149"/>
      <c r="B29" s="241"/>
      <c r="C29" s="237"/>
      <c r="D29" s="241" t="s">
        <v>15</v>
      </c>
      <c r="E29" s="237"/>
      <c r="F29" s="241"/>
      <c r="G29" s="237"/>
      <c r="H29" s="854"/>
      <c r="I29" s="855"/>
      <c r="J29" s="854"/>
      <c r="K29" s="237"/>
      <c r="L29" s="854"/>
      <c r="M29" s="855"/>
      <c r="N29" s="863"/>
      <c r="O29" s="855"/>
      <c r="P29" s="854"/>
      <c r="Q29" s="855"/>
      <c r="R29" s="863"/>
      <c r="S29" s="855"/>
      <c r="T29" s="854"/>
      <c r="U29" s="855"/>
      <c r="V29" s="854"/>
      <c r="W29" s="855"/>
      <c r="X29" s="863"/>
      <c r="Y29" s="856"/>
      <c r="Z29" s="857"/>
      <c r="AA29" s="1713"/>
      <c r="AB29" s="1709"/>
      <c r="AC29" s="1707"/>
      <c r="AD29" s="1713"/>
      <c r="AE29" s="1158"/>
      <c r="AF29" s="1141"/>
      <c r="AG29" s="1158"/>
      <c r="AH29" s="1147"/>
      <c r="AI29" s="1146"/>
    </row>
    <row r="30" spans="1:35" s="398" customFormat="1" ht="19.350000000000001" customHeight="1">
      <c r="A30" s="249" t="s">
        <v>46</v>
      </c>
      <c r="B30" s="237"/>
      <c r="C30" s="237"/>
      <c r="D30" s="237"/>
      <c r="E30" s="237"/>
      <c r="F30" s="237"/>
      <c r="G30" s="237"/>
      <c r="H30" s="855"/>
      <c r="I30" s="855"/>
      <c r="J30" s="855"/>
      <c r="K30" s="237"/>
      <c r="L30" s="855"/>
      <c r="M30" s="855"/>
      <c r="N30" s="855"/>
      <c r="O30" s="855"/>
      <c r="P30" s="855"/>
      <c r="Q30" s="855"/>
      <c r="R30" s="855"/>
      <c r="S30" s="855"/>
      <c r="T30" s="855"/>
      <c r="U30" s="855"/>
      <c r="V30" s="855"/>
      <c r="W30" s="855"/>
      <c r="X30" s="855"/>
      <c r="Y30" s="856"/>
      <c r="Z30" s="857"/>
      <c r="AA30" s="1617"/>
      <c r="AB30" s="1709"/>
      <c r="AC30" s="1708"/>
      <c r="AD30" s="1617"/>
      <c r="AE30" s="1175"/>
      <c r="AF30" s="1141"/>
      <c r="AG30" s="1158"/>
      <c r="AH30" s="1147"/>
      <c r="AI30" s="1146"/>
    </row>
    <row r="31" spans="1:35" s="398" customFormat="1" ht="19.350000000000001" customHeight="1">
      <c r="A31" s="149" t="s">
        <v>182</v>
      </c>
      <c r="B31" s="864">
        <v>0</v>
      </c>
      <c r="C31" s="237"/>
      <c r="D31" s="864">
        <v>0</v>
      </c>
      <c r="E31" s="237"/>
      <c r="F31" s="864">
        <v>0</v>
      </c>
      <c r="G31" s="237"/>
      <c r="H31" s="864">
        <v>0</v>
      </c>
      <c r="I31" s="1708"/>
      <c r="J31" s="864">
        <v>0</v>
      </c>
      <c r="K31" s="1617"/>
      <c r="L31" s="864">
        <v>0</v>
      </c>
      <c r="M31" s="1708"/>
      <c r="N31" s="1728">
        <v>0</v>
      </c>
      <c r="O31" s="1708"/>
      <c r="P31" s="1728">
        <v>0</v>
      </c>
      <c r="Q31" s="1708"/>
      <c r="R31" s="1728">
        <v>0</v>
      </c>
      <c r="S31" s="1708"/>
      <c r="T31" s="1728">
        <v>0</v>
      </c>
      <c r="U31" s="1708"/>
      <c r="V31" s="1728">
        <f t="shared" ref="V31" si="1">$AA31-$B31-$D31-$F31-$H31-$J31-$L31-$N31-$P31-$R31-$T31</f>
        <v>0</v>
      </c>
      <c r="W31" s="1708"/>
      <c r="X31" s="1728"/>
      <c r="Y31" s="1709"/>
      <c r="Z31" s="1710"/>
      <c r="AA31" s="1728">
        <v>0</v>
      </c>
      <c r="AB31" s="1709"/>
      <c r="AC31" s="1708"/>
      <c r="AD31" s="1728">
        <v>0</v>
      </c>
      <c r="AE31" s="1176"/>
      <c r="AF31" s="1142"/>
      <c r="AG31" s="241">
        <f>ROUND(SUM(AA31-AD31),1)</f>
        <v>0</v>
      </c>
      <c r="AH31" s="1162"/>
      <c r="AI31" s="1163">
        <f>ROUND(IF(AG31=0,0,AG31/ABS(AD31)),3)</f>
        <v>0</v>
      </c>
    </row>
    <row r="32" spans="1:35" s="398" customFormat="1" ht="19.350000000000001" customHeight="1">
      <c r="A32" s="149" t="s">
        <v>183</v>
      </c>
      <c r="B32" s="2210">
        <v>0</v>
      </c>
      <c r="C32" s="237"/>
      <c r="D32" s="864">
        <v>0</v>
      </c>
      <c r="E32" s="237"/>
      <c r="F32" s="864">
        <v>0</v>
      </c>
      <c r="G32" s="237"/>
      <c r="H32" s="864">
        <v>0</v>
      </c>
      <c r="I32" s="1708"/>
      <c r="J32" s="864">
        <v>0</v>
      </c>
      <c r="K32" s="1617"/>
      <c r="L32" s="864">
        <v>0</v>
      </c>
      <c r="M32" s="1708"/>
      <c r="N32" s="1728">
        <v>0</v>
      </c>
      <c r="O32" s="1708"/>
      <c r="P32" s="1728">
        <v>0</v>
      </c>
      <c r="Q32" s="1708"/>
      <c r="R32" s="1728">
        <v>0</v>
      </c>
      <c r="S32" s="1708"/>
      <c r="T32" s="1728">
        <v>0</v>
      </c>
      <c r="U32" s="1708"/>
      <c r="V32" s="1728">
        <f>$AA32-$B32-$D32-$F32-$H32-$J32-$L32-$N32-$P32-$R32-$T32</f>
        <v>0</v>
      </c>
      <c r="W32" s="1708"/>
      <c r="X32" s="1728"/>
      <c r="Y32" s="1709"/>
      <c r="Z32" s="1710"/>
      <c r="AA32" s="3401">
        <v>0</v>
      </c>
      <c r="AB32" s="1709"/>
      <c r="AC32" s="1708"/>
      <c r="AD32" s="3401">
        <v>0</v>
      </c>
      <c r="AE32" s="1176"/>
      <c r="AF32" s="1141"/>
      <c r="AG32" s="241">
        <f>ROUND(SUM(AA32-AD32),1)</f>
        <v>0</v>
      </c>
      <c r="AH32" s="1162"/>
      <c r="AI32" s="1163">
        <f>ROUND(IF(AG32=0,0,AG32/ABS(AD32)),3)</f>
        <v>0</v>
      </c>
    </row>
    <row r="33" spans="1:35" s="398" customFormat="1" ht="22.5" customHeight="1">
      <c r="A33" s="249" t="s">
        <v>209</v>
      </c>
      <c r="B33" s="868">
        <f>ROUND(SUM(B31:B32),1)</f>
        <v>0</v>
      </c>
      <c r="C33" s="389"/>
      <c r="D33" s="868">
        <f>ROUND(SUM(D31:D32),1)</f>
        <v>0</v>
      </c>
      <c r="E33" s="391"/>
      <c r="F33" s="868">
        <f>ROUND(SUM(F31:F32),1)</f>
        <v>0</v>
      </c>
      <c r="G33" s="391"/>
      <c r="H33" s="868">
        <f>ROUND(SUM(H31:H32),1)</f>
        <v>0</v>
      </c>
      <c r="I33" s="869"/>
      <c r="J33" s="868">
        <f>ROUND(SUM(J31:J32),1)</f>
        <v>0</v>
      </c>
      <c r="K33" s="391"/>
      <c r="L33" s="868">
        <f>ROUND(SUM(L31:L32),1)</f>
        <v>0</v>
      </c>
      <c r="M33" s="869"/>
      <c r="N33" s="868">
        <f>ROUND(SUM(N31:N32),1)</f>
        <v>0</v>
      </c>
      <c r="O33" s="869"/>
      <c r="P33" s="868">
        <f>ROUND(SUM(P31:P32),1)</f>
        <v>0</v>
      </c>
      <c r="Q33" s="869"/>
      <c r="R33" s="868">
        <f>ROUND(SUM(R31:R32),1)</f>
        <v>0</v>
      </c>
      <c r="S33" s="869"/>
      <c r="T33" s="868">
        <f>ROUND(SUM(T31:T32),1)</f>
        <v>0</v>
      </c>
      <c r="U33" s="869"/>
      <c r="V33" s="868">
        <f>ROUND(SUM(V31:V32),1)</f>
        <v>0</v>
      </c>
      <c r="W33" s="869"/>
      <c r="X33" s="868">
        <f>ROUND(SUM(X31:X32),1)</f>
        <v>0</v>
      </c>
      <c r="Y33" s="861"/>
      <c r="Z33" s="862"/>
      <c r="AA33" s="3404">
        <f>ROUND(SUM(AA31:AA32),1)</f>
        <v>0</v>
      </c>
      <c r="AB33" s="3405"/>
      <c r="AC33" s="3406"/>
      <c r="AD33" s="3404">
        <f>ROUND(SUM(AD31:AD32),1)</f>
        <v>0</v>
      </c>
      <c r="AE33" s="1179"/>
      <c r="AF33" s="1142"/>
      <c r="AG33" s="1181">
        <f>ROUND(SUM(AG31-AG32),1)</f>
        <v>0</v>
      </c>
      <c r="AH33" s="1167"/>
      <c r="AI33" s="1183">
        <f>ROUND(IF(AG33=0,0,AG33/ABS(AD33)),3)</f>
        <v>0</v>
      </c>
    </row>
    <row r="34" spans="1:35" s="398" customFormat="1" ht="19.350000000000001" customHeight="1">
      <c r="A34" s="149"/>
      <c r="B34" s="388"/>
      <c r="C34" s="237"/>
      <c r="D34" s="388" t="s">
        <v>15</v>
      </c>
      <c r="E34" s="237"/>
      <c r="F34" s="388"/>
      <c r="G34" s="237"/>
      <c r="H34" s="863"/>
      <c r="I34" s="855"/>
      <c r="J34" s="863"/>
      <c r="K34" s="237"/>
      <c r="L34" s="863"/>
      <c r="M34" s="855"/>
      <c r="N34" s="863"/>
      <c r="O34" s="855"/>
      <c r="P34" s="863"/>
      <c r="Q34" s="855"/>
      <c r="R34" s="863"/>
      <c r="S34" s="855"/>
      <c r="T34" s="863"/>
      <c r="U34" s="855"/>
      <c r="V34" s="863"/>
      <c r="W34" s="855"/>
      <c r="X34" s="863"/>
      <c r="Y34" s="856"/>
      <c r="Z34" s="857"/>
      <c r="AA34" s="2250"/>
      <c r="AB34" s="1709"/>
      <c r="AC34" s="1707"/>
      <c r="AD34" s="2250"/>
      <c r="AE34" s="1158"/>
      <c r="AF34" s="1139"/>
      <c r="AG34" s="1158"/>
      <c r="AH34" s="1147"/>
      <c r="AI34" s="1146"/>
    </row>
    <row r="35" spans="1:35" s="398" customFormat="1" ht="19.350000000000001" customHeight="1">
      <c r="A35" s="249" t="s">
        <v>166</v>
      </c>
      <c r="B35" s="237"/>
      <c r="C35" s="237"/>
      <c r="D35" s="237" t="s">
        <v>15</v>
      </c>
      <c r="E35" s="237"/>
      <c r="F35" s="237"/>
      <c r="G35" s="237"/>
      <c r="H35" s="855"/>
      <c r="I35" s="855"/>
      <c r="J35" s="855"/>
      <c r="K35" s="237"/>
      <c r="L35" s="855"/>
      <c r="M35" s="855"/>
      <c r="N35" s="855"/>
      <c r="O35" s="855"/>
      <c r="P35" s="855"/>
      <c r="Q35" s="855"/>
      <c r="R35" s="855"/>
      <c r="S35" s="855"/>
      <c r="T35" s="855"/>
      <c r="U35" s="855"/>
      <c r="V35" s="855"/>
      <c r="W35" s="855"/>
      <c r="X35" s="855"/>
      <c r="Y35" s="856"/>
      <c r="Z35" s="857"/>
      <c r="AA35" s="1617"/>
      <c r="AB35" s="1709"/>
      <c r="AC35" s="1708"/>
      <c r="AD35" s="1617"/>
      <c r="AE35" s="1175"/>
      <c r="AF35" s="1139"/>
      <c r="AG35" s="1158"/>
      <c r="AH35" s="1147"/>
      <c r="AI35" s="1146"/>
    </row>
    <row r="36" spans="1:35" s="398" customFormat="1" ht="19.350000000000001" customHeight="1">
      <c r="A36" s="249" t="s">
        <v>228</v>
      </c>
      <c r="B36" s="237"/>
      <c r="C36" s="237"/>
      <c r="D36" s="237"/>
      <c r="E36" s="237"/>
      <c r="F36" s="237"/>
      <c r="G36" s="237"/>
      <c r="H36" s="855"/>
      <c r="I36" s="855"/>
      <c r="J36" s="855"/>
      <c r="K36" s="237"/>
      <c r="L36" s="855"/>
      <c r="M36" s="855"/>
      <c r="N36" s="855"/>
      <c r="O36" s="855"/>
      <c r="P36" s="855"/>
      <c r="Q36" s="855"/>
      <c r="R36" s="855"/>
      <c r="S36" s="855"/>
      <c r="T36" s="876"/>
      <c r="U36" s="855"/>
      <c r="V36" s="876"/>
      <c r="W36" s="855"/>
      <c r="X36" s="855"/>
      <c r="Y36" s="856"/>
      <c r="Z36" s="857"/>
      <c r="AA36" s="1617"/>
      <c r="AB36" s="1709"/>
      <c r="AC36" s="1708"/>
      <c r="AD36" s="2255"/>
      <c r="AE36" s="1180"/>
      <c r="AF36" s="1143"/>
      <c r="AG36" s="1158"/>
      <c r="AH36" s="1147"/>
      <c r="AI36" s="1146"/>
    </row>
    <row r="37" spans="1:35" s="400" customFormat="1" ht="19.350000000000001" customHeight="1">
      <c r="A37" s="249" t="s">
        <v>950</v>
      </c>
      <c r="B37" s="865">
        <f>ROUND(+B28+B33,1)</f>
        <v>-4.4000000000000004</v>
      </c>
      <c r="C37" s="389"/>
      <c r="D37" s="865">
        <f>ROUND(+D28+D33,1)</f>
        <v>-4.4000000000000004</v>
      </c>
      <c r="E37" s="391"/>
      <c r="F37" s="865">
        <f>ROUND(+F28+F33,1)</f>
        <v>-4.7</v>
      </c>
      <c r="G37" s="391"/>
      <c r="H37" s="865">
        <f>ROUND(+H28+H33,1)</f>
        <v>-6.1</v>
      </c>
      <c r="I37" s="869"/>
      <c r="J37" s="865">
        <f>ROUND(+J28+J33,1)</f>
        <v>20.6</v>
      </c>
      <c r="K37" s="391"/>
      <c r="L37" s="865">
        <f>ROUND(+L28+L33,1)</f>
        <v>-5</v>
      </c>
      <c r="M37" s="870"/>
      <c r="N37" s="865">
        <f>ROUND(+N28+N33,1)</f>
        <v>3.8</v>
      </c>
      <c r="O37" s="870"/>
      <c r="P37" s="865">
        <f>ROUND(+P28+P33,1)</f>
        <v>-4.8</v>
      </c>
      <c r="Q37" s="870"/>
      <c r="R37" s="865">
        <f>ROUND(+R28+R33,1)</f>
        <v>8.1</v>
      </c>
      <c r="S37" s="869"/>
      <c r="T37" s="865">
        <f>ROUND(+T28+T33,1)</f>
        <v>-6.2</v>
      </c>
      <c r="U37" s="869"/>
      <c r="V37" s="865">
        <f>ROUND(+V28+V33,1)</f>
        <v>-4.4000000000000004</v>
      </c>
      <c r="W37" s="869"/>
      <c r="X37" s="865">
        <f>ROUND(+X28+X33,1)</f>
        <v>0</v>
      </c>
      <c r="Y37" s="861"/>
      <c r="Z37" s="862"/>
      <c r="AA37" s="2251">
        <f>ROUND(AA28+AA33,1)</f>
        <v>-7.5</v>
      </c>
      <c r="AB37" s="3386"/>
      <c r="AC37" s="3407"/>
      <c r="AD37" s="2251">
        <f>ROUND(AD28+AD33,1)</f>
        <v>-11.7</v>
      </c>
      <c r="AE37" s="1178"/>
      <c r="AF37" s="1144"/>
      <c r="AG37" s="1439">
        <f>ROUND(SUM(AA37-AD37),1)</f>
        <v>4.2</v>
      </c>
      <c r="AH37" s="1147"/>
      <c r="AI37" s="1623">
        <f>ROUND(IF(AG37=0,0,AG37/ABS(AD37)),3)</f>
        <v>0.35899999999999999</v>
      </c>
    </row>
    <row r="38" spans="1:35" s="398" customFormat="1" ht="22.5" customHeight="1" thickBot="1">
      <c r="A38" s="249" t="s">
        <v>142</v>
      </c>
      <c r="B38" s="871">
        <f>ROUND(B13+B37,1)</f>
        <v>-7.4</v>
      </c>
      <c r="C38" s="384"/>
      <c r="D38" s="871">
        <f>ROUND(D13+D37,1)</f>
        <v>-11.8</v>
      </c>
      <c r="E38" s="384"/>
      <c r="F38" s="871">
        <f>ROUND(F13+F37,1)</f>
        <v>-16.5</v>
      </c>
      <c r="G38" s="384"/>
      <c r="H38" s="871">
        <f>ROUND(H13+H37,1)</f>
        <v>-22.6</v>
      </c>
      <c r="I38" s="872"/>
      <c r="J38" s="871">
        <f>ROUND(J13+J37,1)</f>
        <v>-2</v>
      </c>
      <c r="K38" s="384"/>
      <c r="L38" s="871">
        <f>ROUND(L13+L37,1)</f>
        <v>-7</v>
      </c>
      <c r="M38" s="385"/>
      <c r="N38" s="871">
        <f>ROUND(N13+N37,1)</f>
        <v>-3.2</v>
      </c>
      <c r="O38" s="385"/>
      <c r="P38" s="871">
        <f>ROUND(P13+P37,1)</f>
        <v>-8</v>
      </c>
      <c r="Q38" s="385"/>
      <c r="R38" s="871">
        <f>ROUND(R13+R37,1)</f>
        <v>0.1</v>
      </c>
      <c r="S38" s="872"/>
      <c r="T38" s="871">
        <f>ROUND(T13+T37,1)</f>
        <v>-6.1</v>
      </c>
      <c r="U38" s="872"/>
      <c r="V38" s="871">
        <f>ROUND(V13+V37,1)</f>
        <v>-10.5</v>
      </c>
      <c r="W38" s="872"/>
      <c r="X38" s="871">
        <f>ROUND(X13+X37,1)</f>
        <v>0</v>
      </c>
      <c r="Y38" s="846"/>
      <c r="Z38" s="847"/>
      <c r="AA38" s="3408">
        <f>ROUND(SUM(AA13,AA37),1)</f>
        <v>-10.5</v>
      </c>
      <c r="AB38" s="2257"/>
      <c r="AC38" s="3409"/>
      <c r="AD38" s="3613">
        <f>ROUND(SUM(AD13,AD37),1)</f>
        <v>-13.7</v>
      </c>
      <c r="AE38" s="1154"/>
      <c r="AF38" s="1145"/>
      <c r="AG38" s="1184">
        <f>ROUND(SUM(AA38-AD38),1)</f>
        <v>3.2</v>
      </c>
      <c r="AH38" s="1166"/>
      <c r="AI38" s="1507">
        <f>ROUND(IF(AG38=0,0,AG38/ABS(AD38)),3)</f>
        <v>0.23400000000000001</v>
      </c>
    </row>
    <row r="39" spans="1:35" s="398" customFormat="1" ht="19.350000000000001" customHeight="1" thickTop="1">
      <c r="A39" s="149" t="s">
        <v>15</v>
      </c>
      <c r="B39" s="873"/>
      <c r="C39" s="874"/>
      <c r="D39" s="873"/>
      <c r="E39" s="874"/>
      <c r="F39" s="873"/>
      <c r="G39" s="874"/>
      <c r="H39" s="873"/>
      <c r="I39" s="874"/>
      <c r="J39" s="873"/>
      <c r="K39" s="874"/>
      <c r="L39" s="873"/>
      <c r="M39" s="874"/>
      <c r="N39" s="873"/>
      <c r="O39" s="874"/>
      <c r="P39" s="873"/>
      <c r="Q39" s="874"/>
      <c r="R39" s="873"/>
      <c r="S39" s="874"/>
      <c r="T39" s="873"/>
      <c r="U39" s="874"/>
      <c r="V39" s="873"/>
      <c r="W39" s="874"/>
      <c r="X39" s="873"/>
      <c r="Y39" s="874"/>
      <c r="Z39" s="874"/>
      <c r="AA39" s="3410"/>
      <c r="AB39" s="2259"/>
      <c r="AC39" s="2259"/>
      <c r="AD39" s="2259"/>
      <c r="AE39" s="1165"/>
      <c r="AF39" s="1165"/>
      <c r="AG39" s="1156"/>
      <c r="AH39" s="1147"/>
      <c r="AI39" s="1146"/>
    </row>
    <row r="40" spans="1:35" s="398" customFormat="1" ht="19.350000000000001" customHeight="1">
      <c r="B40" s="677"/>
      <c r="C40" s="825"/>
      <c r="D40" s="677"/>
      <c r="E40" s="677"/>
      <c r="F40" s="677"/>
      <c r="G40" s="677"/>
      <c r="H40" s="677"/>
      <c r="I40" s="677"/>
      <c r="J40" s="677"/>
      <c r="K40" s="677"/>
      <c r="L40" s="677"/>
      <c r="M40" s="677"/>
      <c r="N40" s="677"/>
      <c r="O40" s="677"/>
      <c r="P40" s="677"/>
      <c r="Q40" s="677"/>
      <c r="R40" s="677"/>
      <c r="S40" s="677"/>
      <c r="T40" s="677"/>
      <c r="U40" s="677"/>
      <c r="V40" s="677"/>
      <c r="W40" s="677"/>
      <c r="X40" s="677"/>
      <c r="Y40" s="677"/>
      <c r="Z40" s="875"/>
      <c r="AA40" s="2259"/>
      <c r="AB40" s="2259"/>
      <c r="AC40" s="2259"/>
      <c r="AD40" s="2259"/>
      <c r="AE40" s="1165"/>
      <c r="AF40" s="1165"/>
      <c r="AG40" s="1156"/>
      <c r="AH40" s="1147"/>
      <c r="AI40" s="1146"/>
    </row>
    <row r="41" spans="1:35" ht="15.75" customHeight="1">
      <c r="A41" s="401"/>
      <c r="B41" s="825"/>
      <c r="C41" s="825"/>
      <c r="D41" s="825"/>
      <c r="E41" s="825"/>
      <c r="F41" s="825"/>
      <c r="G41" s="825"/>
      <c r="H41" s="825"/>
      <c r="I41" s="825"/>
      <c r="J41" s="825"/>
      <c r="K41" s="825"/>
      <c r="L41" s="825"/>
      <c r="M41" s="825"/>
      <c r="N41" s="825"/>
      <c r="O41" s="825"/>
      <c r="P41" s="825"/>
      <c r="Q41" s="825"/>
      <c r="R41" s="825"/>
      <c r="S41" s="825"/>
      <c r="T41" s="825"/>
      <c r="U41" s="825"/>
      <c r="V41" s="825"/>
      <c r="W41" s="825"/>
      <c r="X41" s="825"/>
      <c r="Y41" s="825"/>
      <c r="Z41" s="825"/>
      <c r="AA41" s="140"/>
      <c r="AB41" s="140"/>
      <c r="AC41" s="140"/>
      <c r="AD41" s="3412"/>
      <c r="AE41" s="1149"/>
      <c r="AF41" s="1149"/>
      <c r="AG41" s="1156"/>
    </row>
    <row r="42" spans="1:35">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row>
    <row r="43" spans="1:35" ht="13.5" customHeight="1">
      <c r="A43" s="699"/>
      <c r="B43" s="825"/>
      <c r="C43" s="825"/>
      <c r="D43" s="825"/>
      <c r="E43" s="825"/>
      <c r="F43" s="825"/>
      <c r="G43" s="825"/>
      <c r="H43" s="825"/>
      <c r="I43" s="825"/>
      <c r="J43" s="825"/>
      <c r="K43" s="825"/>
      <c r="L43" s="825"/>
      <c r="M43" s="825"/>
      <c r="N43" s="825"/>
      <c r="O43" s="825"/>
      <c r="P43" s="825"/>
      <c r="Q43" s="825"/>
      <c r="R43" s="825"/>
      <c r="S43" s="825"/>
      <c r="T43" s="825"/>
      <c r="U43" s="825"/>
      <c r="V43" s="825"/>
      <c r="W43" s="825"/>
      <c r="X43" s="825"/>
      <c r="Y43" s="825"/>
      <c r="Z43" s="825"/>
      <c r="AA43" s="140"/>
      <c r="AB43" s="140"/>
      <c r="AC43" s="140"/>
      <c r="AD43" s="3412"/>
      <c r="AE43" s="1149"/>
      <c r="AF43" s="1149"/>
      <c r="AG43" s="1156"/>
    </row>
    <row r="44" spans="1:35">
      <c r="A44" s="699"/>
      <c r="B44" s="825"/>
      <c r="C44" s="825"/>
      <c r="D44" s="825"/>
      <c r="E44" s="825"/>
      <c r="F44" s="825"/>
      <c r="G44" s="825"/>
      <c r="H44" s="825"/>
      <c r="I44" s="825"/>
      <c r="J44" s="825"/>
      <c r="K44" s="825"/>
      <c r="L44" s="825"/>
      <c r="M44" s="825"/>
      <c r="N44" s="825"/>
      <c r="O44" s="825"/>
      <c r="P44" s="825"/>
      <c r="Q44" s="825"/>
      <c r="R44" s="825"/>
      <c r="S44" s="825"/>
      <c r="T44" s="825"/>
      <c r="U44" s="825"/>
      <c r="V44" s="825"/>
      <c r="W44" s="825"/>
      <c r="X44" s="825"/>
      <c r="Y44" s="825"/>
      <c r="Z44" s="825"/>
      <c r="AA44" s="140"/>
      <c r="AB44" s="140"/>
      <c r="AC44" s="140"/>
      <c r="AD44" s="3412"/>
      <c r="AE44" s="1149"/>
      <c r="AF44" s="1149"/>
      <c r="AG44" s="1156"/>
    </row>
    <row r="45" spans="1:35">
      <c r="A45" s="699"/>
      <c r="B45" s="825"/>
      <c r="C45" s="825"/>
      <c r="D45" s="825"/>
      <c r="E45" s="825"/>
      <c r="F45" s="825"/>
      <c r="G45" s="825"/>
      <c r="H45" s="825"/>
      <c r="I45" s="825"/>
      <c r="J45" s="825"/>
      <c r="K45" s="825"/>
      <c r="L45" s="825"/>
      <c r="M45" s="825"/>
      <c r="N45" s="825"/>
      <c r="O45" s="825"/>
      <c r="P45" s="825"/>
      <c r="Q45" s="825"/>
      <c r="R45" s="825"/>
      <c r="S45" s="825"/>
      <c r="T45" s="825"/>
      <c r="U45" s="825"/>
      <c r="V45" s="825"/>
      <c r="W45" s="825"/>
      <c r="X45" s="825"/>
      <c r="Y45" s="825"/>
      <c r="Z45" s="825"/>
      <c r="AA45" s="140"/>
      <c r="AB45" s="140"/>
      <c r="AC45" s="140"/>
      <c r="AD45" s="3412"/>
      <c r="AE45" s="1149"/>
      <c r="AF45" s="1149"/>
    </row>
    <row r="46" spans="1:35">
      <c r="A46" s="699"/>
      <c r="B46" s="825"/>
      <c r="C46" s="825"/>
      <c r="D46" s="825"/>
      <c r="E46" s="825"/>
      <c r="F46" s="825"/>
      <c r="G46" s="825"/>
      <c r="H46" s="825"/>
      <c r="I46" s="825"/>
      <c r="J46" s="825"/>
      <c r="K46" s="825"/>
      <c r="L46" s="825"/>
      <c r="M46" s="825"/>
      <c r="N46" s="825"/>
      <c r="O46" s="825"/>
      <c r="P46" s="825"/>
      <c r="Q46" s="825"/>
      <c r="R46" s="825"/>
      <c r="S46" s="825"/>
      <c r="T46" s="825"/>
      <c r="U46" s="825"/>
      <c r="V46" s="825"/>
      <c r="W46" s="825"/>
      <c r="X46" s="825"/>
      <c r="Y46" s="825"/>
      <c r="Z46" s="825"/>
      <c r="AA46" s="140"/>
      <c r="AB46" s="140"/>
      <c r="AC46" s="140"/>
      <c r="AD46" s="3412"/>
      <c r="AE46" s="1149"/>
      <c r="AF46" s="1149"/>
    </row>
    <row r="47" spans="1:35">
      <c r="A47" s="699"/>
      <c r="B47" s="699"/>
      <c r="C47" s="699"/>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107"/>
      <c r="AB47" s="107"/>
      <c r="AC47" s="107"/>
      <c r="AD47" s="193"/>
    </row>
  </sheetData>
  <mergeCells count="2">
    <mergeCell ref="AC9:AI9"/>
    <mergeCell ref="Z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zoomScaleNormal="70" workbookViewId="0"/>
  </sheetViews>
  <sheetFormatPr defaultColWidth="8.88671875" defaultRowHeight="12.75"/>
  <cols>
    <col min="1" max="1" width="46.88671875" style="396" customWidth="1"/>
    <col min="2" max="2" width="10" style="396" customWidth="1"/>
    <col min="3" max="3" width="1.88671875" style="396" customWidth="1"/>
    <col min="4" max="4" width="10.88671875" style="396" customWidth="1"/>
    <col min="5" max="5" width="1.88671875" style="396" customWidth="1"/>
    <col min="6" max="6" width="10" style="396" customWidth="1"/>
    <col min="7" max="7" width="1.88671875" style="396" customWidth="1"/>
    <col min="8" max="8" width="10" style="396" customWidth="1"/>
    <col min="9" max="9" width="1.88671875" style="396" customWidth="1"/>
    <col min="10" max="10" width="10.88671875" style="396" customWidth="1"/>
    <col min="11" max="11" width="1.88671875" style="396" customWidth="1"/>
    <col min="12" max="12" width="14.109375" style="396" customWidth="1"/>
    <col min="13" max="13" width="1.88671875" style="396" customWidth="1"/>
    <col min="14" max="14" width="15.44140625" style="396" bestFit="1" customWidth="1"/>
    <col min="15" max="15" width="1.88671875" style="396" customWidth="1"/>
    <col min="16" max="16" width="13.5546875" style="396" bestFit="1" customWidth="1"/>
    <col min="17" max="17" width="1.88671875" style="396" customWidth="1"/>
    <col min="18" max="18" width="13.5546875" style="396" bestFit="1" customWidth="1"/>
    <col min="19" max="19" width="1.88671875" style="396" customWidth="1"/>
    <col min="20" max="20" width="11" style="396" bestFit="1" customWidth="1"/>
    <col min="21" max="21" width="1.88671875" style="396" customWidth="1"/>
    <col min="22" max="22" width="12.88671875" style="396" bestFit="1" customWidth="1"/>
    <col min="23" max="23" width="1.88671875" style="396" customWidth="1"/>
    <col min="24" max="24" width="8.88671875" style="2260" customWidth="1"/>
    <col min="25" max="26" width="1.88671875" style="2260" customWidth="1"/>
    <col min="27" max="27" width="10.109375" style="2260" customWidth="1"/>
    <col min="28" max="29" width="1.88671875" style="2260" customWidth="1"/>
    <col min="30" max="30" width="10.109375" style="2260" customWidth="1"/>
    <col min="31" max="31" width="1.88671875" style="2260" customWidth="1"/>
    <col min="32" max="32" width="2.44140625" style="2260" customWidth="1"/>
    <col min="33" max="33" width="10.109375" style="3452" bestFit="1" customWidth="1"/>
    <col min="34" max="34" width="1.88671875" style="403" customWidth="1"/>
    <col min="35" max="35" width="11.109375" style="396" customWidth="1"/>
    <col min="36" max="16384" width="8.88671875" style="396"/>
  </cols>
  <sheetData>
    <row r="1" spans="1:35" ht="15">
      <c r="A1" s="653" t="s">
        <v>979</v>
      </c>
    </row>
    <row r="2" spans="1:35" ht="15">
      <c r="A2" s="834"/>
    </row>
    <row r="3" spans="1:35" ht="20.25" customHeight="1">
      <c r="A3" s="3713"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453"/>
      <c r="AI3" s="840" t="s">
        <v>230</v>
      </c>
    </row>
    <row r="4" spans="1:35" ht="20.25" customHeight="1">
      <c r="A4" s="1570" t="s">
        <v>229</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453"/>
    </row>
    <row r="5" spans="1:35" ht="20.25" customHeight="1">
      <c r="A5" s="1570" t="s">
        <v>124</v>
      </c>
      <c r="B5" s="31"/>
      <c r="C5" s="31"/>
      <c r="D5" s="31"/>
      <c r="E5" s="31"/>
      <c r="F5" s="31"/>
      <c r="G5" s="31"/>
      <c r="H5" s="31"/>
      <c r="I5" s="31"/>
      <c r="J5" s="31"/>
      <c r="K5" s="29"/>
      <c r="L5" s="29"/>
      <c r="M5" s="31"/>
      <c r="N5" s="31"/>
      <c r="O5" s="31"/>
      <c r="P5" s="31"/>
      <c r="Q5" s="31"/>
      <c r="R5" s="31"/>
      <c r="S5" s="31"/>
      <c r="T5" s="31"/>
      <c r="U5" s="31"/>
      <c r="V5" s="31"/>
      <c r="W5" s="31"/>
      <c r="X5" s="107"/>
      <c r="Y5" s="107"/>
      <c r="Z5" s="107"/>
      <c r="AB5" s="3393"/>
      <c r="AC5" s="3393"/>
      <c r="AE5" s="3348"/>
      <c r="AG5" s="3453"/>
    </row>
    <row r="6" spans="1:35" ht="20.25" customHeight="1">
      <c r="A6" s="1570"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453"/>
    </row>
    <row r="7" spans="1:35" ht="20.25" customHeight="1">
      <c r="A7" s="3713" t="s">
        <v>1416</v>
      </c>
      <c r="B7" s="31"/>
      <c r="C7" s="31"/>
      <c r="D7" s="31"/>
      <c r="E7" s="31"/>
      <c r="F7" s="31"/>
      <c r="G7" s="31"/>
      <c r="H7" s="31"/>
      <c r="I7" s="31"/>
      <c r="J7" s="31"/>
      <c r="K7" s="29"/>
      <c r="L7" s="31"/>
      <c r="M7" s="31"/>
      <c r="N7" s="31"/>
      <c r="O7" s="31"/>
      <c r="P7" s="31"/>
      <c r="Q7" s="31"/>
      <c r="R7" s="31"/>
      <c r="S7" s="31"/>
      <c r="T7" s="31"/>
      <c r="U7" s="31"/>
      <c r="V7" s="31"/>
      <c r="W7" s="31"/>
      <c r="X7" s="107"/>
      <c r="Y7" s="107"/>
      <c r="Z7" s="107"/>
      <c r="AA7" s="3347"/>
      <c r="AB7" s="3347"/>
      <c r="AC7" s="3347"/>
      <c r="AD7" s="3347"/>
      <c r="AE7" s="3347"/>
      <c r="AF7" s="3347"/>
      <c r="AG7" s="1702"/>
      <c r="AH7" s="1147"/>
      <c r="AI7" s="1146"/>
    </row>
    <row r="8" spans="1:35" s="398"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347"/>
      <c r="AB8" s="3347"/>
      <c r="AC8" s="3347"/>
      <c r="AD8" s="3347"/>
      <c r="AE8" s="3347"/>
      <c r="AF8" s="3347"/>
      <c r="AG8" s="1702"/>
      <c r="AH8" s="1147"/>
      <c r="AI8" s="1146"/>
    </row>
    <row r="9" spans="1:35" s="398" customFormat="1" ht="19.350000000000001"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347"/>
      <c r="AB9" s="3347"/>
      <c r="AC9" s="3941"/>
      <c r="AD9" s="3942"/>
      <c r="AE9" s="3942"/>
      <c r="AF9" s="3942"/>
      <c r="AG9" s="3942"/>
      <c r="AH9" s="3942"/>
      <c r="AI9" s="3942"/>
    </row>
    <row r="10" spans="1:35" s="398"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63"/>
      <c r="W10" s="841"/>
      <c r="X10" s="3413"/>
      <c r="Y10" s="3411"/>
      <c r="Z10" s="1704"/>
      <c r="AA10" s="3940" t="s">
        <v>1594</v>
      </c>
      <c r="AB10" s="3943"/>
      <c r="AC10" s="3943"/>
      <c r="AD10" s="3943"/>
      <c r="AE10" s="3943"/>
      <c r="AF10" s="3943"/>
      <c r="AG10" s="3943"/>
      <c r="AH10" s="3943"/>
      <c r="AI10" s="3943"/>
    </row>
    <row r="11" spans="1:35" s="398" customFormat="1" ht="19.350000000000001" customHeight="1">
      <c r="A11" s="149"/>
      <c r="B11" s="779" t="str">
        <f>'Cashflow Governmental'!C13</f>
        <v>2019</v>
      </c>
      <c r="C11" s="249"/>
      <c r="D11" s="249"/>
      <c r="E11" s="249"/>
      <c r="F11" s="249"/>
      <c r="G11" s="249"/>
      <c r="H11" s="249"/>
      <c r="I11" s="249"/>
      <c r="J11" s="249"/>
      <c r="K11" s="249"/>
      <c r="L11" s="249"/>
      <c r="M11" s="249"/>
      <c r="N11" s="249"/>
      <c r="O11" s="249"/>
      <c r="P11" s="249"/>
      <c r="Q11" s="249"/>
      <c r="R11" s="249"/>
      <c r="S11" s="249"/>
      <c r="T11" s="779" t="str">
        <f>'Cashflow Governmental'!U13</f>
        <v>2020</v>
      </c>
      <c r="U11" s="249"/>
      <c r="V11" s="781"/>
      <c r="W11" s="249"/>
      <c r="X11" s="1693"/>
      <c r="Y11" s="1693"/>
      <c r="Z11" s="3373"/>
      <c r="AA11" s="3352"/>
      <c r="AB11" s="3352"/>
      <c r="AC11" s="3352"/>
      <c r="AD11" s="3454"/>
      <c r="AE11" s="3454"/>
      <c r="AF11" s="3352"/>
      <c r="AG11" s="3355" t="s">
        <v>8</v>
      </c>
      <c r="AH11" s="1150"/>
      <c r="AI11" s="1151" t="s">
        <v>9</v>
      </c>
    </row>
    <row r="12" spans="1:35" s="398" customFormat="1" ht="19.350000000000001" customHeight="1">
      <c r="A12" s="149"/>
      <c r="B12" s="781" t="s">
        <v>125</v>
      </c>
      <c r="C12" s="249"/>
      <c r="D12" s="844" t="s">
        <v>126</v>
      </c>
      <c r="E12" s="249"/>
      <c r="F12" s="844" t="s">
        <v>127</v>
      </c>
      <c r="G12" s="249"/>
      <c r="H12" s="844" t="s">
        <v>128</v>
      </c>
      <c r="I12" s="249"/>
      <c r="J12" s="845" t="s">
        <v>227</v>
      </c>
      <c r="K12" s="249"/>
      <c r="L12" s="845" t="s">
        <v>144</v>
      </c>
      <c r="M12" s="249"/>
      <c r="N12" s="845" t="s">
        <v>145</v>
      </c>
      <c r="O12" s="249"/>
      <c r="P12" s="844" t="s">
        <v>132</v>
      </c>
      <c r="Q12" s="249"/>
      <c r="R12" s="844" t="s">
        <v>133</v>
      </c>
      <c r="S12" s="249"/>
      <c r="T12" s="845" t="s">
        <v>134</v>
      </c>
      <c r="U12" s="249"/>
      <c r="V12" s="844" t="s">
        <v>135</v>
      </c>
      <c r="W12" s="249"/>
      <c r="X12" s="3414" t="s">
        <v>186</v>
      </c>
      <c r="Y12" s="1693"/>
      <c r="Z12" s="1693"/>
      <c r="AA12" s="3415">
        <f>'Cashflow Governmental'!AB14</f>
        <v>2020</v>
      </c>
      <c r="AB12" s="3415"/>
      <c r="AC12" s="3391"/>
      <c r="AD12" s="3611">
        <f>'Cashflow Governmental'!AE14</f>
        <v>2019</v>
      </c>
      <c r="AE12" s="3391"/>
      <c r="AF12" s="3391"/>
      <c r="AG12" s="3358" t="s">
        <v>12</v>
      </c>
      <c r="AH12" s="1153"/>
      <c r="AI12" s="1152" t="s">
        <v>13</v>
      </c>
    </row>
    <row r="13" spans="1:35" s="1704" customFormat="1" ht="19.350000000000001" customHeight="1">
      <c r="A13" s="1693" t="s">
        <v>137</v>
      </c>
      <c r="B13" s="1694">
        <v>13.2</v>
      </c>
      <c r="C13" s="1695"/>
      <c r="D13" s="1694">
        <f>B38</f>
        <v>13.4</v>
      </c>
      <c r="E13" s="1695"/>
      <c r="F13" s="1694">
        <f>D38</f>
        <v>13.5</v>
      </c>
      <c r="G13" s="1695" t="s">
        <v>15</v>
      </c>
      <c r="H13" s="1694">
        <f>F38</f>
        <v>13.6</v>
      </c>
      <c r="I13" s="1696" t="s">
        <v>15</v>
      </c>
      <c r="J13" s="1694">
        <f>H38</f>
        <v>13.7</v>
      </c>
      <c r="K13" s="1695"/>
      <c r="L13" s="1694">
        <f>J38</f>
        <v>13.8</v>
      </c>
      <c r="M13" s="1696"/>
      <c r="N13" s="1694">
        <f>L38</f>
        <v>13.8</v>
      </c>
      <c r="O13" s="1696"/>
      <c r="P13" s="1694">
        <f>N38</f>
        <v>13.9</v>
      </c>
      <c r="Q13" s="1696"/>
      <c r="R13" s="1694">
        <f>P38</f>
        <v>14</v>
      </c>
      <c r="S13" s="1696"/>
      <c r="T13" s="1694">
        <f>R38</f>
        <v>14.1</v>
      </c>
      <c r="U13" s="1696"/>
      <c r="V13" s="1694">
        <f>T38</f>
        <v>14.1</v>
      </c>
      <c r="W13" s="1696"/>
      <c r="X13" s="1694" t="s">
        <v>15</v>
      </c>
      <c r="Y13" s="1697"/>
      <c r="Z13" s="1698"/>
      <c r="AA13" s="3416">
        <f>+B13</f>
        <v>13.2</v>
      </c>
      <c r="AB13" s="3417"/>
      <c r="AC13" s="3418"/>
      <c r="AD13" s="1694">
        <v>11.9</v>
      </c>
      <c r="AE13" s="1699"/>
      <c r="AF13" s="1700"/>
      <c r="AG13" s="1701">
        <f>ROUND(SUM(AA13-AD13),1)</f>
        <v>1.3</v>
      </c>
      <c r="AH13" s="1702"/>
      <c r="AI13" s="1703">
        <f>ROUND(IF(AG13=0,0,AG13/(AD13)),3)</f>
        <v>0.109</v>
      </c>
    </row>
    <row r="14" spans="1:35" s="398" customFormat="1" ht="19.350000000000001" customHeight="1">
      <c r="A14" s="149"/>
      <c r="B14" s="386"/>
      <c r="C14" s="386"/>
      <c r="D14" s="386"/>
      <c r="E14" s="386"/>
      <c r="F14" s="386"/>
      <c r="G14" s="386"/>
      <c r="H14" s="852"/>
      <c r="I14" s="852"/>
      <c r="J14" s="852"/>
      <c r="K14" s="386"/>
      <c r="L14" s="852"/>
      <c r="M14" s="852"/>
      <c r="N14" s="852"/>
      <c r="O14" s="852"/>
      <c r="P14" s="852"/>
      <c r="Q14" s="852"/>
      <c r="R14" s="852"/>
      <c r="S14" s="852"/>
      <c r="T14" s="852"/>
      <c r="U14" s="852"/>
      <c r="V14" s="852"/>
      <c r="W14" s="852"/>
      <c r="X14" s="3396"/>
      <c r="Y14" s="3395"/>
      <c r="Z14" s="3419"/>
      <c r="AA14" s="3420"/>
      <c r="AB14" s="3421"/>
      <c r="AC14" s="3422"/>
      <c r="AD14" s="3420"/>
      <c r="AE14" s="3420"/>
      <c r="AF14" s="3392"/>
      <c r="AG14" s="3361"/>
      <c r="AH14" s="1147"/>
      <c r="AI14" s="1146"/>
    </row>
    <row r="15" spans="1:35" s="398" customFormat="1" ht="19.350000000000001" customHeight="1">
      <c r="A15" s="249" t="s">
        <v>14</v>
      </c>
      <c r="B15" s="386"/>
      <c r="C15" s="386"/>
      <c r="D15" s="386"/>
      <c r="E15" s="386"/>
      <c r="F15" s="386"/>
      <c r="G15" s="386"/>
      <c r="H15" s="852"/>
      <c r="I15" s="852"/>
      <c r="J15" s="852"/>
      <c r="K15" s="386"/>
      <c r="L15" s="852"/>
      <c r="M15" s="852"/>
      <c r="N15" s="852"/>
      <c r="O15" s="852"/>
      <c r="P15" s="852"/>
      <c r="Q15" s="852"/>
      <c r="R15" s="852"/>
      <c r="S15" s="852"/>
      <c r="T15" s="852"/>
      <c r="U15" s="852"/>
      <c r="V15" s="852"/>
      <c r="W15" s="852"/>
      <c r="X15" s="3396"/>
      <c r="Y15" s="3395"/>
      <c r="Z15" s="3419"/>
      <c r="AA15" s="3420"/>
      <c r="AB15" s="3421"/>
      <c r="AC15" s="3422"/>
      <c r="AD15" s="3420"/>
      <c r="AE15" s="3420"/>
      <c r="AF15" s="3392"/>
      <c r="AG15" s="3361"/>
      <c r="AH15" s="1147"/>
      <c r="AI15" s="1146"/>
    </row>
    <row r="16" spans="1:35" s="1704" customFormat="1" ht="19.350000000000001" customHeight="1">
      <c r="A16" s="1705" t="s">
        <v>179</v>
      </c>
      <c r="B16" s="1889">
        <v>0.2</v>
      </c>
      <c r="C16" s="237"/>
      <c r="D16" s="1889">
        <v>9.9999999999999978E-2</v>
      </c>
      <c r="E16" s="237"/>
      <c r="F16" s="1889">
        <v>0.10000000000000003</v>
      </c>
      <c r="G16" s="237"/>
      <c r="H16" s="1889">
        <v>0.19999999999999996</v>
      </c>
      <c r="I16" s="1707"/>
      <c r="J16" s="1889">
        <v>9.9999999999999978E-2</v>
      </c>
      <c r="K16" s="1617"/>
      <c r="L16" s="1889">
        <v>0.10000000000000014</v>
      </c>
      <c r="M16" s="1708"/>
      <c r="N16" s="1706">
        <v>9.9999999999999867E-2</v>
      </c>
      <c r="O16" s="1708"/>
      <c r="P16" s="1706">
        <v>0.10000000000000014</v>
      </c>
      <c r="Q16" s="1708"/>
      <c r="R16" s="1706">
        <v>0.19999999999999996</v>
      </c>
      <c r="S16" s="1708"/>
      <c r="T16" s="1706">
        <v>0</v>
      </c>
      <c r="U16" s="1708"/>
      <c r="V16" s="1706">
        <f>$AA16-$B16-$D16-$F16-$H16-$J16-$L16-$N16-$P16-$R16-$T16</f>
        <v>9.9999999999999867E-2</v>
      </c>
      <c r="W16" s="1708"/>
      <c r="X16" s="1706"/>
      <c r="Y16" s="1709"/>
      <c r="Z16" s="1710"/>
      <c r="AA16" s="1706">
        <v>1.3</v>
      </c>
      <c r="AB16" s="3423"/>
      <c r="AC16" s="3424"/>
      <c r="AD16" s="1706">
        <v>1.3</v>
      </c>
      <c r="AE16" s="1711"/>
      <c r="AF16" s="1712"/>
      <c r="AG16" s="1713">
        <f>ROUND(SUM(AA16-AD16),1)</f>
        <v>0</v>
      </c>
      <c r="AH16" s="1702"/>
      <c r="AI16" s="1974">
        <f>ROUND(IF(AD16=0,-1,AG16/ABS(AD16)),3)</f>
        <v>0</v>
      </c>
    </row>
    <row r="17" spans="1:35" s="398" customFormat="1" ht="24" customHeight="1">
      <c r="A17" s="249" t="s">
        <v>151</v>
      </c>
      <c r="B17" s="865">
        <f>ROUND(SUM(B16),1)</f>
        <v>0.2</v>
      </c>
      <c r="C17" s="389"/>
      <c r="D17" s="865">
        <f>ROUND(SUM(D16),1)</f>
        <v>0.1</v>
      </c>
      <c r="E17" s="389"/>
      <c r="F17" s="865">
        <f>ROUND(SUM(F16),1)</f>
        <v>0.1</v>
      </c>
      <c r="G17" s="389"/>
      <c r="H17" s="865">
        <f>ROUND(SUM(H16),1)</f>
        <v>0.2</v>
      </c>
      <c r="I17" s="859"/>
      <c r="J17" s="3160">
        <f>ROUND(SUM(J16),1)</f>
        <v>0.1</v>
      </c>
      <c r="K17" s="389"/>
      <c r="L17" s="865">
        <f>ROUND(SUM(L16),1)</f>
        <v>0.1</v>
      </c>
      <c r="M17" s="860"/>
      <c r="N17" s="865">
        <f>ROUND(SUM(N16),1)</f>
        <v>0.1</v>
      </c>
      <c r="O17" s="860"/>
      <c r="P17" s="865">
        <f>ROUND(SUM(P16),1)</f>
        <v>0.1</v>
      </c>
      <c r="Q17" s="860"/>
      <c r="R17" s="2157">
        <f>ROUND(SUM(R16),1)</f>
        <v>0.2</v>
      </c>
      <c r="S17" s="860"/>
      <c r="T17" s="865">
        <f>ROUND(SUM(T16),1)</f>
        <v>0</v>
      </c>
      <c r="U17" s="860"/>
      <c r="V17" s="2165">
        <f>ROUND(SUM(V16),1)</f>
        <v>0.1</v>
      </c>
      <c r="W17" s="860"/>
      <c r="X17" s="3425">
        <f>ROUND(SUM(X16),1)</f>
        <v>0</v>
      </c>
      <c r="Y17" s="3397"/>
      <c r="Z17" s="3398"/>
      <c r="AA17" s="3426">
        <f>ROUND(SUM(AA16),1)</f>
        <v>1.3</v>
      </c>
      <c r="AB17" s="3427"/>
      <c r="AC17" s="3428"/>
      <c r="AD17" s="1740">
        <f>ROUND(SUM(AD16),1)</f>
        <v>1.3</v>
      </c>
      <c r="AE17" s="3426"/>
      <c r="AF17" s="1712"/>
      <c r="AG17" s="3455">
        <f>ROUND(SUM(AG16),1)</f>
        <v>0</v>
      </c>
      <c r="AH17" s="1182"/>
      <c r="AI17" s="1975">
        <f>ROUND(IF(AD17=0,-1,AG17/ABS(AD17)),3)</f>
        <v>0</v>
      </c>
    </row>
    <row r="18" spans="1:35" s="398" customFormat="1" ht="19.350000000000001" customHeight="1">
      <c r="A18" s="149"/>
      <c r="B18" s="388"/>
      <c r="C18" s="237"/>
      <c r="D18" s="388" t="s">
        <v>15</v>
      </c>
      <c r="E18" s="237"/>
      <c r="F18" s="388"/>
      <c r="G18" s="237"/>
      <c r="H18" s="863"/>
      <c r="I18" s="855"/>
      <c r="J18" s="863"/>
      <c r="K18" s="237"/>
      <c r="L18" s="863"/>
      <c r="M18" s="855"/>
      <c r="N18" s="863"/>
      <c r="O18" s="855"/>
      <c r="P18" s="863"/>
      <c r="Q18" s="855"/>
      <c r="R18" s="863"/>
      <c r="S18" s="855"/>
      <c r="T18" s="863"/>
      <c r="U18" s="855"/>
      <c r="V18" s="863"/>
      <c r="W18" s="855"/>
      <c r="X18" s="3429"/>
      <c r="Y18" s="1709"/>
      <c r="Z18" s="1710"/>
      <c r="AA18" s="3430"/>
      <c r="AB18" s="3423"/>
      <c r="AC18" s="3431"/>
      <c r="AD18" s="3429"/>
      <c r="AE18" s="1729"/>
      <c r="AF18" s="1712"/>
      <c r="AG18" s="1729"/>
      <c r="AH18" s="1147"/>
      <c r="AI18" s="1146"/>
    </row>
    <row r="19" spans="1:35" s="398" customFormat="1" ht="19.350000000000001" customHeight="1">
      <c r="A19" s="149"/>
      <c r="B19" s="237"/>
      <c r="C19" s="237"/>
      <c r="D19" s="237" t="s">
        <v>15</v>
      </c>
      <c r="E19" s="237"/>
      <c r="F19" s="237"/>
      <c r="G19" s="237"/>
      <c r="H19" s="855"/>
      <c r="I19" s="855"/>
      <c r="J19" s="855"/>
      <c r="K19" s="237"/>
      <c r="L19" s="855"/>
      <c r="M19" s="855"/>
      <c r="N19" s="855"/>
      <c r="O19" s="855"/>
      <c r="P19" s="855"/>
      <c r="Q19" s="855"/>
      <c r="R19" s="855"/>
      <c r="S19" s="855"/>
      <c r="T19" s="855"/>
      <c r="U19" s="855"/>
      <c r="V19" s="855"/>
      <c r="W19" s="855"/>
      <c r="X19" s="1708"/>
      <c r="Y19" s="1709"/>
      <c r="Z19" s="1710"/>
      <c r="AA19" s="3432"/>
      <c r="AB19" s="3423"/>
      <c r="AC19" s="3424"/>
      <c r="AD19" s="1708"/>
      <c r="AE19" s="3432"/>
      <c r="AF19" s="1712"/>
      <c r="AG19" s="1729"/>
      <c r="AH19" s="1147"/>
      <c r="AI19" s="1146"/>
    </row>
    <row r="20" spans="1:35" s="398" customFormat="1" ht="19.350000000000001" customHeight="1">
      <c r="A20" s="249" t="s">
        <v>23</v>
      </c>
      <c r="B20" s="237"/>
      <c r="C20" s="237"/>
      <c r="D20" s="237" t="s">
        <v>15</v>
      </c>
      <c r="E20" s="237"/>
      <c r="F20" s="237"/>
      <c r="G20" s="237"/>
      <c r="H20" s="855"/>
      <c r="I20" s="855"/>
      <c r="J20" s="855"/>
      <c r="K20" s="237"/>
      <c r="L20" s="855"/>
      <c r="M20" s="855"/>
      <c r="N20" s="855"/>
      <c r="O20" s="855"/>
      <c r="P20" s="855"/>
      <c r="Q20" s="855"/>
      <c r="R20" s="855"/>
      <c r="S20" s="855"/>
      <c r="T20" s="855"/>
      <c r="U20" s="855"/>
      <c r="V20" s="855"/>
      <c r="W20" s="855"/>
      <c r="X20" s="1708"/>
      <c r="Y20" s="1709"/>
      <c r="Z20" s="1710"/>
      <c r="AA20" s="3432"/>
      <c r="AB20" s="3423"/>
      <c r="AC20" s="3424"/>
      <c r="AD20" s="1708"/>
      <c r="AE20" s="3432"/>
      <c r="AF20" s="1712"/>
      <c r="AG20" s="1729"/>
      <c r="AH20" s="1147"/>
      <c r="AI20" s="1146"/>
    </row>
    <row r="21" spans="1:35" s="398" customFormat="1" ht="19.350000000000001" customHeight="1">
      <c r="A21" s="149" t="s">
        <v>153</v>
      </c>
      <c r="B21" s="238"/>
      <c r="C21" s="237"/>
      <c r="D21" s="237"/>
      <c r="E21" s="237"/>
      <c r="F21" s="237"/>
      <c r="G21" s="237"/>
      <c r="H21" s="855"/>
      <c r="I21" s="855"/>
      <c r="J21" s="855"/>
      <c r="K21" s="237"/>
      <c r="L21" s="855"/>
      <c r="M21" s="855"/>
      <c r="N21" s="855"/>
      <c r="O21" s="855"/>
      <c r="P21" s="855"/>
      <c r="Q21" s="855"/>
      <c r="R21" s="855"/>
      <c r="S21" s="855"/>
      <c r="T21" s="855"/>
      <c r="U21" s="855"/>
      <c r="V21" s="855"/>
      <c r="W21" s="855"/>
      <c r="X21" s="1708"/>
      <c r="Y21" s="1709"/>
      <c r="Z21" s="1710"/>
      <c r="AA21" s="1720"/>
      <c r="AB21" s="3433"/>
      <c r="AC21" s="3434"/>
      <c r="AD21" s="1708"/>
      <c r="AE21" s="1720"/>
      <c r="AF21" s="1718"/>
      <c r="AG21" s="1729"/>
      <c r="AH21" s="1147"/>
      <c r="AI21" s="1146"/>
    </row>
    <row r="22" spans="1:35" s="1704" customFormat="1" ht="19.350000000000001" customHeight="1">
      <c r="A22" s="193" t="s">
        <v>220</v>
      </c>
      <c r="B22" s="864">
        <v>0</v>
      </c>
      <c r="C22" s="237"/>
      <c r="D22" s="864">
        <v>0</v>
      </c>
      <c r="E22" s="237"/>
      <c r="F22" s="864">
        <v>0</v>
      </c>
      <c r="G22" s="237"/>
      <c r="H22" s="864">
        <v>0.1</v>
      </c>
      <c r="I22" s="1708"/>
      <c r="J22" s="864">
        <v>0</v>
      </c>
      <c r="K22" s="1617"/>
      <c r="L22" s="864">
        <v>0</v>
      </c>
      <c r="M22" s="1708"/>
      <c r="N22" s="1728">
        <v>0</v>
      </c>
      <c r="O22" s="1708"/>
      <c r="P22" s="1728">
        <v>0</v>
      </c>
      <c r="Q22" s="1708"/>
      <c r="R22" s="1728">
        <v>0.1</v>
      </c>
      <c r="S22" s="1708"/>
      <c r="T22" s="1728">
        <v>0</v>
      </c>
      <c r="U22" s="1708"/>
      <c r="V22" s="1728">
        <f>$AA22-$B22-$D22-$F22-$H22-$J22-$L22-$N22-$P22-$R22-$T22</f>
        <v>0</v>
      </c>
      <c r="W22" s="1708"/>
      <c r="X22" s="1728"/>
      <c r="Y22" s="1709"/>
      <c r="Z22" s="1710"/>
      <c r="AA22" s="1715">
        <v>0.2</v>
      </c>
      <c r="AB22" s="3423"/>
      <c r="AC22" s="3424"/>
      <c r="AD22" s="1715">
        <v>0.1</v>
      </c>
      <c r="AE22" s="1717"/>
      <c r="AF22" s="1718"/>
      <c r="AG22" s="1713">
        <f>ROUND(SUM(AA22-AD22),1)</f>
        <v>0.1</v>
      </c>
      <c r="AH22" s="1702"/>
      <c r="AI22" s="1719">
        <f>ROUND(IF(AD22=0,0,AG22/ABS(AD22)),3)</f>
        <v>1</v>
      </c>
    </row>
    <row r="23" spans="1:35" s="1704" customFormat="1" ht="19.350000000000001" customHeight="1">
      <c r="A23" s="1705" t="s">
        <v>171</v>
      </c>
      <c r="B23" s="864">
        <v>0</v>
      </c>
      <c r="C23" s="237"/>
      <c r="D23" s="864">
        <v>0</v>
      </c>
      <c r="E23" s="237"/>
      <c r="F23" s="864">
        <v>0</v>
      </c>
      <c r="G23" s="237"/>
      <c r="H23" s="864">
        <v>0</v>
      </c>
      <c r="I23" s="1708"/>
      <c r="J23" s="864">
        <v>0</v>
      </c>
      <c r="K23" s="1617"/>
      <c r="L23" s="864">
        <v>0</v>
      </c>
      <c r="M23" s="1708"/>
      <c r="N23" s="1728">
        <v>0</v>
      </c>
      <c r="O23" s="1715"/>
      <c r="P23" s="1728">
        <v>0</v>
      </c>
      <c r="Q23" s="1708"/>
      <c r="R23" s="1728">
        <v>0</v>
      </c>
      <c r="S23" s="1708"/>
      <c r="T23" s="1728">
        <v>0</v>
      </c>
      <c r="U23" s="1708"/>
      <c r="V23" s="1728">
        <f>$AA23-$B23-$D23-$F23-$H23-$J23-$L23-$N23-$P23-$R23-$T23</f>
        <v>0</v>
      </c>
      <c r="W23" s="1708"/>
      <c r="X23" s="1728"/>
      <c r="Y23" s="1709"/>
      <c r="Z23" s="1710"/>
      <c r="AA23" s="1715">
        <v>0</v>
      </c>
      <c r="AB23" s="3423"/>
      <c r="AC23" s="3424"/>
      <c r="AD23" s="1715">
        <v>0</v>
      </c>
      <c r="AE23" s="1720"/>
      <c r="AF23" s="1718"/>
      <c r="AG23" s="1713">
        <f>ROUND(SUM(AA23-AD23),1)</f>
        <v>0</v>
      </c>
      <c r="AH23" s="1721"/>
      <c r="AI23" s="1714">
        <f>ROUND(IF(AG23=0,0,AG23/ABS(AD23)),3)</f>
        <v>0</v>
      </c>
    </row>
    <row r="24" spans="1:35" s="1704" customFormat="1" ht="19.350000000000001" customHeight="1">
      <c r="A24" s="193" t="s">
        <v>156</v>
      </c>
      <c r="B24" s="864">
        <v>0</v>
      </c>
      <c r="C24" s="237"/>
      <c r="D24" s="864">
        <v>0</v>
      </c>
      <c r="E24" s="237"/>
      <c r="F24" s="864">
        <v>0</v>
      </c>
      <c r="G24" s="237"/>
      <c r="H24" s="1889">
        <v>0</v>
      </c>
      <c r="I24" s="1708"/>
      <c r="J24" s="864">
        <v>0</v>
      </c>
      <c r="K24" s="1617"/>
      <c r="L24" s="1889">
        <v>0.1</v>
      </c>
      <c r="M24" s="1708"/>
      <c r="N24" s="1728">
        <v>0</v>
      </c>
      <c r="O24" s="1708"/>
      <c r="P24" s="1706">
        <v>0</v>
      </c>
      <c r="Q24" s="1708"/>
      <c r="R24" s="1728">
        <v>0</v>
      </c>
      <c r="S24" s="1708"/>
      <c r="T24" s="1728">
        <v>0</v>
      </c>
      <c r="U24" s="1708"/>
      <c r="V24" s="1728">
        <f t="shared" ref="V24" si="0">$AA24-$B24-$D24-$F24-$H24-$J24-$L24-$N24-$P24-$R24-$T24</f>
        <v>0</v>
      </c>
      <c r="W24" s="1708"/>
      <c r="X24" s="1728"/>
      <c r="Y24" s="1709"/>
      <c r="Z24" s="1710"/>
      <c r="AA24" s="3435">
        <v>0.1</v>
      </c>
      <c r="AB24" s="3423"/>
      <c r="AC24" s="3424"/>
      <c r="AD24" s="3435">
        <v>0.1</v>
      </c>
      <c r="AE24" s="1716"/>
      <c r="AF24" s="1718"/>
      <c r="AG24" s="1713">
        <f>ROUND(SUM(AA24-AD24),1)</f>
        <v>0</v>
      </c>
      <c r="AH24" s="1702"/>
      <c r="AI24" s="1714">
        <f>ROUND(IF(AG24=0,0,AG24/ABS(AD24)),3)</f>
        <v>0</v>
      </c>
    </row>
    <row r="25" spans="1:35" s="398" customFormat="1" ht="22.5" customHeight="1">
      <c r="A25" s="249" t="s">
        <v>157</v>
      </c>
      <c r="B25" s="2166">
        <f>ROUND(SUM(B22:B24),1)</f>
        <v>0</v>
      </c>
      <c r="C25" s="389"/>
      <c r="D25" s="2183">
        <f>ROUND(SUM(D22:D24),1)</f>
        <v>0</v>
      </c>
      <c r="E25" s="389"/>
      <c r="F25" s="2183">
        <f>ROUND(SUM(F22:F24),1)</f>
        <v>0</v>
      </c>
      <c r="G25" s="389"/>
      <c r="H25" s="877">
        <f>ROUND(SUM(H22:H24),1)</f>
        <v>0.1</v>
      </c>
      <c r="I25" s="860"/>
      <c r="J25" s="2166">
        <f>ROUND(SUM(J22:J24),1)</f>
        <v>0</v>
      </c>
      <c r="K25" s="389"/>
      <c r="L25" s="2166">
        <f>ROUND(SUM(L22:L24),1)</f>
        <v>0.1</v>
      </c>
      <c r="M25" s="860"/>
      <c r="N25" s="2019">
        <f>ROUND(SUM(N22:N24),1)</f>
        <v>0</v>
      </c>
      <c r="O25" s="869"/>
      <c r="P25" s="877">
        <f>ROUND(SUM(P22:P24),1)</f>
        <v>0</v>
      </c>
      <c r="Q25" s="860"/>
      <c r="R25" s="2166">
        <f>ROUND(SUM(R22:R24),1)</f>
        <v>0.1</v>
      </c>
      <c r="S25" s="860"/>
      <c r="T25" s="2183">
        <f>ROUND(SUM(T22:T24),1)</f>
        <v>0</v>
      </c>
      <c r="U25" s="869"/>
      <c r="V25" s="2166">
        <f>ROUND(SUM(V22:V24),1)</f>
        <v>0</v>
      </c>
      <c r="W25" s="869"/>
      <c r="X25" s="3436">
        <f>ROUND(SUM(X22:X24),1)</f>
        <v>0</v>
      </c>
      <c r="Y25" s="3397"/>
      <c r="Z25" s="3398"/>
      <c r="AA25" s="3437">
        <f>ROUND(SUM(AA22:AA24),1)</f>
        <v>0.3</v>
      </c>
      <c r="AB25" s="3427"/>
      <c r="AC25" s="3428"/>
      <c r="AD25" s="2249">
        <f>ROUND(SUM(AD22:AD24),1)</f>
        <v>0.2</v>
      </c>
      <c r="AE25" s="3437"/>
      <c r="AF25" s="1718"/>
      <c r="AG25" s="3455">
        <f>ROUND(SUM(AG22:AG24),1)</f>
        <v>0.1</v>
      </c>
      <c r="AH25" s="1159"/>
      <c r="AI25" s="1183">
        <f>ROUND(IF(AD25=0,0,AG25/ABS(AD25)),3)</f>
        <v>0.5</v>
      </c>
    </row>
    <row r="26" spans="1:35" s="398" customFormat="1" ht="19.350000000000001" customHeight="1">
      <c r="A26" s="149"/>
      <c r="B26" s="388"/>
      <c r="C26" s="237"/>
      <c r="D26" s="388" t="s">
        <v>15</v>
      </c>
      <c r="E26" s="237"/>
      <c r="F26" s="388"/>
      <c r="G26" s="237"/>
      <c r="H26" s="863"/>
      <c r="I26" s="855"/>
      <c r="J26" s="863"/>
      <c r="K26" s="237"/>
      <c r="L26" s="863"/>
      <c r="M26" s="855"/>
      <c r="N26" s="863"/>
      <c r="O26" s="855"/>
      <c r="P26" s="863"/>
      <c r="Q26" s="855"/>
      <c r="R26" s="863"/>
      <c r="S26" s="855"/>
      <c r="T26" s="863"/>
      <c r="U26" s="855"/>
      <c r="V26" s="863"/>
      <c r="W26" s="855"/>
      <c r="X26" s="3429"/>
      <c r="Y26" s="1709"/>
      <c r="Z26" s="1710"/>
      <c r="AA26" s="3430"/>
      <c r="AB26" s="3423"/>
      <c r="AC26" s="3431"/>
      <c r="AD26" s="3429"/>
      <c r="AE26" s="1729"/>
      <c r="AF26" s="1712"/>
      <c r="AG26" s="1729"/>
      <c r="AH26" s="1147"/>
      <c r="AI26" s="1146"/>
    </row>
    <row r="27" spans="1:35" s="398" customFormat="1" ht="19.350000000000001" customHeight="1">
      <c r="A27" s="249" t="s">
        <v>158</v>
      </c>
      <c r="B27" s="237"/>
      <c r="C27" s="237"/>
      <c r="D27" s="241" t="s">
        <v>15</v>
      </c>
      <c r="E27" s="237"/>
      <c r="F27" s="237"/>
      <c r="G27" s="237"/>
      <c r="H27" s="855"/>
      <c r="I27" s="855"/>
      <c r="J27" s="855"/>
      <c r="K27" s="237"/>
      <c r="L27" s="855"/>
      <c r="M27" s="855"/>
      <c r="N27" s="855"/>
      <c r="O27" s="855"/>
      <c r="P27" s="855"/>
      <c r="Q27" s="855"/>
      <c r="R27" s="855"/>
      <c r="S27" s="855"/>
      <c r="T27" s="855"/>
      <c r="U27" s="855"/>
      <c r="V27" s="855"/>
      <c r="W27" s="855"/>
      <c r="X27" s="1708"/>
      <c r="Y27" s="1709"/>
      <c r="Z27" s="1710"/>
      <c r="AA27" s="3432"/>
      <c r="AB27" s="3423"/>
      <c r="AC27" s="3424"/>
      <c r="AD27" s="1708"/>
      <c r="AE27" s="3432"/>
      <c r="AF27" s="1712"/>
      <c r="AG27" s="1729"/>
      <c r="AH27" s="1147"/>
      <c r="AI27" s="1147"/>
    </row>
    <row r="28" spans="1:35" s="398" customFormat="1" ht="18.75" customHeight="1">
      <c r="A28" s="249" t="s">
        <v>45</v>
      </c>
      <c r="B28" s="867">
        <f>ROUND(B17-B25,1)</f>
        <v>0.2</v>
      </c>
      <c r="C28" s="389"/>
      <c r="D28" s="867">
        <f>ROUND(D17-D25,1)</f>
        <v>0.1</v>
      </c>
      <c r="E28" s="878"/>
      <c r="F28" s="867">
        <f>ROUND(F17-F25,1)</f>
        <v>0.1</v>
      </c>
      <c r="G28" s="878"/>
      <c r="H28" s="867">
        <f>ROUND(H17-H25,1)</f>
        <v>0.1</v>
      </c>
      <c r="I28" s="879"/>
      <c r="J28" s="867">
        <f>ROUND(J17-J25,1)</f>
        <v>0.1</v>
      </c>
      <c r="K28" s="878"/>
      <c r="L28" s="867">
        <f>ROUND(L17-L25,1)</f>
        <v>0</v>
      </c>
      <c r="M28" s="880"/>
      <c r="N28" s="867">
        <f>ROUND(N17-N25,1)</f>
        <v>0.1</v>
      </c>
      <c r="O28" s="880"/>
      <c r="P28" s="867">
        <f>ROUND(P17-P25,1)</f>
        <v>0.1</v>
      </c>
      <c r="Q28" s="880"/>
      <c r="R28" s="867">
        <f>ROUND(R17-R25,1)</f>
        <v>0.1</v>
      </c>
      <c r="S28" s="880"/>
      <c r="T28" s="867">
        <f>ROUND(T17-T25,1)</f>
        <v>0</v>
      </c>
      <c r="U28" s="880"/>
      <c r="V28" s="867">
        <f>ROUND(V17-V25,1)</f>
        <v>0.1</v>
      </c>
      <c r="W28" s="880"/>
      <c r="X28" s="3402">
        <f>ROUND(X17-X25,1)</f>
        <v>0</v>
      </c>
      <c r="Y28" s="3397"/>
      <c r="Z28" s="3398"/>
      <c r="AA28" s="3438">
        <f>ROUND(AA17-AA25,1)</f>
        <v>1</v>
      </c>
      <c r="AB28" s="3427"/>
      <c r="AC28" s="3439"/>
      <c r="AD28" s="3402">
        <f>ROUND(AD17-AD25,1)</f>
        <v>1.1000000000000001</v>
      </c>
      <c r="AE28" s="3445"/>
      <c r="AF28" s="1718"/>
      <c r="AG28" s="3365">
        <f>ROUND(SUM(AG17-AG25),1)</f>
        <v>-0.1</v>
      </c>
      <c r="AH28" s="1159"/>
      <c r="AI28" s="2170">
        <f>ROUND(IF(AD28=0,-1,AG28/ABS(AD28)),3)</f>
        <v>-9.0999999999999998E-2</v>
      </c>
    </row>
    <row r="29" spans="1:35" s="398" customFormat="1" ht="19.350000000000001" customHeight="1">
      <c r="A29" s="149"/>
      <c r="B29" s="241"/>
      <c r="C29" s="237"/>
      <c r="D29" s="241" t="s">
        <v>15</v>
      </c>
      <c r="E29" s="237"/>
      <c r="F29" s="241"/>
      <c r="G29" s="237"/>
      <c r="H29" s="854"/>
      <c r="I29" s="855"/>
      <c r="J29" s="854"/>
      <c r="K29" s="237"/>
      <c r="L29" s="854"/>
      <c r="M29" s="855"/>
      <c r="N29" s="863"/>
      <c r="O29" s="855"/>
      <c r="P29" s="854"/>
      <c r="Q29" s="855"/>
      <c r="R29" s="854"/>
      <c r="S29" s="855"/>
      <c r="T29" s="854"/>
      <c r="U29" s="855"/>
      <c r="V29" s="854"/>
      <c r="W29" s="855"/>
      <c r="X29" s="3429"/>
      <c r="Y29" s="1709"/>
      <c r="Z29" s="1710"/>
      <c r="AA29" s="1729"/>
      <c r="AB29" s="3423"/>
      <c r="AC29" s="3431"/>
      <c r="AD29" s="1707"/>
      <c r="AE29" s="1729"/>
      <c r="AF29" s="1723"/>
      <c r="AG29" s="1729"/>
      <c r="AH29" s="1147"/>
      <c r="AI29" s="1146"/>
    </row>
    <row r="30" spans="1:35" s="398" customFormat="1" ht="19.350000000000001" customHeight="1">
      <c r="A30" s="249" t="s">
        <v>46</v>
      </c>
      <c r="B30" s="237"/>
      <c r="C30" s="237"/>
      <c r="D30" s="237"/>
      <c r="E30" s="237"/>
      <c r="F30" s="237"/>
      <c r="G30" s="237"/>
      <c r="H30" s="855"/>
      <c r="I30" s="855"/>
      <c r="J30" s="855"/>
      <c r="K30" s="237"/>
      <c r="L30" s="855"/>
      <c r="M30" s="855"/>
      <c r="N30" s="855"/>
      <c r="O30" s="855"/>
      <c r="P30" s="855"/>
      <c r="Q30" s="855"/>
      <c r="R30" s="855"/>
      <c r="S30" s="855"/>
      <c r="T30" s="855"/>
      <c r="U30" s="855"/>
      <c r="V30" s="855"/>
      <c r="W30" s="855"/>
      <c r="X30" s="1708"/>
      <c r="Y30" s="1709"/>
      <c r="Z30" s="1710"/>
      <c r="AA30" s="3432"/>
      <c r="AB30" s="3423"/>
      <c r="AC30" s="3424"/>
      <c r="AD30" s="1708"/>
      <c r="AE30" s="3432"/>
      <c r="AF30" s="1723"/>
      <c r="AG30" s="1729"/>
      <c r="AH30" s="1147"/>
      <c r="AI30" s="1146"/>
    </row>
    <row r="31" spans="1:35" s="1704" customFormat="1" ht="19.350000000000001" customHeight="1">
      <c r="A31" s="193" t="s">
        <v>182</v>
      </c>
      <c r="B31" s="864">
        <v>0</v>
      </c>
      <c r="C31" s="237"/>
      <c r="D31" s="864">
        <v>0</v>
      </c>
      <c r="E31" s="237"/>
      <c r="F31" s="864">
        <v>0</v>
      </c>
      <c r="G31" s="237"/>
      <c r="H31" s="864">
        <v>0</v>
      </c>
      <c r="I31" s="1708"/>
      <c r="J31" s="864">
        <v>0</v>
      </c>
      <c r="K31" s="1617"/>
      <c r="L31" s="864">
        <v>0</v>
      </c>
      <c r="M31" s="1708"/>
      <c r="N31" s="1728">
        <v>0</v>
      </c>
      <c r="O31" s="1708"/>
      <c r="P31" s="1728">
        <v>0</v>
      </c>
      <c r="Q31" s="1708"/>
      <c r="R31" s="1728">
        <v>0</v>
      </c>
      <c r="S31" s="1708"/>
      <c r="T31" s="1728">
        <v>0</v>
      </c>
      <c r="U31" s="1708"/>
      <c r="V31" s="1728">
        <f t="shared" ref="V31" si="1">$AA31-$B31-$D31-$F31-$H31-$J31-$L31-$N31-$P31-$R31-$T31</f>
        <v>0</v>
      </c>
      <c r="W31" s="1708"/>
      <c r="X31" s="1728"/>
      <c r="Y31" s="1709"/>
      <c r="Z31" s="1710"/>
      <c r="AA31" s="1715">
        <v>0</v>
      </c>
      <c r="AB31" s="3423"/>
      <c r="AC31" s="3424"/>
      <c r="AD31" s="1715">
        <v>0</v>
      </c>
      <c r="AE31" s="1720"/>
      <c r="AF31" s="1722"/>
      <c r="AG31" s="1713">
        <f>ROUND(SUM(AA31-AD31),1)</f>
        <v>0</v>
      </c>
      <c r="AH31" s="1721"/>
      <c r="AI31" s="1714">
        <f>ROUND(IF(AG31=0,0,AG31/ABS(AD31)),3)</f>
        <v>0</v>
      </c>
    </row>
    <row r="32" spans="1:35" s="1704" customFormat="1" ht="19.350000000000001" customHeight="1">
      <c r="A32" s="193" t="s">
        <v>183</v>
      </c>
      <c r="B32" s="864">
        <v>0</v>
      </c>
      <c r="C32" s="237"/>
      <c r="D32" s="864">
        <v>0</v>
      </c>
      <c r="E32" s="237"/>
      <c r="F32" s="864">
        <v>0</v>
      </c>
      <c r="G32" s="237"/>
      <c r="H32" s="864">
        <v>0</v>
      </c>
      <c r="I32" s="1708"/>
      <c r="J32" s="864">
        <v>0</v>
      </c>
      <c r="K32" s="1617"/>
      <c r="L32" s="864">
        <v>0</v>
      </c>
      <c r="M32" s="1707"/>
      <c r="N32" s="1728">
        <v>0</v>
      </c>
      <c r="O32" s="1706"/>
      <c r="P32" s="1728">
        <v>0</v>
      </c>
      <c r="Q32" s="1707"/>
      <c r="R32" s="1728">
        <v>0</v>
      </c>
      <c r="S32" s="1707"/>
      <c r="T32" s="1728">
        <v>0</v>
      </c>
      <c r="U32" s="1707"/>
      <c r="V32" s="1728">
        <f>$AA32-$B32-$D32-$F32-$H32-$J32-$L32-$N32-$P32-$R32-$T32</f>
        <v>0</v>
      </c>
      <c r="W32" s="1707"/>
      <c r="X32" s="1728"/>
      <c r="Y32" s="1709"/>
      <c r="Z32" s="1710"/>
      <c r="AA32" s="1715">
        <v>0</v>
      </c>
      <c r="AB32" s="3440"/>
      <c r="AC32" s="3441"/>
      <c r="AD32" s="1715">
        <v>0</v>
      </c>
      <c r="AE32" s="1720"/>
      <c r="AF32" s="1723"/>
      <c r="AG32" s="1713">
        <f>ROUND(SUM(AA32-AD32),1)</f>
        <v>0</v>
      </c>
      <c r="AH32" s="1721"/>
      <c r="AI32" s="1714">
        <f>ROUND(IF(AG32=0,0,AG32/ABS(AD32)),3)</f>
        <v>0</v>
      </c>
    </row>
    <row r="33" spans="1:35" s="398" customFormat="1" ht="22.5" customHeight="1">
      <c r="A33" s="249" t="s">
        <v>209</v>
      </c>
      <c r="B33" s="881">
        <f>ROUND(SUM(B31:B32),1)</f>
        <v>0</v>
      </c>
      <c r="C33" s="389"/>
      <c r="D33" s="881">
        <f>ROUND(SUM(D31:D32),1)</f>
        <v>0</v>
      </c>
      <c r="E33" s="389"/>
      <c r="F33" s="881">
        <f>ROUND(SUM(F31:F32),1)</f>
        <v>0</v>
      </c>
      <c r="G33" s="389"/>
      <c r="H33" s="881">
        <f>ROUND(SUM(H31:H32),1)</f>
        <v>0</v>
      </c>
      <c r="I33" s="860"/>
      <c r="J33" s="881">
        <f>ROUND(SUM(J31:J32),1)</f>
        <v>0</v>
      </c>
      <c r="K33" s="389"/>
      <c r="L33" s="881">
        <f>ROUND(SUM(L31:L32),1)</f>
        <v>0</v>
      </c>
      <c r="M33" s="860"/>
      <c r="N33" s="881">
        <f>ROUND(SUM(N31:N32),1)</f>
        <v>0</v>
      </c>
      <c r="O33" s="860"/>
      <c r="P33" s="881">
        <f>ROUND(SUM(P31:P32),1)</f>
        <v>0</v>
      </c>
      <c r="Q33" s="882"/>
      <c r="R33" s="881">
        <f>ROUND(SUM(R31:R32),1)</f>
        <v>0</v>
      </c>
      <c r="S33" s="860"/>
      <c r="T33" s="881">
        <f>ROUND(SUM(T31:T32),1)</f>
        <v>0</v>
      </c>
      <c r="U33" s="860"/>
      <c r="V33" s="881">
        <f>ROUND(SUM(V31:V32),1)</f>
        <v>0</v>
      </c>
      <c r="W33" s="860"/>
      <c r="X33" s="3404">
        <f>ROUND(SUM(X31:X32),1)</f>
        <v>0</v>
      </c>
      <c r="Y33" s="3397"/>
      <c r="Z33" s="3398"/>
      <c r="AA33" s="3442">
        <f>ROUND(SUM(AA31:AA32),1)</f>
        <v>0</v>
      </c>
      <c r="AB33" s="3443"/>
      <c r="AC33" s="3444"/>
      <c r="AD33" s="3404">
        <f>ROUND(SUM(AD31:AD32),1)</f>
        <v>0</v>
      </c>
      <c r="AE33" s="3456"/>
      <c r="AF33" s="1722"/>
      <c r="AG33" s="3455">
        <f>ROUND(SUM(AG31-AG32),1)</f>
        <v>0</v>
      </c>
      <c r="AH33" s="1167"/>
      <c r="AI33" s="1183">
        <f>ROUND(IF(AG33=0,0,AG33/ABS(AD33)),3)</f>
        <v>0</v>
      </c>
    </row>
    <row r="34" spans="1:35" s="398" customFormat="1" ht="19.350000000000001" customHeight="1">
      <c r="A34" s="149"/>
      <c r="B34" s="388"/>
      <c r="C34" s="237"/>
      <c r="D34" s="388" t="s">
        <v>15</v>
      </c>
      <c r="E34" s="237"/>
      <c r="F34" s="388"/>
      <c r="G34" s="237"/>
      <c r="H34" s="863"/>
      <c r="I34" s="855"/>
      <c r="J34" s="863"/>
      <c r="K34" s="237"/>
      <c r="L34" s="863"/>
      <c r="M34" s="855"/>
      <c r="N34" s="863"/>
      <c r="O34" s="855"/>
      <c r="P34" s="863"/>
      <c r="Q34" s="855"/>
      <c r="R34" s="863"/>
      <c r="S34" s="855"/>
      <c r="T34" s="863"/>
      <c r="U34" s="855"/>
      <c r="V34" s="863"/>
      <c r="W34" s="855"/>
      <c r="X34" s="3429"/>
      <c r="Y34" s="1709"/>
      <c r="Z34" s="1710"/>
      <c r="AA34" s="3430"/>
      <c r="AB34" s="3423"/>
      <c r="AC34" s="3431"/>
      <c r="AD34" s="3429"/>
      <c r="AE34" s="1729"/>
      <c r="AF34" s="1712"/>
      <c r="AG34" s="1729"/>
      <c r="AH34" s="1147"/>
      <c r="AI34" s="1146"/>
    </row>
    <row r="35" spans="1:35" s="398" customFormat="1" ht="19.350000000000001" customHeight="1">
      <c r="A35" s="249" t="s">
        <v>166</v>
      </c>
      <c r="B35" s="237"/>
      <c r="C35" s="237"/>
      <c r="D35" s="237" t="s">
        <v>15</v>
      </c>
      <c r="E35" s="237"/>
      <c r="F35" s="237"/>
      <c r="G35" s="237"/>
      <c r="H35" s="855"/>
      <c r="I35" s="855"/>
      <c r="J35" s="855"/>
      <c r="K35" s="237"/>
      <c r="L35" s="855"/>
      <c r="M35" s="855"/>
      <c r="N35" s="855"/>
      <c r="O35" s="855"/>
      <c r="P35" s="855"/>
      <c r="Q35" s="855"/>
      <c r="R35" s="855"/>
      <c r="S35" s="855"/>
      <c r="T35" s="855"/>
      <c r="U35" s="855"/>
      <c r="V35" s="855"/>
      <c r="W35" s="855"/>
      <c r="X35" s="1708"/>
      <c r="Y35" s="1709"/>
      <c r="Z35" s="1710"/>
      <c r="AA35" s="3432"/>
      <c r="AB35" s="3423"/>
      <c r="AC35" s="3424"/>
      <c r="AD35" s="1708"/>
      <c r="AE35" s="3432"/>
      <c r="AF35" s="1712"/>
      <c r="AG35" s="1729"/>
      <c r="AH35" s="1147"/>
      <c r="AI35" s="1146"/>
    </row>
    <row r="36" spans="1:35" s="398" customFormat="1" ht="19.350000000000001" customHeight="1">
      <c r="A36" s="249" t="s">
        <v>228</v>
      </c>
      <c r="B36" s="237"/>
      <c r="C36" s="237"/>
      <c r="D36" s="237"/>
      <c r="E36" s="237"/>
      <c r="F36" s="237"/>
      <c r="G36" s="237"/>
      <c r="H36" s="855"/>
      <c r="I36" s="855"/>
      <c r="J36" s="855"/>
      <c r="K36" s="237"/>
      <c r="L36" s="855"/>
      <c r="M36" s="855"/>
      <c r="N36" s="855"/>
      <c r="O36" s="855"/>
      <c r="P36" s="855"/>
      <c r="Q36" s="855"/>
      <c r="R36" s="855"/>
      <c r="S36" s="855"/>
      <c r="T36" s="855"/>
      <c r="U36" s="855"/>
      <c r="V36" s="854"/>
      <c r="W36" s="855"/>
      <c r="X36" s="1708"/>
      <c r="Y36" s="1709"/>
      <c r="Z36" s="1710"/>
      <c r="AA36" s="3432"/>
      <c r="AB36" s="3423"/>
      <c r="AC36" s="3424"/>
      <c r="AD36" s="1708"/>
      <c r="AE36" s="3457"/>
      <c r="AF36" s="1750"/>
      <c r="AG36" s="1729"/>
      <c r="AH36" s="1147"/>
      <c r="AI36" s="1147"/>
    </row>
    <row r="37" spans="1:35" s="400" customFormat="1" ht="19.350000000000001" customHeight="1">
      <c r="A37" s="249" t="s">
        <v>168</v>
      </c>
      <c r="B37" s="865">
        <f>ROUND(B28+B33,1)</f>
        <v>0.2</v>
      </c>
      <c r="C37" s="389"/>
      <c r="D37" s="865">
        <f>ROUND(D28+D33,1)</f>
        <v>0.1</v>
      </c>
      <c r="E37" s="391"/>
      <c r="F37" s="865">
        <f>ROUND(F28+F33,1)</f>
        <v>0.1</v>
      </c>
      <c r="G37" s="391"/>
      <c r="H37" s="865">
        <f>ROUND(H28+H33,1)</f>
        <v>0.1</v>
      </c>
      <c r="I37" s="869"/>
      <c r="J37" s="865">
        <f>ROUND(J28+J33,1)</f>
        <v>0.1</v>
      </c>
      <c r="K37" s="391"/>
      <c r="L37" s="865">
        <f>ROUND(L28+L33,1)</f>
        <v>0</v>
      </c>
      <c r="M37" s="870"/>
      <c r="N37" s="865">
        <f>ROUND(N28+N33,1)</f>
        <v>0.1</v>
      </c>
      <c r="O37" s="870"/>
      <c r="P37" s="865">
        <f>ROUND(P28+P33,1)</f>
        <v>0.1</v>
      </c>
      <c r="Q37" s="870"/>
      <c r="R37" s="865">
        <f>ROUND(R28+R33,1)</f>
        <v>0.1</v>
      </c>
      <c r="S37" s="869"/>
      <c r="T37" s="865">
        <f>ROUND(T28+T33,1)</f>
        <v>0</v>
      </c>
      <c r="U37" s="869"/>
      <c r="V37" s="865">
        <f>ROUND(V28+V33,1)</f>
        <v>0.1</v>
      </c>
      <c r="W37" s="869"/>
      <c r="X37" s="1740">
        <f>ROUND(X28+X33,1)</f>
        <v>0</v>
      </c>
      <c r="Y37" s="3397"/>
      <c r="Z37" s="3398"/>
      <c r="AA37" s="3445">
        <f>ROUND(AA28+AA33,1)</f>
        <v>1</v>
      </c>
      <c r="AB37" s="3446"/>
      <c r="AC37" s="3447"/>
      <c r="AD37" s="1740">
        <f>ROUND(AD28+AD33,1)</f>
        <v>1.1000000000000001</v>
      </c>
      <c r="AE37" s="3445"/>
      <c r="AF37" s="2256"/>
      <c r="AG37" s="3446">
        <f>ROUND(SUM(AG28+AG33),1)</f>
        <v>-0.1</v>
      </c>
      <c r="AH37" s="1138"/>
      <c r="AI37" s="2170">
        <f>ROUND(IF(AD37=0,-1,AG37/ABS(AD37)),3)</f>
        <v>-9.0999999999999998E-2</v>
      </c>
    </row>
    <row r="38" spans="1:35" s="398" customFormat="1" ht="22.5" customHeight="1" thickBot="1">
      <c r="A38" s="249" t="s">
        <v>142</v>
      </c>
      <c r="B38" s="871">
        <f>ROUND(SUM(B13,B37),1)</f>
        <v>13.4</v>
      </c>
      <c r="C38" s="384"/>
      <c r="D38" s="871">
        <f>ROUND(SUM(D13,D37),1)</f>
        <v>13.5</v>
      </c>
      <c r="E38" s="384"/>
      <c r="F38" s="871">
        <f>ROUND(SUM(F13,F37),1)</f>
        <v>13.6</v>
      </c>
      <c r="G38" s="384"/>
      <c r="H38" s="871">
        <f>ROUND(SUM(H13,H37),1)</f>
        <v>13.7</v>
      </c>
      <c r="I38" s="872"/>
      <c r="J38" s="871">
        <f>ROUND(SUM(J13,J37),1)</f>
        <v>13.8</v>
      </c>
      <c r="K38" s="384"/>
      <c r="L38" s="871">
        <f>ROUND(SUM(L13,L37),1)</f>
        <v>13.8</v>
      </c>
      <c r="M38" s="385"/>
      <c r="N38" s="871">
        <f>ROUND(SUM(N13,N37),1)</f>
        <v>13.9</v>
      </c>
      <c r="O38" s="385"/>
      <c r="P38" s="871">
        <f>ROUND(SUM(P13,P37),1)</f>
        <v>14</v>
      </c>
      <c r="Q38" s="385"/>
      <c r="R38" s="871">
        <f>ROUND(SUM(R13,R37),1)</f>
        <v>14.1</v>
      </c>
      <c r="S38" s="872"/>
      <c r="T38" s="871">
        <f>ROUND(SUM(T13,T37),1)</f>
        <v>14.1</v>
      </c>
      <c r="U38" s="872"/>
      <c r="V38" s="871">
        <f>ROUND(SUM(V13,V37),1)</f>
        <v>14.2</v>
      </c>
      <c r="W38" s="872"/>
      <c r="X38" s="3408">
        <f>ROUND(SUM(X13,X37),1)</f>
        <v>0</v>
      </c>
      <c r="Y38" s="1697"/>
      <c r="Z38" s="1698"/>
      <c r="AA38" s="3448">
        <f>ROUND(SUM(AA13,AA37),1)</f>
        <v>14.2</v>
      </c>
      <c r="AB38" s="1701"/>
      <c r="AC38" s="3449"/>
      <c r="AD38" s="3458">
        <f>ROUND(SUM(AD13,AD37),1)</f>
        <v>13</v>
      </c>
      <c r="AE38" s="1701"/>
      <c r="AF38" s="2258"/>
      <c r="AG38" s="3458">
        <f>ROUND(SUM(AA38-AD38),1)</f>
        <v>1.2</v>
      </c>
      <c r="AH38" s="1166"/>
      <c r="AI38" s="1185">
        <f>ROUND(IF(AG38=0,0,AG38/ABS(AD38)),3)</f>
        <v>9.1999999999999998E-2</v>
      </c>
    </row>
    <row r="39" spans="1:35" s="398" customFormat="1" ht="19.350000000000001" customHeight="1" thickTop="1">
      <c r="A39" s="149" t="s">
        <v>15</v>
      </c>
      <c r="B39" s="873"/>
      <c r="C39" s="874"/>
      <c r="D39" s="873"/>
      <c r="E39" s="874"/>
      <c r="F39" s="873"/>
      <c r="G39" s="874"/>
      <c r="H39" s="873"/>
      <c r="I39" s="874"/>
      <c r="J39" s="873"/>
      <c r="K39" s="874"/>
      <c r="L39" s="873"/>
      <c r="M39" s="874"/>
      <c r="N39" s="873"/>
      <c r="O39" s="874"/>
      <c r="P39" s="873"/>
      <c r="Q39" s="874"/>
      <c r="R39" s="873"/>
      <c r="S39" s="874"/>
      <c r="T39" s="873"/>
      <c r="U39" s="874"/>
      <c r="V39" s="873"/>
      <c r="W39" s="874"/>
      <c r="X39" s="3410"/>
      <c r="Y39" s="3412"/>
      <c r="Z39" s="3412"/>
      <c r="AA39" s="3450"/>
      <c r="AB39" s="3451"/>
      <c r="AC39" s="3451"/>
      <c r="AD39" s="3451"/>
      <c r="AE39" s="3451"/>
      <c r="AF39" s="3451"/>
      <c r="AG39" s="3361"/>
      <c r="AH39" s="1147"/>
      <c r="AI39" s="1146"/>
    </row>
    <row r="40" spans="1:35" s="398" customFormat="1" ht="19.350000000000001"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459"/>
      <c r="AH40" s="402"/>
    </row>
    <row r="41" spans="1:35" ht="15.75" customHeight="1">
      <c r="A41" s="401"/>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460"/>
    </row>
    <row r="42" spans="1:35" ht="15">
      <c r="A42" s="398"/>
    </row>
    <row r="43" spans="1:35" ht="13.5" customHeight="1">
      <c r="A43" s="699"/>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460"/>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460"/>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8"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workbookViewId="0"/>
  </sheetViews>
  <sheetFormatPr defaultColWidth="8.88671875" defaultRowHeight="11.25"/>
  <cols>
    <col min="1" max="1" width="38.44140625" style="2286" customWidth="1"/>
    <col min="2" max="2" width="6.88671875" style="2286" customWidth="1"/>
    <col min="3" max="3" width="4.109375" style="2286" customWidth="1"/>
    <col min="4" max="4" width="14" style="2286" customWidth="1"/>
    <col min="5" max="5" width="1.109375" style="2286" customWidth="1"/>
    <col min="6" max="6" width="13.44140625" style="2286" customWidth="1"/>
    <col min="7" max="7" width="1.109375" style="2286" customWidth="1"/>
    <col min="8" max="8" width="13.44140625" style="2287" customWidth="1"/>
    <col min="9" max="9" width="1.88671875" style="2286" customWidth="1"/>
    <col min="10" max="10" width="13.44140625" style="2286" customWidth="1"/>
    <col min="11" max="11" width="1.109375" style="2286" customWidth="1"/>
    <col min="12" max="12" width="11.88671875" style="2286" customWidth="1"/>
    <col min="13" max="13" width="1.109375" style="2286" customWidth="1"/>
    <col min="14" max="14" width="13.5546875" style="2286" customWidth="1"/>
    <col min="15" max="15" width="1.109375" style="2286" customWidth="1"/>
    <col min="16" max="16" width="0.88671875" style="2286" customWidth="1"/>
    <col min="17" max="17" width="1.109375" style="2286" customWidth="1"/>
    <col min="18" max="18" width="14.44140625" style="2286" customWidth="1"/>
    <col min="19" max="19" width="1.109375" style="2286" customWidth="1"/>
    <col min="20" max="20" width="14.44140625" style="2286" customWidth="1"/>
    <col min="21" max="21" width="1.109375" style="2288" customWidth="1"/>
    <col min="22" max="22" width="0.88671875" style="2288" customWidth="1"/>
    <col min="23" max="24" width="1.109375" style="2288" customWidth="1"/>
    <col min="25" max="25" width="12.88671875" style="2288" customWidth="1"/>
    <col min="26" max="26" width="1.109375" style="2288" customWidth="1"/>
    <col min="27" max="27" width="16.88671875" style="2288" bestFit="1" customWidth="1"/>
    <col min="28" max="28" width="1.88671875" style="2288" customWidth="1"/>
    <col min="29" max="29" width="1.109375" style="2394" customWidth="1"/>
    <col min="30" max="30" width="13.109375" style="2288" customWidth="1"/>
    <col min="31" max="31" width="3" style="2288" customWidth="1"/>
    <col min="32" max="32" width="12" style="2288" customWidth="1"/>
    <col min="33" max="16384" width="8.88671875" style="2288"/>
  </cols>
  <sheetData>
    <row r="1" spans="1:33" ht="15">
      <c r="A1" s="2285" t="s">
        <v>979</v>
      </c>
    </row>
    <row r="2" spans="1:33" ht="15" customHeight="1">
      <c r="A2" s="2285"/>
    </row>
    <row r="3" spans="1:33" ht="21" customHeight="1">
      <c r="A3" s="3909" t="s">
        <v>0</v>
      </c>
      <c r="B3" s="3910"/>
      <c r="C3" s="3910"/>
      <c r="D3" s="3910"/>
      <c r="E3" s="3910"/>
      <c r="F3" s="3910"/>
      <c r="G3" s="3910"/>
      <c r="H3" s="3910"/>
      <c r="I3" s="3910"/>
      <c r="J3" s="3910"/>
      <c r="K3" s="3910"/>
      <c r="L3" s="3910"/>
      <c r="M3" s="3910"/>
      <c r="N3" s="3910"/>
      <c r="O3" s="3910"/>
      <c r="P3" s="3910"/>
      <c r="Q3" s="3910"/>
      <c r="R3" s="3910"/>
      <c r="S3" s="3910"/>
      <c r="T3" s="3910"/>
      <c r="U3" s="3910"/>
      <c r="V3" s="3910"/>
      <c r="W3" s="3910"/>
      <c r="X3" s="3910"/>
      <c r="Y3" s="3910"/>
      <c r="Z3" s="3910"/>
      <c r="AA3" s="3910"/>
      <c r="AB3" s="3910"/>
      <c r="AC3" s="2395"/>
      <c r="AF3" s="2292" t="s">
        <v>55</v>
      </c>
    </row>
    <row r="4" spans="1:33" ht="20.25">
      <c r="A4" s="3911" t="s">
        <v>1185</v>
      </c>
      <c r="B4" s="3910"/>
      <c r="C4" s="3910"/>
      <c r="D4" s="3910"/>
      <c r="E4" s="3910"/>
      <c r="F4" s="3910"/>
      <c r="G4" s="3910"/>
      <c r="H4" s="3910"/>
      <c r="I4" s="3910"/>
      <c r="J4" s="3910"/>
      <c r="K4" s="3910"/>
      <c r="L4" s="3910"/>
      <c r="M4" s="3910"/>
      <c r="N4" s="3910"/>
      <c r="O4" s="3910"/>
      <c r="P4" s="3910"/>
      <c r="Q4" s="3910"/>
      <c r="R4" s="3910"/>
      <c r="S4" s="3910"/>
      <c r="T4" s="3910"/>
      <c r="U4" s="3910"/>
      <c r="V4" s="3910"/>
      <c r="W4" s="3910"/>
      <c r="X4" s="3910"/>
      <c r="Y4" s="3910"/>
      <c r="Z4" s="3910"/>
      <c r="AA4" s="3910"/>
      <c r="AB4" s="3910"/>
      <c r="AC4" s="2395"/>
      <c r="AF4" s="2292" t="s">
        <v>56</v>
      </c>
    </row>
    <row r="5" spans="1:33" ht="21" customHeight="1">
      <c r="A5" s="3911" t="s">
        <v>882</v>
      </c>
      <c r="B5" s="3910"/>
      <c r="C5" s="3910"/>
      <c r="D5" s="3910"/>
      <c r="E5" s="3910"/>
      <c r="F5" s="3910"/>
      <c r="G5" s="3910"/>
      <c r="H5" s="3910"/>
      <c r="I5" s="3910"/>
      <c r="J5" s="3910"/>
      <c r="K5" s="3910"/>
      <c r="L5" s="3910"/>
      <c r="M5" s="3910"/>
      <c r="N5" s="3910"/>
      <c r="O5" s="3910"/>
      <c r="P5" s="3910"/>
      <c r="Q5" s="3910"/>
      <c r="R5" s="3910"/>
      <c r="S5" s="3910"/>
      <c r="T5" s="3910"/>
      <c r="U5" s="3910"/>
      <c r="V5" s="3910"/>
      <c r="W5" s="3910"/>
      <c r="X5" s="3910"/>
      <c r="Y5" s="3910"/>
      <c r="Z5" s="3910"/>
      <c r="AA5" s="3910"/>
      <c r="AB5" s="3910"/>
      <c r="AC5" s="2395"/>
    </row>
    <row r="6" spans="1:33" ht="21" customHeight="1">
      <c r="A6" s="2396" t="s">
        <v>1416</v>
      </c>
      <c r="B6" s="2397"/>
      <c r="C6" s="2397"/>
      <c r="D6" s="2397"/>
      <c r="E6" s="2397"/>
      <c r="F6" s="2397"/>
      <c r="G6" s="2397"/>
      <c r="H6" s="2397"/>
      <c r="I6" s="2397"/>
      <c r="J6" s="2397"/>
      <c r="K6" s="2397"/>
      <c r="L6" s="2397"/>
      <c r="M6" s="2397"/>
      <c r="N6" s="2397"/>
      <c r="O6" s="2397"/>
      <c r="P6" s="2397"/>
      <c r="Q6" s="2397"/>
      <c r="R6" s="2397"/>
      <c r="S6" s="2397"/>
      <c r="T6" s="2397"/>
      <c r="U6" s="2397"/>
      <c r="V6" s="2397"/>
      <c r="W6" s="2397"/>
      <c r="X6" s="2397"/>
      <c r="Y6" s="3630"/>
      <c r="Z6" s="3590"/>
      <c r="AA6" s="3590"/>
      <c r="AB6" s="2397"/>
      <c r="AC6" s="2395"/>
    </row>
    <row r="7" spans="1:33" ht="15.75" customHeight="1">
      <c r="A7" s="3911"/>
      <c r="B7" s="3910"/>
      <c r="C7" s="3910"/>
      <c r="D7" s="3910"/>
      <c r="E7" s="3910"/>
      <c r="F7" s="3910"/>
      <c r="G7" s="3910"/>
      <c r="H7" s="3910"/>
      <c r="I7" s="3910"/>
      <c r="J7" s="3910"/>
      <c r="K7" s="3910"/>
      <c r="L7" s="3910"/>
      <c r="M7" s="3910"/>
      <c r="N7" s="3910"/>
      <c r="O7" s="3910"/>
      <c r="P7" s="3910"/>
      <c r="Q7" s="3910"/>
      <c r="R7" s="3910"/>
      <c r="S7" s="3910"/>
      <c r="T7" s="3910"/>
      <c r="U7" s="3910"/>
      <c r="V7" s="3910"/>
      <c r="W7" s="3910"/>
      <c r="X7" s="3910"/>
      <c r="Y7" s="3910"/>
      <c r="Z7" s="3910"/>
      <c r="AA7" s="3910"/>
      <c r="AB7" s="3910"/>
      <c r="AC7" s="2395"/>
    </row>
    <row r="8" spans="1:33" ht="15.75" customHeight="1">
      <c r="A8" s="1"/>
      <c r="B8" s="1"/>
      <c r="C8" s="1"/>
      <c r="D8" s="1"/>
      <c r="E8" s="1"/>
      <c r="F8" s="1"/>
      <c r="G8" s="1"/>
      <c r="H8" s="2295"/>
      <c r="I8" s="2"/>
      <c r="J8" s="2"/>
      <c r="K8" s="2"/>
      <c r="L8" s="2"/>
      <c r="M8" s="1"/>
      <c r="N8" s="2"/>
      <c r="O8" s="2"/>
      <c r="P8" s="2"/>
      <c r="Q8" s="2"/>
      <c r="R8" s="2"/>
      <c r="S8" s="2"/>
      <c r="T8" s="2"/>
      <c r="U8" s="2398"/>
      <c r="V8" s="2398"/>
      <c r="W8" s="2398"/>
      <c r="X8" s="2398"/>
      <c r="Y8" s="2399"/>
      <c r="Z8" s="2399"/>
      <c r="AA8" s="2292"/>
      <c r="AB8" s="2399"/>
      <c r="AC8" s="2400"/>
    </row>
    <row r="9" spans="1:33" ht="15.75" customHeight="1">
      <c r="A9" s="1"/>
      <c r="B9" s="1"/>
      <c r="C9" s="1"/>
      <c r="D9" s="1"/>
      <c r="E9" s="1"/>
      <c r="F9" s="1"/>
      <c r="G9" s="1"/>
      <c r="H9" s="2295"/>
      <c r="I9" s="2"/>
      <c r="J9" s="2"/>
      <c r="K9" s="2"/>
      <c r="L9" s="2"/>
      <c r="M9" s="1"/>
      <c r="N9" s="2"/>
      <c r="O9" s="2401"/>
      <c r="P9" s="2401"/>
      <c r="Q9" s="2401"/>
      <c r="R9" s="2401"/>
      <c r="S9" s="2355"/>
      <c r="T9" s="2355"/>
      <c r="U9" s="2394"/>
      <c r="V9" s="2394"/>
      <c r="W9" s="2394"/>
      <c r="X9" s="2402"/>
      <c r="Y9" s="2399"/>
      <c r="Z9" s="2399"/>
      <c r="AA9" s="2292"/>
      <c r="AB9" s="2399"/>
      <c r="AC9" s="2400"/>
    </row>
    <row r="10" spans="1:33" ht="16.350000000000001" customHeight="1">
      <c r="A10" s="1"/>
      <c r="B10" s="1"/>
      <c r="C10" s="2300"/>
      <c r="D10" s="3906"/>
      <c r="E10" s="3907"/>
      <c r="F10" s="3907"/>
      <c r="G10" s="3907"/>
      <c r="H10" s="3907"/>
      <c r="I10" s="3907"/>
      <c r="J10" s="3907"/>
      <c r="K10" s="3907"/>
      <c r="L10" s="3907"/>
      <c r="M10" s="3907"/>
      <c r="N10" s="3907"/>
      <c r="O10" s="2402"/>
      <c r="P10" s="2403"/>
      <c r="Q10" s="2402"/>
      <c r="R10" s="3905"/>
      <c r="S10" s="3905"/>
      <c r="T10" s="3905"/>
      <c r="U10" s="3905"/>
      <c r="V10" s="3905"/>
      <c r="W10" s="3905"/>
      <c r="X10" s="3905"/>
      <c r="Y10" s="3905"/>
      <c r="Z10" s="3905"/>
      <c r="AA10" s="3905"/>
      <c r="AB10" s="3905"/>
      <c r="AC10" s="2404"/>
      <c r="AD10" s="2394"/>
      <c r="AE10" s="2394"/>
      <c r="AF10" s="2394"/>
      <c r="AG10" s="2394"/>
    </row>
    <row r="11" spans="1:33" ht="16.350000000000001" customHeight="1">
      <c r="A11" s="2311"/>
      <c r="B11" s="623"/>
      <c r="C11" s="623"/>
      <c r="D11" s="3" t="s">
        <v>3</v>
      </c>
      <c r="E11" s="3"/>
      <c r="F11" s="3"/>
      <c r="G11" s="2305"/>
      <c r="H11" s="2405" t="s">
        <v>1166</v>
      </c>
      <c r="I11" s="3"/>
      <c r="J11" s="3"/>
      <c r="K11" s="2355"/>
      <c r="L11" s="3908" t="s">
        <v>5</v>
      </c>
      <c r="M11" s="3908"/>
      <c r="N11" s="3908"/>
      <c r="O11" s="5"/>
      <c r="P11" s="2307"/>
      <c r="Q11" s="2307"/>
      <c r="R11" s="2406" t="s">
        <v>1184</v>
      </c>
      <c r="S11" s="2406"/>
      <c r="T11" s="2406"/>
      <c r="U11" s="2406"/>
      <c r="V11" s="2406"/>
      <c r="W11" s="2406"/>
      <c r="X11" s="2406"/>
      <c r="Y11" s="2406"/>
      <c r="Z11" s="2406"/>
      <c r="AA11" s="2406"/>
      <c r="AB11" s="2406"/>
      <c r="AC11" s="2407"/>
      <c r="AD11" s="2408"/>
      <c r="AE11" s="2408"/>
      <c r="AF11" s="2408"/>
    </row>
    <row r="12" spans="1:33" ht="15.75" customHeight="1">
      <c r="A12" s="2304"/>
      <c r="B12" s="2304"/>
      <c r="C12" s="7"/>
      <c r="D12" s="5" t="s">
        <v>7</v>
      </c>
      <c r="E12" s="5"/>
      <c r="F12" s="4" t="str">
        <f>'Exhibit A'!F11</f>
        <v>11 MOS. ENDED</v>
      </c>
      <c r="G12" s="2299"/>
      <c r="H12" s="5" t="s">
        <v>7</v>
      </c>
      <c r="I12" s="5"/>
      <c r="J12" s="5" t="str">
        <f>F12</f>
        <v>11 MOS. ENDED</v>
      </c>
      <c r="K12" s="2299"/>
      <c r="L12" s="5" t="s">
        <v>7</v>
      </c>
      <c r="M12" s="5"/>
      <c r="N12" s="5" t="str">
        <f>F12</f>
        <v>11 MOS. ENDED</v>
      </c>
      <c r="O12" s="5"/>
      <c r="P12" s="2409"/>
      <c r="Q12" s="5"/>
      <c r="R12" s="5" t="s">
        <v>7</v>
      </c>
      <c r="S12" s="5"/>
      <c r="T12" s="5" t="str">
        <f>F12</f>
        <v>11 MOS. ENDED</v>
      </c>
      <c r="U12" s="2307"/>
      <c r="V12" s="2307"/>
      <c r="W12" s="2307"/>
      <c r="X12" s="2307"/>
      <c r="Y12" s="3629" t="s">
        <v>7</v>
      </c>
      <c r="Z12" s="3589"/>
      <c r="AA12" s="3589" t="str">
        <f>'Exhibit A'!AD11</f>
        <v>11 MOS. ENDED</v>
      </c>
      <c r="AB12" s="2307"/>
      <c r="AC12" s="2410"/>
      <c r="AD12" s="2307" t="s">
        <v>8</v>
      </c>
      <c r="AE12" s="2308"/>
      <c r="AF12" s="5" t="s">
        <v>9</v>
      </c>
    </row>
    <row r="13" spans="1:33" ht="16.350000000000001" customHeight="1">
      <c r="A13" s="2304"/>
      <c r="B13" s="2304"/>
      <c r="C13" s="2304"/>
      <c r="D13" s="915" t="str">
        <f>'Exhibit A'!D12</f>
        <v>FEB. 2020</v>
      </c>
      <c r="E13" s="2299"/>
      <c r="F13" s="915" t="str">
        <f>'Exhibit A'!F12</f>
        <v>FEB. 29, 2020</v>
      </c>
      <c r="G13" s="2299"/>
      <c r="H13" s="6" t="str">
        <f>D13</f>
        <v>FEB. 2020</v>
      </c>
      <c r="I13" s="2299"/>
      <c r="J13" s="6" t="str">
        <f>F13</f>
        <v>FEB. 29, 2020</v>
      </c>
      <c r="K13" s="2299"/>
      <c r="L13" s="6" t="str">
        <f>D13</f>
        <v>FEB. 2020</v>
      </c>
      <c r="M13" s="2299"/>
      <c r="N13" s="6" t="str">
        <f>F13</f>
        <v>FEB. 29, 2020</v>
      </c>
      <c r="O13" s="5"/>
      <c r="P13" s="2409"/>
      <c r="Q13" s="5"/>
      <c r="R13" s="6" t="str">
        <f>D13</f>
        <v>FEB. 2020</v>
      </c>
      <c r="S13" s="2299"/>
      <c r="T13" s="6" t="str">
        <f>F13</f>
        <v>FEB. 29, 2020</v>
      </c>
      <c r="U13" s="2307"/>
      <c r="V13" s="2307"/>
      <c r="W13" s="2307"/>
      <c r="X13" s="2411"/>
      <c r="Y13" s="3576" t="str">
        <f>'Exhibit A'!AB12</f>
        <v>FEB. 2019</v>
      </c>
      <c r="Z13" s="2411"/>
      <c r="AA13" s="3576" t="str">
        <f>'Exhibit A'!AD12</f>
        <v>FEB. 28, 2019</v>
      </c>
      <c r="AB13" s="2411"/>
      <c r="AC13" s="2410"/>
      <c r="AD13" s="2412" t="s">
        <v>12</v>
      </c>
      <c r="AE13" s="2285"/>
      <c r="AF13" s="915" t="s">
        <v>13</v>
      </c>
    </row>
    <row r="14" spans="1:33" ht="16.350000000000001" customHeight="1">
      <c r="A14" s="2303" t="s">
        <v>14</v>
      </c>
      <c r="B14" s="2304"/>
      <c r="C14" s="2304"/>
      <c r="D14" s="2413" t="s">
        <v>15</v>
      </c>
      <c r="E14" s="2304"/>
      <c r="F14" s="7"/>
      <c r="G14" s="2304"/>
      <c r="H14" s="623" t="s">
        <v>15</v>
      </c>
      <c r="I14" s="2304"/>
      <c r="J14" s="7"/>
      <c r="K14" s="2304"/>
      <c r="L14" s="623" t="s">
        <v>15</v>
      </c>
      <c r="M14" s="2304"/>
      <c r="N14" s="7"/>
      <c r="O14" s="7"/>
      <c r="P14" s="2414"/>
      <c r="Q14" s="2415"/>
      <c r="R14" s="7"/>
      <c r="S14" s="7"/>
      <c r="T14" s="7"/>
      <c r="U14" s="2314"/>
      <c r="V14" s="2314"/>
      <c r="W14" s="2416"/>
      <c r="X14" s="2314"/>
      <c r="Y14" s="2314"/>
      <c r="Z14" s="2353"/>
      <c r="AA14" s="2314"/>
      <c r="AB14" s="2314"/>
      <c r="AC14" s="2417"/>
      <c r="AD14" s="2314"/>
      <c r="AE14" s="2286"/>
      <c r="AF14" s="1456"/>
    </row>
    <row r="15" spans="1:33" ht="18" customHeight="1">
      <c r="A15" s="2304" t="s">
        <v>16</v>
      </c>
      <c r="B15" s="2327">
        <v>-7</v>
      </c>
      <c r="C15" s="2304"/>
      <c r="D15" s="1388">
        <f>+'Exhibit A'!D14</f>
        <v>1848.4</v>
      </c>
      <c r="E15" s="665" t="s">
        <v>15</v>
      </c>
      <c r="F15" s="665">
        <f>+'Exhibit A'!F14</f>
        <v>22807.5</v>
      </c>
      <c r="G15" s="665"/>
      <c r="H15" s="2418">
        <f>+'Exhibit G State'!X17</f>
        <v>0</v>
      </c>
      <c r="I15" s="665"/>
      <c r="J15" s="2419">
        <f>'Exhibit G State'!AD17</f>
        <v>2149.1</v>
      </c>
      <c r="K15" s="665"/>
      <c r="L15" s="1449">
        <f>+'Exhibit A'!L14</f>
        <v>1848.3999999999987</v>
      </c>
      <c r="M15" s="665"/>
      <c r="N15" s="665">
        <f>+'Exhibit A'!N14</f>
        <v>24956.6</v>
      </c>
      <c r="O15" s="2320"/>
      <c r="P15" s="2420"/>
      <c r="Q15" s="2421"/>
      <c r="R15" s="665">
        <f t="shared" ref="R15:R20" si="0">ROUND(SUM(D15+H15+L15),1)</f>
        <v>3696.8</v>
      </c>
      <c r="S15" s="665"/>
      <c r="T15" s="2422">
        <f t="shared" ref="T15:T20" si="1">ROUND(SUM(F15+J15+N15),1)</f>
        <v>49913.2</v>
      </c>
      <c r="U15" s="2423"/>
      <c r="V15" s="2423"/>
      <c r="W15" s="2424"/>
      <c r="X15" s="2423"/>
      <c r="Y15" s="2423">
        <v>3385.8</v>
      </c>
      <c r="Z15" s="2423" t="s">
        <v>15</v>
      </c>
      <c r="AA15" s="2423">
        <f>'Exhibit F'!AF26+'Exhibit G State'!AG17+'Exhibit H'!AD16</f>
        <v>44528.3</v>
      </c>
      <c r="AB15" s="2425"/>
      <c r="AC15" s="2426"/>
      <c r="AD15" s="2423">
        <f t="shared" ref="AD15:AD20" si="2">ROUND(SUM(T15-AA15),1)</f>
        <v>5384.9</v>
      </c>
      <c r="AE15" s="2325"/>
      <c r="AF15" s="1453">
        <f>ROUND(+AD15/AA15,3)</f>
        <v>0.121</v>
      </c>
    </row>
    <row r="16" spans="1:33" ht="18" customHeight="1">
      <c r="A16" s="2304" t="s">
        <v>17</v>
      </c>
      <c r="B16" s="2327">
        <v>-4</v>
      </c>
      <c r="C16" s="2304"/>
      <c r="D16" s="625">
        <f>+'Exhibit A'!D15</f>
        <v>557.70000000000005</v>
      </c>
      <c r="E16" s="9"/>
      <c r="F16" s="9">
        <f>+'Exhibit A'!F15</f>
        <v>7379.7</v>
      </c>
      <c r="G16" s="9"/>
      <c r="H16" s="2427">
        <f>+'Exhibit G State'!X29</f>
        <v>127.6</v>
      </c>
      <c r="I16" s="9"/>
      <c r="J16" s="2428">
        <f>'Exhibit G State'!AD29</f>
        <v>1788.2</v>
      </c>
      <c r="K16" s="9"/>
      <c r="L16" s="625">
        <f>+'Exhibit A'!L15</f>
        <v>522.20000000000005</v>
      </c>
      <c r="M16" s="9"/>
      <c r="N16" s="9">
        <f>+'Exhibit A'!N15</f>
        <v>6816</v>
      </c>
      <c r="O16" s="14"/>
      <c r="P16" s="2429"/>
      <c r="Q16" s="2430"/>
      <c r="R16" s="9">
        <f t="shared" si="0"/>
        <v>1207.5</v>
      </c>
      <c r="S16" s="9"/>
      <c r="T16" s="2431">
        <f t="shared" si="1"/>
        <v>15983.9</v>
      </c>
      <c r="U16" s="22"/>
      <c r="V16" s="22"/>
      <c r="W16" s="2359"/>
      <c r="X16" s="22"/>
      <c r="Y16" s="22">
        <v>1130.9000000000001</v>
      </c>
      <c r="Z16" s="22" t="s">
        <v>15</v>
      </c>
      <c r="AA16" s="22">
        <f>'Exhibit F'!AF37+'Exhibit G State'!AG29+'Exhibit H'!AD20</f>
        <v>15265.300000000001</v>
      </c>
      <c r="AB16" s="2314"/>
      <c r="AC16" s="2417"/>
      <c r="AD16" s="22">
        <f t="shared" si="2"/>
        <v>718.6</v>
      </c>
      <c r="AE16" s="2286"/>
      <c r="AF16" s="1453">
        <f t="shared" ref="AF16:AF21" si="3">ROUND(+AD16/AA16,3)</f>
        <v>4.7E-2</v>
      </c>
    </row>
    <row r="17" spans="1:32" ht="18" customHeight="1">
      <c r="A17" s="2304" t="s">
        <v>18</v>
      </c>
      <c r="B17" s="2331"/>
      <c r="C17" s="2304"/>
      <c r="D17" s="625">
        <f>+'Exhibit A'!D16</f>
        <v>-101.6</v>
      </c>
      <c r="E17" s="9"/>
      <c r="F17" s="9">
        <f>+'Exhibit A'!F16</f>
        <v>4432.3</v>
      </c>
      <c r="G17" s="9"/>
      <c r="H17" s="2427">
        <f>+'Exhibit G State'!X36</f>
        <v>92.4</v>
      </c>
      <c r="I17" s="9"/>
      <c r="J17" s="2428">
        <f>'Exhibit G State'!AD36</f>
        <v>1584</v>
      </c>
      <c r="K17" s="9"/>
      <c r="L17" s="625">
        <f>+'Exhibit A'!L16</f>
        <v>0</v>
      </c>
      <c r="M17" s="9"/>
      <c r="N17" s="9">
        <f>+'Exhibit A'!N16</f>
        <v>0</v>
      </c>
      <c r="O17" s="17"/>
      <c r="P17" s="2432"/>
      <c r="Q17" s="2433"/>
      <c r="R17" s="9">
        <f t="shared" si="0"/>
        <v>-9.1999999999999993</v>
      </c>
      <c r="S17" s="9"/>
      <c r="T17" s="2431">
        <f t="shared" si="1"/>
        <v>6016.3</v>
      </c>
      <c r="U17" s="22"/>
      <c r="V17" s="22"/>
      <c r="W17" s="2434"/>
      <c r="X17" s="21"/>
      <c r="Y17" s="22">
        <v>-62.2</v>
      </c>
      <c r="Z17" s="22" t="s">
        <v>15</v>
      </c>
      <c r="AA17" s="22">
        <f>'Exhibit F'!AF44+'Exhibit G State'!AG36</f>
        <v>5225.7</v>
      </c>
      <c r="AB17" s="2314"/>
      <c r="AC17" s="2417"/>
      <c r="AD17" s="22">
        <f t="shared" si="2"/>
        <v>790.6</v>
      </c>
      <c r="AE17" s="2286"/>
      <c r="AF17" s="1453">
        <f t="shared" si="3"/>
        <v>0.151</v>
      </c>
    </row>
    <row r="18" spans="1:32" ht="18" customHeight="1">
      <c r="A18" s="2304" t="s">
        <v>19</v>
      </c>
      <c r="B18" s="2327">
        <v>-3</v>
      </c>
      <c r="C18" s="2304"/>
      <c r="D18" s="625">
        <f>+'Exhibit A'!D17</f>
        <v>116.5</v>
      </c>
      <c r="E18" s="9"/>
      <c r="F18" s="9">
        <f>+'Exhibit A'!F17</f>
        <v>1039.2</v>
      </c>
      <c r="G18" s="9"/>
      <c r="H18" s="2427">
        <v>0</v>
      </c>
      <c r="I18" s="9"/>
      <c r="J18" s="2428">
        <v>0</v>
      </c>
      <c r="K18" s="9"/>
      <c r="L18" s="625">
        <f>+'Exhibit A'!L17</f>
        <v>72.2</v>
      </c>
      <c r="M18" s="9"/>
      <c r="N18" s="9">
        <f>+'Exhibit A'!N17</f>
        <v>929.9</v>
      </c>
      <c r="O18" s="14"/>
      <c r="P18" s="2429"/>
      <c r="Q18" s="2430"/>
      <c r="R18" s="9">
        <f t="shared" si="0"/>
        <v>188.7</v>
      </c>
      <c r="S18" s="9"/>
      <c r="T18" s="2431">
        <f t="shared" si="1"/>
        <v>1969.1</v>
      </c>
      <c r="U18" s="22"/>
      <c r="V18" s="22"/>
      <c r="W18" s="2359"/>
      <c r="X18" s="22"/>
      <c r="Y18" s="22">
        <v>137.30000000000001</v>
      </c>
      <c r="Z18" s="22" t="s">
        <v>15</v>
      </c>
      <c r="AA18" s="22">
        <f>'Exhibit F'!AF53+'Exhibit H'!AD24</f>
        <v>1993.4</v>
      </c>
      <c r="AB18" s="2314"/>
      <c r="AC18" s="2417"/>
      <c r="AD18" s="22">
        <f t="shared" si="2"/>
        <v>-24.3</v>
      </c>
      <c r="AE18" s="2286"/>
      <c r="AF18" s="1453">
        <f t="shared" si="3"/>
        <v>-1.2E-2</v>
      </c>
    </row>
    <row r="19" spans="1:32" ht="18" customHeight="1">
      <c r="A19" s="2304" t="s">
        <v>20</v>
      </c>
      <c r="B19" s="2327">
        <v>-4</v>
      </c>
      <c r="C19" s="2304"/>
      <c r="D19" s="625">
        <f>+'Exhibit A'!D18</f>
        <v>206.4</v>
      </c>
      <c r="E19" s="625" t="s">
        <v>1445</v>
      </c>
      <c r="F19" s="9">
        <f>+'Exhibit A'!F18</f>
        <v>2800.2</v>
      </c>
      <c r="G19" s="9"/>
      <c r="H19" s="2427">
        <f>+'Exhibit G State'!X81</f>
        <v>1842.6</v>
      </c>
      <c r="I19" s="9"/>
      <c r="J19" s="2428">
        <f>'Exhibit G State'!AD81</f>
        <v>17630.900000000001</v>
      </c>
      <c r="K19" s="9"/>
      <c r="L19" s="625">
        <f>+'Exhibit A'!L18</f>
        <v>32.700000000000003</v>
      </c>
      <c r="M19" s="9"/>
      <c r="N19" s="9">
        <f>+'Exhibit A'!N18</f>
        <v>444.4</v>
      </c>
      <c r="O19" s="14"/>
      <c r="P19" s="2429"/>
      <c r="Q19" s="2430"/>
      <c r="R19" s="9">
        <f t="shared" si="0"/>
        <v>2081.6999999999998</v>
      </c>
      <c r="S19" s="9"/>
      <c r="T19" s="2431">
        <f t="shared" si="1"/>
        <v>20875.5</v>
      </c>
      <c r="U19" s="22"/>
      <c r="V19" s="22"/>
      <c r="W19" s="2359"/>
      <c r="X19" s="22"/>
      <c r="Y19" s="22">
        <v>2028.2</v>
      </c>
      <c r="Z19" s="22" t="s">
        <v>15</v>
      </c>
      <c r="AA19" s="22">
        <f>+'Exhibit F'!AF93+'Exhibit G State'!AG81+'Exhibit H'!AD45</f>
        <v>21593.600000000002</v>
      </c>
      <c r="AB19" s="2314"/>
      <c r="AC19" s="2417"/>
      <c r="AD19" s="22">
        <f t="shared" si="2"/>
        <v>-718.1</v>
      </c>
      <c r="AE19" s="2286"/>
      <c r="AF19" s="1453">
        <f t="shared" si="3"/>
        <v>-3.3000000000000002E-2</v>
      </c>
    </row>
    <row r="20" spans="1:32" ht="18" customHeight="1">
      <c r="A20" s="2304" t="s">
        <v>21</v>
      </c>
      <c r="B20" s="2347"/>
      <c r="C20" s="2304"/>
      <c r="D20" s="625">
        <f>+'Exhibit A'!D19</f>
        <v>0</v>
      </c>
      <c r="E20" s="9"/>
      <c r="F20" s="9">
        <f>+'Exhibit A'!F19</f>
        <v>0.3</v>
      </c>
      <c r="G20" s="9"/>
      <c r="H20" s="2427">
        <f>+'Exhibit G State'!X83</f>
        <v>0.19999999999999929</v>
      </c>
      <c r="I20" s="9"/>
      <c r="J20" s="2428">
        <f>'Exhibit G State'!AD83</f>
        <v>-8.8000000000000007</v>
      </c>
      <c r="K20" s="9"/>
      <c r="L20" s="625">
        <f>+'Exhibit A'!L19</f>
        <v>35.39</v>
      </c>
      <c r="M20" s="10"/>
      <c r="N20" s="9">
        <f>+'Exhibit A'!N19</f>
        <v>73.789999999999992</v>
      </c>
      <c r="O20" s="17"/>
      <c r="P20" s="2432"/>
      <c r="Q20" s="2433"/>
      <c r="R20" s="10">
        <f t="shared" si="0"/>
        <v>35.6</v>
      </c>
      <c r="S20" s="17"/>
      <c r="T20" s="2431">
        <f t="shared" si="1"/>
        <v>65.3</v>
      </c>
      <c r="U20" s="22"/>
      <c r="V20" s="22"/>
      <c r="W20" s="2434"/>
      <c r="X20" s="2435"/>
      <c r="Y20" s="22">
        <v>36.4</v>
      </c>
      <c r="Z20" s="22" t="s">
        <v>15</v>
      </c>
      <c r="AA20" s="22">
        <f>+'Exhibit F'!AF95+'Exhibit G State'!AG83+'Exhibit H'!AD47</f>
        <v>72.399999999999991</v>
      </c>
      <c r="AB20" s="2314"/>
      <c r="AC20" s="2417"/>
      <c r="AD20" s="22">
        <f t="shared" si="2"/>
        <v>-7.1</v>
      </c>
      <c r="AE20" s="2286"/>
      <c r="AF20" s="1493">
        <f>ROUND(IF(AA20=0,1,AD20/ABS(AA20)),3)</f>
        <v>-9.8000000000000004E-2</v>
      </c>
    </row>
    <row r="21" spans="1:32" ht="18" customHeight="1">
      <c r="A21" s="2303" t="s">
        <v>22</v>
      </c>
      <c r="B21" s="2304"/>
      <c r="C21" s="2304"/>
      <c r="D21" s="12">
        <f>ROUND(SUM(D15:D20),1)</f>
        <v>2627.4</v>
      </c>
      <c r="E21" s="1390"/>
      <c r="F21" s="11">
        <f>ROUND(SUM(F15:F20),1)</f>
        <v>38459.199999999997</v>
      </c>
      <c r="G21" s="1390"/>
      <c r="H21" s="12">
        <f>ROUND(SUM(H15:H20),1)</f>
        <v>2062.8000000000002</v>
      </c>
      <c r="I21" s="1390"/>
      <c r="J21" s="12">
        <f>ROUND(SUM(J15:J20),1)</f>
        <v>23143.4</v>
      </c>
      <c r="K21" s="1390"/>
      <c r="L21" s="12">
        <f>ROUND(SUM(L15:L20),1)</f>
        <v>2510.9</v>
      </c>
      <c r="M21" s="1390"/>
      <c r="N21" s="12">
        <f>ROUND(SUM(N15:N20),1)</f>
        <v>33220.699999999997</v>
      </c>
      <c r="O21" s="2335"/>
      <c r="P21" s="2436"/>
      <c r="Q21" s="2437"/>
      <c r="R21" s="12">
        <f>ROUND(SUM(R15:R20),1)</f>
        <v>7201.1</v>
      </c>
      <c r="S21" s="2335"/>
      <c r="T21" s="12">
        <f>ROUND(SUM(T15:T20),1)</f>
        <v>94823.3</v>
      </c>
      <c r="U21" s="1508"/>
      <c r="V21" s="1508"/>
      <c r="W21" s="2365"/>
      <c r="X21" s="1508"/>
      <c r="Y21" s="1596">
        <f>ROUND(SUM(Y15:Y20),1)</f>
        <v>6656.4</v>
      </c>
      <c r="Z21" s="23"/>
      <c r="AA21" s="1596">
        <f>ROUND(SUM(AA15:AA20),1)</f>
        <v>88678.7</v>
      </c>
      <c r="AB21" s="2366"/>
      <c r="AC21" s="2438"/>
      <c r="AD21" s="1596">
        <f>ROUND(SUM(AD15:AD20),1)</f>
        <v>6144.6</v>
      </c>
      <c r="AE21" s="2338"/>
      <c r="AF21" s="1470">
        <f t="shared" si="3"/>
        <v>6.9000000000000006E-2</v>
      </c>
    </row>
    <row r="22" spans="1:32" ht="16.350000000000001" customHeight="1">
      <c r="A22" s="2303"/>
      <c r="B22" s="2304"/>
      <c r="C22" s="2304"/>
      <c r="D22" s="626"/>
      <c r="E22" s="9"/>
      <c r="F22" s="14"/>
      <c r="G22" s="9"/>
      <c r="H22" s="626"/>
      <c r="I22" s="9"/>
      <c r="J22" s="14"/>
      <c r="K22" s="9"/>
      <c r="L22" s="626"/>
      <c r="M22" s="9"/>
      <c r="N22" s="14"/>
      <c r="O22" s="14"/>
      <c r="P22" s="2429"/>
      <c r="Q22" s="2430"/>
      <c r="R22" s="14"/>
      <c r="S22" s="14"/>
      <c r="T22" s="14"/>
      <c r="U22" s="1452"/>
      <c r="V22" s="1452"/>
      <c r="W22" s="2359"/>
      <c r="X22" s="1452"/>
      <c r="Y22" s="1452"/>
      <c r="Z22" s="22"/>
      <c r="AA22" s="1452"/>
      <c r="AB22" s="2314"/>
      <c r="AC22" s="2417"/>
      <c r="AD22" s="1452"/>
      <c r="AE22" s="2286"/>
      <c r="AF22" s="1456"/>
    </row>
    <row r="23" spans="1:32" ht="16.350000000000001" customHeight="1">
      <c r="A23" s="2303" t="s">
        <v>23</v>
      </c>
      <c r="B23" s="2304"/>
      <c r="C23" s="2304"/>
      <c r="D23" s="625"/>
      <c r="E23" s="9"/>
      <c r="F23" s="9"/>
      <c r="G23" s="9"/>
      <c r="H23" s="625"/>
      <c r="I23" s="9"/>
      <c r="J23" s="9"/>
      <c r="K23" s="9"/>
      <c r="L23" s="625"/>
      <c r="M23" s="9"/>
      <c r="N23" s="9"/>
      <c r="O23" s="14"/>
      <c r="P23" s="2429"/>
      <c r="Q23" s="2430"/>
      <c r="R23" s="9"/>
      <c r="S23" s="9"/>
      <c r="T23" s="9"/>
      <c r="U23" s="22"/>
      <c r="V23" s="22"/>
      <c r="W23" s="2359"/>
      <c r="X23" s="22"/>
      <c r="Y23" s="22"/>
      <c r="Z23" s="22"/>
      <c r="AA23" s="22"/>
      <c r="AB23" s="2314"/>
      <c r="AC23" s="2417"/>
      <c r="AD23" s="22"/>
      <c r="AE23" s="2286"/>
      <c r="AF23" s="1456"/>
    </row>
    <row r="24" spans="1:32" ht="16.350000000000001" customHeight="1">
      <c r="A24" s="2304" t="s">
        <v>24</v>
      </c>
      <c r="B24" s="2439" t="s">
        <v>1415</v>
      </c>
      <c r="C24" s="2304"/>
      <c r="D24" s="627"/>
      <c r="E24" s="10"/>
      <c r="F24" s="15"/>
      <c r="G24" s="9"/>
      <c r="H24" s="627"/>
      <c r="I24" s="10"/>
      <c r="J24" s="15"/>
      <c r="K24" s="9"/>
      <c r="L24" s="627"/>
      <c r="M24" s="9"/>
      <c r="N24" s="10"/>
      <c r="O24" s="14"/>
      <c r="P24" s="2429"/>
      <c r="Q24" s="2430"/>
      <c r="R24" s="10"/>
      <c r="S24" s="10"/>
      <c r="T24" s="10"/>
      <c r="U24" s="22"/>
      <c r="V24" s="22"/>
      <c r="W24" s="2359"/>
      <c r="X24" s="21"/>
      <c r="Y24" s="22"/>
      <c r="Z24" s="22"/>
      <c r="AA24" s="22"/>
      <c r="AB24" s="2314"/>
      <c r="AC24" s="2417"/>
      <c r="AD24" s="2440"/>
      <c r="AE24" s="2286"/>
      <c r="AF24" s="2341"/>
    </row>
    <row r="25" spans="1:32" ht="18" customHeight="1">
      <c r="A25" s="2342" t="s">
        <v>25</v>
      </c>
      <c r="B25" s="2304"/>
      <c r="C25" s="2304"/>
      <c r="D25" s="1391">
        <f>+'Exhibit A'!D24</f>
        <v>836.70000000000073</v>
      </c>
      <c r="E25" s="9"/>
      <c r="F25" s="2441">
        <f>+'Exhibit A'!F24</f>
        <v>18421.599999999999</v>
      </c>
      <c r="G25" s="9"/>
      <c r="H25" s="1391">
        <f>+'Exhibit G State'!X89</f>
        <v>147.10000000000036</v>
      </c>
      <c r="I25" s="9"/>
      <c r="J25" s="2441">
        <f>+'Exhibit G State'!AD89</f>
        <v>5746.1</v>
      </c>
      <c r="K25" s="9"/>
      <c r="L25" s="627">
        <f>+'Exhibit A'!L24</f>
        <v>0</v>
      </c>
      <c r="M25" s="9"/>
      <c r="N25" s="10">
        <f>+'Exhibit A'!N24</f>
        <v>0</v>
      </c>
      <c r="O25" s="17"/>
      <c r="P25" s="2432"/>
      <c r="Q25" s="2433"/>
      <c r="R25" s="2431">
        <f>ROUND(SUM(D25+H25+L25),1)</f>
        <v>983.8</v>
      </c>
      <c r="S25" s="2431"/>
      <c r="T25" s="2431">
        <f>ROUND(SUM(F25+J25+N25),1)</f>
        <v>24167.7</v>
      </c>
      <c r="U25" s="22"/>
      <c r="V25" s="22"/>
      <c r="W25" s="2434"/>
      <c r="X25" s="21"/>
      <c r="Y25" s="22">
        <v>982</v>
      </c>
      <c r="Z25" s="22" t="s">
        <v>15</v>
      </c>
      <c r="AA25" s="22">
        <f>+'Exhibit F'!AF101+'Exhibit G State'!AG89</f>
        <v>23736.699999999997</v>
      </c>
      <c r="AB25" s="2314"/>
      <c r="AC25" s="2417"/>
      <c r="AD25" s="22">
        <f>ROUND(SUM(T25-AA25),1)</f>
        <v>431</v>
      </c>
      <c r="AE25" s="2286"/>
      <c r="AF25" s="1453">
        <f>ROUND(+AD25/AA25,3)</f>
        <v>1.7999999999999999E-2</v>
      </c>
    </row>
    <row r="26" spans="1:32" ht="18" customHeight="1">
      <c r="A26" s="2342" t="s">
        <v>26</v>
      </c>
      <c r="B26" s="2345"/>
      <c r="C26" s="2304"/>
      <c r="D26" s="1391">
        <f>+'Exhibit A'!D25</f>
        <v>0.29999999999999982</v>
      </c>
      <c r="E26" s="9"/>
      <c r="F26" s="2441">
        <f>+'Exhibit A'!F25</f>
        <v>2.8</v>
      </c>
      <c r="G26" s="9"/>
      <c r="H26" s="1391">
        <f>+'Exhibit G State'!X90</f>
        <v>2</v>
      </c>
      <c r="I26" s="2431"/>
      <c r="J26" s="2441">
        <f>+'Exhibit G State'!AD90</f>
        <v>4</v>
      </c>
      <c r="K26" s="9"/>
      <c r="L26" s="627">
        <f>+'Exhibit A'!L25</f>
        <v>0</v>
      </c>
      <c r="M26" s="9"/>
      <c r="N26" s="10">
        <f>+'Exhibit A'!N25</f>
        <v>0</v>
      </c>
      <c r="O26" s="17"/>
      <c r="P26" s="2432"/>
      <c r="Q26" s="2433"/>
      <c r="R26" s="2431">
        <f t="shared" ref="R26:R33" si="4">ROUND(SUM(D26+H26+L26),1)</f>
        <v>2.2999999999999998</v>
      </c>
      <c r="S26" s="2431"/>
      <c r="T26" s="2431">
        <f t="shared" ref="T26:T33" si="5">ROUND(SUM(F26+J26+N26),1)</f>
        <v>6.8</v>
      </c>
      <c r="U26" s="22"/>
      <c r="V26" s="22"/>
      <c r="W26" s="2434"/>
      <c r="X26" s="21"/>
      <c r="Y26" s="22">
        <v>0.5</v>
      </c>
      <c r="Z26" s="22" t="s">
        <v>15</v>
      </c>
      <c r="AA26" s="22">
        <f>+'Exhibit F'!AF102+'Exhibit G State'!AG90</f>
        <v>7</v>
      </c>
      <c r="AB26" s="2314"/>
      <c r="AC26" s="2417"/>
      <c r="AD26" s="22">
        <f>ROUND(SUM(T26-AA26),1)</f>
        <v>-0.2</v>
      </c>
      <c r="AE26" s="2286"/>
      <c r="AF26" s="1453">
        <f>ROUND(IF(AA26=0,1,AD26/ABS(AA26)),3)</f>
        <v>-2.9000000000000001E-2</v>
      </c>
    </row>
    <row r="27" spans="1:32" ht="18" customHeight="1">
      <c r="A27" s="2342" t="s">
        <v>27</v>
      </c>
      <c r="B27" s="2346"/>
      <c r="C27" s="2304"/>
      <c r="D27" s="1391">
        <f>+'Exhibit A'!D26</f>
        <v>19</v>
      </c>
      <c r="E27" s="9"/>
      <c r="F27" s="2441">
        <f>+'Exhibit A'!F26</f>
        <v>973</v>
      </c>
      <c r="G27" s="9"/>
      <c r="H27" s="1391">
        <f>+'Exhibit G State'!X91</f>
        <v>34.199999999999996</v>
      </c>
      <c r="I27" s="9"/>
      <c r="J27" s="2441">
        <f>+'Exhibit G State'!AD91</f>
        <v>217.5</v>
      </c>
      <c r="K27" s="9"/>
      <c r="L27" s="627">
        <f>+'Exhibit A'!L26</f>
        <v>0</v>
      </c>
      <c r="M27" s="9"/>
      <c r="N27" s="10">
        <f>+'Exhibit A'!N26</f>
        <v>0</v>
      </c>
      <c r="O27" s="17"/>
      <c r="P27" s="2432"/>
      <c r="Q27" s="2433"/>
      <c r="R27" s="2431">
        <f t="shared" si="4"/>
        <v>53.2</v>
      </c>
      <c r="S27" s="2431"/>
      <c r="T27" s="2431">
        <f t="shared" si="5"/>
        <v>1190.5</v>
      </c>
      <c r="U27" s="22"/>
      <c r="V27" s="22"/>
      <c r="W27" s="2434"/>
      <c r="X27" s="21"/>
      <c r="Y27" s="22">
        <v>13.3</v>
      </c>
      <c r="Z27" s="22" t="s">
        <v>15</v>
      </c>
      <c r="AA27" s="22">
        <f>+'Exhibit F'!AF103+'Exhibit G State'!AG91</f>
        <v>1075.3</v>
      </c>
      <c r="AB27" s="2314"/>
      <c r="AC27" s="2417"/>
      <c r="AD27" s="22">
        <f>ROUND(SUM(T27-AA27),1)</f>
        <v>115.2</v>
      </c>
      <c r="AE27" s="2286"/>
      <c r="AF27" s="1453">
        <f>ROUND(+AD27/AA27,3)</f>
        <v>0.107</v>
      </c>
    </row>
    <row r="28" spans="1:32" ht="18" customHeight="1">
      <c r="A28" s="2342" t="s">
        <v>28</v>
      </c>
      <c r="B28" s="2346"/>
      <c r="C28" s="2304"/>
      <c r="D28" s="1391"/>
      <c r="E28" s="9"/>
      <c r="F28" s="2441"/>
      <c r="G28" s="9"/>
      <c r="H28" s="1391"/>
      <c r="I28" s="9"/>
      <c r="J28" s="2441"/>
      <c r="K28" s="9"/>
      <c r="L28" s="627"/>
      <c r="M28" s="9"/>
      <c r="N28" s="10"/>
      <c r="O28" s="17"/>
      <c r="P28" s="2432"/>
      <c r="Q28" s="2433"/>
      <c r="R28" s="1448" t="s">
        <v>15</v>
      </c>
      <c r="S28" s="2431"/>
      <c r="T28" s="1448" t="s">
        <v>15</v>
      </c>
      <c r="U28" s="22"/>
      <c r="V28" s="22"/>
      <c r="W28" s="2434"/>
      <c r="X28" s="21"/>
      <c r="Y28" s="630"/>
      <c r="Z28" s="22" t="s">
        <v>15</v>
      </c>
      <c r="AA28" s="630" t="s">
        <v>15</v>
      </c>
      <c r="AB28" s="2314"/>
      <c r="AC28" s="2417"/>
      <c r="AD28" s="22"/>
      <c r="AE28" s="2286"/>
      <c r="AF28" s="1453"/>
    </row>
    <row r="29" spans="1:32" ht="18" customHeight="1">
      <c r="A29" s="2442" t="s">
        <v>29</v>
      </c>
      <c r="B29" s="2347"/>
      <c r="C29" s="2304"/>
      <c r="D29" s="1391">
        <f>+'Exhibit A'!D28</f>
        <v>1194.5000000000005</v>
      </c>
      <c r="E29" s="9"/>
      <c r="F29" s="2441">
        <f>+'Exhibit A'!F28</f>
        <v>17721.400000000001</v>
      </c>
      <c r="G29" s="9"/>
      <c r="H29" s="1391">
        <f>+'Exhibit G State'!X93</f>
        <v>492.20000000000027</v>
      </c>
      <c r="I29" s="9"/>
      <c r="J29" s="2441">
        <f>+'Exhibit G State'!AD93</f>
        <v>5510.6</v>
      </c>
      <c r="K29" s="9"/>
      <c r="L29" s="627">
        <f>+'Exhibit A'!L28</f>
        <v>0</v>
      </c>
      <c r="M29" s="9"/>
      <c r="N29" s="10">
        <f>+'Exhibit A'!N28</f>
        <v>0</v>
      </c>
      <c r="O29" s="17"/>
      <c r="P29" s="2432"/>
      <c r="Q29" s="2433"/>
      <c r="R29" s="2431">
        <f t="shared" si="4"/>
        <v>1686.7</v>
      </c>
      <c r="S29" s="2431"/>
      <c r="T29" s="2431">
        <f t="shared" si="5"/>
        <v>23232</v>
      </c>
      <c r="U29" s="22"/>
      <c r="V29" s="22"/>
      <c r="W29" s="2434"/>
      <c r="X29" s="21"/>
      <c r="Y29" s="22">
        <v>1816.5</v>
      </c>
      <c r="Z29" s="22" t="s">
        <v>15</v>
      </c>
      <c r="AA29" s="22">
        <f>+'Exhibit F'!AF105+'Exhibit G State'!AG93</f>
        <v>20976.799999999999</v>
      </c>
      <c r="AB29" s="2314"/>
      <c r="AC29" s="2417"/>
      <c r="AD29" s="22">
        <f t="shared" ref="AD29:AD34" si="6">ROUND(SUM(T29-AA29),1)</f>
        <v>2255.1999999999998</v>
      </c>
      <c r="AE29" s="2286"/>
      <c r="AF29" s="1453">
        <f t="shared" ref="AF29:AF34" si="7">ROUND(+AD29/AA29,3)</f>
        <v>0.108</v>
      </c>
    </row>
    <row r="30" spans="1:32" ht="18" customHeight="1">
      <c r="A30" s="2342" t="s">
        <v>30</v>
      </c>
      <c r="B30" s="2346"/>
      <c r="C30" s="2304"/>
      <c r="D30" s="1391">
        <f>+'Exhibit A'!D29</f>
        <v>106.79999999999984</v>
      </c>
      <c r="E30" s="9"/>
      <c r="F30" s="2441">
        <f>+'Exhibit A'!F29</f>
        <v>1980.6</v>
      </c>
      <c r="G30" s="9"/>
      <c r="H30" s="1391">
        <f>+'Exhibit G State'!X94</f>
        <v>55.200000000000045</v>
      </c>
      <c r="I30" s="9"/>
      <c r="J30" s="2441">
        <f>+'Exhibit G State'!AD94</f>
        <v>817.5</v>
      </c>
      <c r="K30" s="9"/>
      <c r="L30" s="627">
        <f>+'Exhibit A'!L29</f>
        <v>0</v>
      </c>
      <c r="M30" s="9"/>
      <c r="N30" s="10">
        <f>+'Exhibit A'!N29</f>
        <v>0</v>
      </c>
      <c r="O30" s="17"/>
      <c r="P30" s="2432"/>
      <c r="Q30" s="2433"/>
      <c r="R30" s="2431">
        <f t="shared" si="4"/>
        <v>162</v>
      </c>
      <c r="S30" s="2431"/>
      <c r="T30" s="2431">
        <f t="shared" si="5"/>
        <v>2798.1</v>
      </c>
      <c r="U30" s="22"/>
      <c r="V30" s="22"/>
      <c r="W30" s="2434"/>
      <c r="X30" s="21"/>
      <c r="Y30" s="22">
        <v>235.5</v>
      </c>
      <c r="Z30" s="22" t="s">
        <v>15</v>
      </c>
      <c r="AA30" s="22">
        <f>+'Exhibit F'!AF106+'Exhibit G State'!AG94</f>
        <v>2955</v>
      </c>
      <c r="AB30" s="2314"/>
      <c r="AC30" s="2417"/>
      <c r="AD30" s="22">
        <f t="shared" si="6"/>
        <v>-156.9</v>
      </c>
      <c r="AE30" s="2286"/>
      <c r="AF30" s="1453">
        <f t="shared" si="7"/>
        <v>-5.2999999999999999E-2</v>
      </c>
    </row>
    <row r="31" spans="1:32" ht="18" customHeight="1">
      <c r="A31" s="2342" t="s">
        <v>31</v>
      </c>
      <c r="B31" s="2304"/>
      <c r="C31" s="2304"/>
      <c r="D31" s="1391">
        <f>+'Exhibit A'!D30</f>
        <v>10.700000000000017</v>
      </c>
      <c r="E31" s="9"/>
      <c r="F31" s="2441">
        <f>+'Exhibit A'!F30</f>
        <v>153.80000000000001</v>
      </c>
      <c r="G31" s="9"/>
      <c r="H31" s="1391">
        <f>+'Exhibit G State'!X95</f>
        <v>56.10000000000003</v>
      </c>
      <c r="I31" s="9"/>
      <c r="J31" s="2441">
        <f>+'Exhibit G State'!AD95</f>
        <v>168.3</v>
      </c>
      <c r="K31" s="9"/>
      <c r="L31" s="627">
        <f>+'Exhibit A'!L30</f>
        <v>0</v>
      </c>
      <c r="M31" s="9"/>
      <c r="N31" s="10">
        <f>+'Exhibit A'!N30</f>
        <v>0</v>
      </c>
      <c r="O31" s="17"/>
      <c r="P31" s="2432"/>
      <c r="Q31" s="2433"/>
      <c r="R31" s="2431">
        <f t="shared" si="4"/>
        <v>66.8</v>
      </c>
      <c r="S31" s="2431"/>
      <c r="T31" s="2431">
        <f t="shared" si="5"/>
        <v>322.10000000000002</v>
      </c>
      <c r="U31" s="22"/>
      <c r="V31" s="22"/>
      <c r="W31" s="2434"/>
      <c r="X31" s="21"/>
      <c r="Y31" s="22">
        <v>30.799999999999997</v>
      </c>
      <c r="Z31" s="22" t="s">
        <v>15</v>
      </c>
      <c r="AA31" s="22">
        <f>+'Exhibit F'!AF107+'Exhibit G State'!AG95</f>
        <v>313</v>
      </c>
      <c r="AB31" s="2314"/>
      <c r="AC31" s="2417"/>
      <c r="AD31" s="22">
        <f t="shared" si="6"/>
        <v>9.1</v>
      </c>
      <c r="AE31" s="2286"/>
      <c r="AF31" s="1453">
        <f t="shared" si="7"/>
        <v>2.9000000000000001E-2</v>
      </c>
    </row>
    <row r="32" spans="1:32" ht="18" customHeight="1">
      <c r="A32" s="2342" t="s">
        <v>32</v>
      </c>
      <c r="B32" s="2304"/>
      <c r="C32" s="2304"/>
      <c r="D32" s="1391">
        <f>+'Exhibit A'!D31</f>
        <v>197.29999999999973</v>
      </c>
      <c r="E32" s="9"/>
      <c r="F32" s="2441">
        <f>+'Exhibit A'!F31</f>
        <v>2204.6</v>
      </c>
      <c r="G32" s="9"/>
      <c r="H32" s="1391">
        <f>+'Exhibit G State'!X96</f>
        <v>9.9999999999999756E-2</v>
      </c>
      <c r="I32" s="9"/>
      <c r="J32" s="2441">
        <f>+'Exhibit G State'!AD96</f>
        <v>3.8</v>
      </c>
      <c r="K32" s="9"/>
      <c r="L32" s="627">
        <f>+'Exhibit A'!L31</f>
        <v>0</v>
      </c>
      <c r="M32" s="9"/>
      <c r="N32" s="10">
        <f>+'Exhibit A'!N31</f>
        <v>0</v>
      </c>
      <c r="O32" s="17"/>
      <c r="P32" s="2432"/>
      <c r="Q32" s="2433"/>
      <c r="R32" s="2431">
        <f t="shared" si="4"/>
        <v>197.4</v>
      </c>
      <c r="S32" s="2431"/>
      <c r="T32" s="2431">
        <f t="shared" si="5"/>
        <v>2208.4</v>
      </c>
      <c r="U32" s="22"/>
      <c r="V32" s="22"/>
      <c r="W32" s="2434"/>
      <c r="X32" s="21"/>
      <c r="Y32" s="22">
        <v>136.30000000000001</v>
      </c>
      <c r="Z32" s="22" t="s">
        <v>15</v>
      </c>
      <c r="AA32" s="22">
        <f>+'Exhibit F'!AF108+'Exhibit G State'!AG96</f>
        <v>2085.8000000000002</v>
      </c>
      <c r="AB32" s="2314"/>
      <c r="AC32" s="2417"/>
      <c r="AD32" s="22">
        <f t="shared" si="6"/>
        <v>122.6</v>
      </c>
      <c r="AE32" s="2286"/>
      <c r="AF32" s="1453">
        <f t="shared" si="7"/>
        <v>5.8999999999999997E-2</v>
      </c>
    </row>
    <row r="33" spans="1:32" ht="18" customHeight="1">
      <c r="A33" s="2342" t="s">
        <v>33</v>
      </c>
      <c r="B33" s="2304"/>
      <c r="C33" s="2304"/>
      <c r="D33" s="1391">
        <f>+'Exhibit A'!D32</f>
        <v>22.100000000000009</v>
      </c>
      <c r="E33" s="9"/>
      <c r="F33" s="2441">
        <f>+'Exhibit A'!F32</f>
        <v>136.4</v>
      </c>
      <c r="G33" s="9"/>
      <c r="H33" s="1391">
        <f>+'Exhibit G State'!X97</f>
        <v>8.5000000000000036</v>
      </c>
      <c r="I33" s="9"/>
      <c r="J33" s="2441">
        <f>+'Exhibit G State'!AD97</f>
        <v>53.8</v>
      </c>
      <c r="K33" s="9"/>
      <c r="L33" s="627">
        <f>+'Exhibit A'!L32</f>
        <v>0</v>
      </c>
      <c r="M33" s="9"/>
      <c r="N33" s="10">
        <f>+'Exhibit A'!N32</f>
        <v>0</v>
      </c>
      <c r="O33" s="17"/>
      <c r="P33" s="2432"/>
      <c r="Q33" s="2433"/>
      <c r="R33" s="2431">
        <f t="shared" si="4"/>
        <v>30.6</v>
      </c>
      <c r="S33" s="2431"/>
      <c r="T33" s="2431">
        <f t="shared" si="5"/>
        <v>190.2</v>
      </c>
      <c r="U33" s="22"/>
      <c r="V33" s="22"/>
      <c r="W33" s="2434"/>
      <c r="X33" s="21"/>
      <c r="Y33" s="22">
        <v>21.7</v>
      </c>
      <c r="Z33" s="22" t="s">
        <v>15</v>
      </c>
      <c r="AA33" s="22">
        <f>+'Exhibit F'!AF109+'Exhibit G State'!AG97</f>
        <v>197.5</v>
      </c>
      <c r="AB33" s="2314"/>
      <c r="AC33" s="2417"/>
      <c r="AD33" s="22">
        <f t="shared" si="6"/>
        <v>-7.3</v>
      </c>
      <c r="AE33" s="2286"/>
      <c r="AF33" s="1453">
        <f t="shared" si="7"/>
        <v>-3.6999999999999998E-2</v>
      </c>
    </row>
    <row r="34" spans="1:32" ht="18" customHeight="1">
      <c r="A34" s="2342" t="s">
        <v>34</v>
      </c>
      <c r="B34" s="2304"/>
      <c r="C34" s="2304"/>
      <c r="D34" s="1391">
        <f>+'Exhibit A'!D33</f>
        <v>12.500000000000007</v>
      </c>
      <c r="E34" s="9"/>
      <c r="F34" s="2441">
        <f>+'Exhibit A'!F33</f>
        <v>110</v>
      </c>
      <c r="G34" s="9"/>
      <c r="H34" s="1391">
        <f>+'Exhibit G State'!X98</f>
        <v>90</v>
      </c>
      <c r="I34" s="9"/>
      <c r="J34" s="2441">
        <f>+'Exhibit G State'!AD98</f>
        <v>3337.3</v>
      </c>
      <c r="K34" s="9"/>
      <c r="L34" s="627">
        <f>+'Exhibit A'!L33</f>
        <v>0</v>
      </c>
      <c r="M34" s="9"/>
      <c r="N34" s="10">
        <f>+'Exhibit A'!N33</f>
        <v>0</v>
      </c>
      <c r="O34" s="17"/>
      <c r="P34" s="2432"/>
      <c r="Q34" s="2433"/>
      <c r="R34" s="2443">
        <f>ROUND(SUM(D34+H34+L34),1)</f>
        <v>102.5</v>
      </c>
      <c r="S34" s="2431"/>
      <c r="T34" s="2443">
        <f>ROUND(SUM(F34+J34+N34),1)</f>
        <v>3447.3</v>
      </c>
      <c r="U34" s="22"/>
      <c r="V34" s="22"/>
      <c r="W34" s="2434"/>
      <c r="X34" s="21"/>
      <c r="Y34" s="22">
        <v>123.6</v>
      </c>
      <c r="Z34" s="22" t="s">
        <v>15</v>
      </c>
      <c r="AA34" s="1452">
        <f>+'Exhibit F'!AF110+'Exhibit G State'!AG98</f>
        <v>3766.6</v>
      </c>
      <c r="AB34" s="2314"/>
      <c r="AC34" s="2417"/>
      <c r="AD34" s="22">
        <f t="shared" si="6"/>
        <v>-319.3</v>
      </c>
      <c r="AE34" s="2286"/>
      <c r="AF34" s="1453">
        <f t="shared" si="7"/>
        <v>-8.5000000000000006E-2</v>
      </c>
    </row>
    <row r="35" spans="1:32" ht="18" customHeight="1">
      <c r="A35" s="2303" t="s">
        <v>35</v>
      </c>
      <c r="B35" s="2304"/>
      <c r="C35" s="2304"/>
      <c r="D35" s="12">
        <f>ROUND(SUM(D25:D34),1)</f>
        <v>2399.9</v>
      </c>
      <c r="E35" s="1390"/>
      <c r="F35" s="12">
        <f>ROUND(SUM(F25:F34),1)</f>
        <v>41704.199999999997</v>
      </c>
      <c r="G35" s="1390"/>
      <c r="H35" s="12">
        <f>ROUND(SUM(H25:H34),1)</f>
        <v>885.4</v>
      </c>
      <c r="I35" s="1390"/>
      <c r="J35" s="12">
        <f>ROUND(SUM(J25:J34),1)</f>
        <v>15858.9</v>
      </c>
      <c r="K35" s="1390"/>
      <c r="L35" s="2444">
        <f>ROUND(SUM(L25:L34),1)</f>
        <v>0</v>
      </c>
      <c r="M35" s="1390"/>
      <c r="N35" s="1450">
        <f>ROUND(SUM(N25:N34),1)</f>
        <v>0</v>
      </c>
      <c r="O35" s="2445"/>
      <c r="P35" s="2446"/>
      <c r="Q35" s="2447"/>
      <c r="R35" s="12">
        <f>ROUND(SUM(R25:R34),1)</f>
        <v>3285.3</v>
      </c>
      <c r="S35" s="2445"/>
      <c r="T35" s="12">
        <f>ROUND(SUM(T25:T34),1)</f>
        <v>57563.1</v>
      </c>
      <c r="U35" s="1508"/>
      <c r="V35" s="1508"/>
      <c r="W35" s="2448"/>
      <c r="X35" s="2449"/>
      <c r="Y35" s="1596">
        <f>ROUND(SUM(Y25:Y34),1)</f>
        <v>3360.2</v>
      </c>
      <c r="Z35" s="23"/>
      <c r="AA35" s="1596">
        <f>ROUND(SUM(AA25:AA34),1)</f>
        <v>55113.7</v>
      </c>
      <c r="AB35" s="2366"/>
      <c r="AC35" s="2438"/>
      <c r="AD35" s="1596">
        <f>ROUND(SUM(AD25:AD34),1)</f>
        <v>2449.4</v>
      </c>
      <c r="AE35" s="2338"/>
      <c r="AF35" s="1470">
        <f>ROUND(+AD35/AA35,3)</f>
        <v>4.3999999999999997E-2</v>
      </c>
    </row>
    <row r="36" spans="1:32" ht="18" customHeight="1">
      <c r="A36" s="2304" t="s">
        <v>36</v>
      </c>
      <c r="B36" s="2346"/>
      <c r="C36" s="2304"/>
      <c r="D36" s="625"/>
      <c r="E36" s="9"/>
      <c r="F36" s="9"/>
      <c r="G36" s="9"/>
      <c r="H36" s="625"/>
      <c r="I36" s="9"/>
      <c r="J36" s="9"/>
      <c r="K36" s="9"/>
      <c r="L36" s="625"/>
      <c r="M36" s="9"/>
      <c r="N36" s="9"/>
      <c r="O36" s="14"/>
      <c r="P36" s="2429"/>
      <c r="Q36" s="2430"/>
      <c r="R36" s="9"/>
      <c r="S36" s="9"/>
      <c r="T36" s="9"/>
      <c r="U36" s="22"/>
      <c r="V36" s="22"/>
      <c r="W36" s="2359"/>
      <c r="X36" s="22"/>
      <c r="Y36" s="22"/>
      <c r="Z36" s="22"/>
      <c r="AA36" s="22"/>
      <c r="AB36" s="2314"/>
      <c r="AC36" s="2417"/>
      <c r="AD36" s="22"/>
      <c r="AE36" s="2286"/>
      <c r="AF36" s="1456"/>
    </row>
    <row r="37" spans="1:32" ht="18" customHeight="1">
      <c r="A37" s="2304" t="s">
        <v>37</v>
      </c>
      <c r="B37" s="2345"/>
      <c r="C37" s="2304"/>
      <c r="D37" s="625">
        <f>+'Exhibit A'!D36</f>
        <v>663.99999999999977</v>
      </c>
      <c r="E37" s="9"/>
      <c r="F37" s="2441">
        <f>+'Exhibit A'!F36</f>
        <v>8298.1</v>
      </c>
      <c r="G37" s="9"/>
      <c r="H37" s="625">
        <f>+'Exhibit G State'!X101</f>
        <v>404.49999999999977</v>
      </c>
      <c r="I37" s="9"/>
      <c r="J37" s="2441">
        <f>+'Exhibit G State'!AD101</f>
        <v>4734.6000000000004</v>
      </c>
      <c r="K37" s="9"/>
      <c r="L37" s="628">
        <f>+'Exhibit A'!L36</f>
        <v>0</v>
      </c>
      <c r="M37" s="2431"/>
      <c r="N37" s="10">
        <f>+'Exhibit A'!N36</f>
        <v>0</v>
      </c>
      <c r="O37" s="17"/>
      <c r="P37" s="2432"/>
      <c r="Q37" s="2433"/>
      <c r="R37" s="2431">
        <f>ROUND(SUM(D37+H37+L37),1)</f>
        <v>1068.5</v>
      </c>
      <c r="S37" s="10"/>
      <c r="T37" s="9">
        <f>ROUND(SUM(F37+J37+N37),1)</f>
        <v>13032.7</v>
      </c>
      <c r="U37" s="22"/>
      <c r="V37" s="22"/>
      <c r="W37" s="2434"/>
      <c r="X37" s="21"/>
      <c r="Y37" s="22">
        <v>1051.2</v>
      </c>
      <c r="Z37" s="22" t="s">
        <v>15</v>
      </c>
      <c r="AA37" s="22">
        <f>+'Exhibit F'!AF113+'Exhibit G State'!AG101</f>
        <v>12645.9</v>
      </c>
      <c r="AB37" s="2314"/>
      <c r="AC37" s="2417"/>
      <c r="AD37" s="22">
        <f t="shared" ref="AD37:AD41" si="8">ROUND(SUM(T37-AA37),1)</f>
        <v>386.8</v>
      </c>
      <c r="AE37" s="2286"/>
      <c r="AF37" s="1453">
        <f>ROUND(+AD37/AA37,3)</f>
        <v>3.1E-2</v>
      </c>
    </row>
    <row r="38" spans="1:32" ht="18" customHeight="1">
      <c r="A38" s="2353" t="s">
        <v>38</v>
      </c>
      <c r="B38" s="3668"/>
      <c r="C38" s="2353"/>
      <c r="D38" s="630">
        <f>+'Exhibit A'!D37</f>
        <v>229.70000000000033</v>
      </c>
      <c r="E38" s="22"/>
      <c r="F38" s="3669">
        <f>+'Exhibit A'!F37</f>
        <v>2274.4</v>
      </c>
      <c r="G38" s="22"/>
      <c r="H38" s="630">
        <f>+'Exhibit G State'!X102</f>
        <v>273.59999999999991</v>
      </c>
      <c r="I38" s="22"/>
      <c r="J38" s="3669">
        <f>+'Exhibit G State'!AD102</f>
        <v>2728.1</v>
      </c>
      <c r="K38" s="22"/>
      <c r="L38" s="1446">
        <f>+'Exhibit A'!L37</f>
        <v>1.6000000000000014</v>
      </c>
      <c r="M38" s="3537"/>
      <c r="N38" s="21">
        <f>+'Exhibit A'!N37</f>
        <v>28.6</v>
      </c>
      <c r="O38" s="1452"/>
      <c r="P38" s="2429"/>
      <c r="Q38" s="2451"/>
      <c r="R38" s="3537">
        <f>ROUND(SUM(D38+H38+L38),1)</f>
        <v>504.9</v>
      </c>
      <c r="S38" s="21"/>
      <c r="T38" s="22">
        <f>ROUND(SUM(F38+J38+N38),1)</f>
        <v>5031.1000000000004</v>
      </c>
      <c r="U38" s="22"/>
      <c r="V38" s="22"/>
      <c r="W38" s="2359"/>
      <c r="X38" s="22"/>
      <c r="Y38" s="22">
        <v>522.20000000000005</v>
      </c>
      <c r="Z38" s="22" t="s">
        <v>15</v>
      </c>
      <c r="AA38" s="22">
        <f>+'Exhibit F'!AF114+'Exhibit G State'!AG102+'Exhibit H'!AD53</f>
        <v>4914.2</v>
      </c>
      <c r="AB38" s="2314"/>
      <c r="AC38" s="2417"/>
      <c r="AD38" s="22">
        <f t="shared" si="8"/>
        <v>116.9</v>
      </c>
      <c r="AF38" s="1690">
        <f>ROUND(+AD38/AA38,3)</f>
        <v>2.4E-2</v>
      </c>
    </row>
    <row r="39" spans="1:32" ht="18" customHeight="1">
      <c r="A39" s="2304" t="s">
        <v>39</v>
      </c>
      <c r="B39" s="2327"/>
      <c r="C39" s="2304"/>
      <c r="D39" s="625">
        <f>+'Exhibit A'!D38</f>
        <v>415</v>
      </c>
      <c r="E39" s="9"/>
      <c r="F39" s="2441">
        <f>+'Exhibit A'!F38</f>
        <v>6981.1</v>
      </c>
      <c r="G39" s="9"/>
      <c r="H39" s="625">
        <f>+'Exhibit G State'!X103</f>
        <v>64.5</v>
      </c>
      <c r="I39" s="9"/>
      <c r="J39" s="2441">
        <f>+'Exhibit G State'!AD103</f>
        <v>900.8</v>
      </c>
      <c r="K39" s="9"/>
      <c r="L39" s="628">
        <f>+'Exhibit A'!L38</f>
        <v>0</v>
      </c>
      <c r="M39" s="9"/>
      <c r="N39" s="10">
        <f>+'Exhibit A'!N38</f>
        <v>0</v>
      </c>
      <c r="O39" s="17"/>
      <c r="P39" s="2432"/>
      <c r="Q39" s="2433"/>
      <c r="R39" s="2431">
        <f>ROUND(SUM(D39+H39+L39),1)</f>
        <v>479.5</v>
      </c>
      <c r="S39" s="10"/>
      <c r="T39" s="9">
        <f>ROUND(SUM(F39+J39+N39),1)</f>
        <v>7881.9</v>
      </c>
      <c r="U39" s="22"/>
      <c r="V39" s="22"/>
      <c r="W39" s="2434"/>
      <c r="X39" s="21"/>
      <c r="Y39" s="22">
        <v>475.20000000000005</v>
      </c>
      <c r="Z39" s="22" t="s">
        <v>15</v>
      </c>
      <c r="AA39" s="22">
        <f>+'Exhibit F'!AF115+'Exhibit G State'!AG103</f>
        <v>7678.9</v>
      </c>
      <c r="AB39" s="2314"/>
      <c r="AC39" s="2417"/>
      <c r="AD39" s="22">
        <f t="shared" si="8"/>
        <v>203</v>
      </c>
      <c r="AE39" s="2286"/>
      <c r="AF39" s="1453">
        <f>ROUND(+AD39/AA39,3)</f>
        <v>2.5999999999999999E-2</v>
      </c>
    </row>
    <row r="40" spans="1:32" ht="18" customHeight="1">
      <c r="A40" s="2304" t="s">
        <v>40</v>
      </c>
      <c r="B40" s="2304"/>
      <c r="C40" s="2304"/>
      <c r="D40" s="625"/>
      <c r="E40" s="9"/>
      <c r="F40" s="9"/>
      <c r="G40" s="9"/>
      <c r="H40" s="625"/>
      <c r="I40" s="9"/>
      <c r="J40" s="9"/>
      <c r="K40" s="9"/>
      <c r="L40" s="625"/>
      <c r="M40" s="9"/>
      <c r="N40" s="9"/>
      <c r="O40" s="14"/>
      <c r="P40" s="2429"/>
      <c r="Q40" s="2430"/>
      <c r="R40" s="1448" t="s">
        <v>15</v>
      </c>
      <c r="S40" s="9"/>
      <c r="T40" s="625" t="s">
        <v>15</v>
      </c>
      <c r="U40" s="22"/>
      <c r="V40" s="22"/>
      <c r="W40" s="2359"/>
      <c r="X40" s="22"/>
      <c r="Y40" s="630"/>
      <c r="Z40" s="22"/>
      <c r="AA40" s="630" t="s">
        <v>15</v>
      </c>
      <c r="AB40" s="2314"/>
      <c r="AC40" s="2417"/>
      <c r="AD40" s="22"/>
      <c r="AE40" s="2286"/>
      <c r="AF40" s="1453"/>
    </row>
    <row r="41" spans="1:32" ht="18" customHeight="1">
      <c r="A41" s="2304" t="s">
        <v>41</v>
      </c>
      <c r="B41" s="2345"/>
      <c r="C41" s="2304"/>
      <c r="D41" s="628">
        <v>0</v>
      </c>
      <c r="E41" s="9"/>
      <c r="F41" s="10">
        <v>0</v>
      </c>
      <c r="G41" s="9"/>
      <c r="H41" s="628">
        <v>0</v>
      </c>
      <c r="I41" s="9"/>
      <c r="J41" s="10">
        <v>0</v>
      </c>
      <c r="K41" s="9"/>
      <c r="L41" s="628">
        <f>+'Exhibit A'!L40</f>
        <v>719.89999999999964</v>
      </c>
      <c r="M41" s="2431"/>
      <c r="N41" s="10">
        <f>+'Exhibit A'!N40</f>
        <v>2276.6999999999998</v>
      </c>
      <c r="O41" s="14"/>
      <c r="P41" s="2429"/>
      <c r="Q41" s="2430"/>
      <c r="R41" s="2431">
        <f>ROUND(SUM(D41+H41+L41),1)</f>
        <v>719.9</v>
      </c>
      <c r="S41" s="9"/>
      <c r="T41" s="9">
        <f>ROUND(SUM(F41+J41+N41),1)</f>
        <v>2276.6999999999998</v>
      </c>
      <c r="U41" s="22"/>
      <c r="V41" s="22"/>
      <c r="W41" s="2359"/>
      <c r="X41" s="22"/>
      <c r="Y41" s="22">
        <v>729.1</v>
      </c>
      <c r="Z41" s="22" t="s">
        <v>15</v>
      </c>
      <c r="AA41" s="22">
        <f>+'Exhibit H'!AD55</f>
        <v>2498</v>
      </c>
      <c r="AB41" s="2314"/>
      <c r="AC41" s="2417"/>
      <c r="AD41" s="22">
        <f t="shared" si="8"/>
        <v>-221.3</v>
      </c>
      <c r="AE41" s="2286"/>
      <c r="AF41" s="1453">
        <f>ROUND(+AD41/AA41,3)</f>
        <v>-8.8999999999999996E-2</v>
      </c>
    </row>
    <row r="42" spans="1:32" ht="18" customHeight="1">
      <c r="A42" s="2304" t="s">
        <v>42</v>
      </c>
      <c r="B42" s="2345"/>
      <c r="C42" s="2304"/>
      <c r="D42" s="628">
        <v>0</v>
      </c>
      <c r="E42" s="9"/>
      <c r="F42" s="10">
        <v>0</v>
      </c>
      <c r="G42" s="9"/>
      <c r="H42" s="628">
        <f>'Exhibit G State'!X104</f>
        <v>0</v>
      </c>
      <c r="I42" s="9"/>
      <c r="J42" s="628">
        <f>'Exhibit G State'!AD104</f>
        <v>0</v>
      </c>
      <c r="K42" s="9"/>
      <c r="L42" s="628">
        <v>0</v>
      </c>
      <c r="M42" s="2431"/>
      <c r="N42" s="10">
        <v>0</v>
      </c>
      <c r="O42" s="14"/>
      <c r="P42" s="2429"/>
      <c r="Q42" s="3715"/>
      <c r="R42" s="2431">
        <f>ROUND(SUM(D42+H42+L42),1)</f>
        <v>0</v>
      </c>
      <c r="S42" s="9"/>
      <c r="T42" s="9">
        <f>ROUND(SUM(F42+J42+N42),1)</f>
        <v>0</v>
      </c>
      <c r="U42" s="22"/>
      <c r="V42" s="22"/>
      <c r="W42" s="3716"/>
      <c r="X42" s="22"/>
      <c r="Y42" s="22">
        <v>0</v>
      </c>
      <c r="Z42" s="22"/>
      <c r="AA42" s="22">
        <f>'Exhibit G State'!AG104</f>
        <v>0</v>
      </c>
      <c r="AB42" s="2314"/>
      <c r="AC42" s="2417"/>
      <c r="AD42" s="22">
        <f>ROUND(SUM(T42-AA42),1)</f>
        <v>0</v>
      </c>
      <c r="AE42" s="2286"/>
      <c r="AF42" s="1453">
        <f>IF(AA42=0,0,AD42/AA42)</f>
        <v>0</v>
      </c>
    </row>
    <row r="43" spans="1:32" ht="18" customHeight="1">
      <c r="A43" s="2303" t="s">
        <v>58</v>
      </c>
      <c r="B43" s="2304"/>
      <c r="C43" s="2304"/>
      <c r="D43" s="12">
        <f>SUM(D35:D42)</f>
        <v>3708.6</v>
      </c>
      <c r="E43" s="1390"/>
      <c r="F43" s="12">
        <f>SUM(F35:F42)</f>
        <v>59257.799999999996</v>
      </c>
      <c r="G43" s="1390"/>
      <c r="H43" s="12">
        <f>SUM(H35:H42)</f>
        <v>1627.9999999999995</v>
      </c>
      <c r="I43" s="1390"/>
      <c r="J43" s="12">
        <f>SUM(J35:J42)</f>
        <v>24222.399999999998</v>
      </c>
      <c r="K43" s="1390"/>
      <c r="L43" s="12">
        <f>SUM(L35:L42)</f>
        <v>721.49999999999966</v>
      </c>
      <c r="M43" s="1390"/>
      <c r="N43" s="12">
        <f>SUM(N35:N42)</f>
        <v>2305.2999999999997</v>
      </c>
      <c r="O43" s="2335"/>
      <c r="P43" s="2436"/>
      <c r="Q43" s="2437"/>
      <c r="R43" s="12">
        <f>ROUND(SUM(R35:R42),1)</f>
        <v>6058.1</v>
      </c>
      <c r="S43" s="2335"/>
      <c r="T43" s="12">
        <f>ROUND(SUM(T35:T42),1)</f>
        <v>85785.5</v>
      </c>
      <c r="U43" s="1508"/>
      <c r="V43" s="1508"/>
      <c r="W43" s="2365"/>
      <c r="X43" s="1508"/>
      <c r="Y43" s="1596">
        <f>ROUND(SUM(Y35:Y42),1)</f>
        <v>6137.9</v>
      </c>
      <c r="Z43" s="23"/>
      <c r="AA43" s="1596">
        <f>ROUND(SUM(AA35:AA42),1)</f>
        <v>82850.7</v>
      </c>
      <c r="AB43" s="2366"/>
      <c r="AC43" s="2438"/>
      <c r="AD43" s="1596">
        <f>ROUND(SUM(AD35:AD42),1)</f>
        <v>2934.8</v>
      </c>
      <c r="AE43" s="2338"/>
      <c r="AF43" s="1470">
        <f>ROUND(+AD43/AA43,3)</f>
        <v>3.5000000000000003E-2</v>
      </c>
    </row>
    <row r="44" spans="1:32" ht="16.350000000000001" customHeight="1">
      <c r="A44" s="2303"/>
      <c r="B44" s="2304"/>
      <c r="C44" s="2304"/>
      <c r="D44" s="626"/>
      <c r="E44" s="9"/>
      <c r="F44" s="14"/>
      <c r="G44" s="9"/>
      <c r="H44" s="626"/>
      <c r="I44" s="9"/>
      <c r="J44" s="14"/>
      <c r="K44" s="9"/>
      <c r="L44" s="626"/>
      <c r="M44" s="9"/>
      <c r="N44" s="14"/>
      <c r="O44" s="14"/>
      <c r="P44" s="2429"/>
      <c r="Q44" s="2430"/>
      <c r="R44" s="14"/>
      <c r="S44" s="14"/>
      <c r="T44" s="14"/>
      <c r="U44" s="1452"/>
      <c r="V44" s="1452"/>
      <c r="W44" s="2359"/>
      <c r="X44" s="1452"/>
      <c r="Y44" s="1452"/>
      <c r="Z44" s="22"/>
      <c r="AA44" s="1452"/>
      <c r="AB44" s="2314"/>
      <c r="AC44" s="2417"/>
      <c r="AD44" s="1452"/>
      <c r="AE44" s="2286"/>
      <c r="AF44" s="1456"/>
    </row>
    <row r="45" spans="1:32" ht="16.350000000000001" customHeight="1">
      <c r="A45" s="2303" t="s">
        <v>44</v>
      </c>
      <c r="B45" s="2303"/>
      <c r="C45" s="2304"/>
      <c r="D45" s="625"/>
      <c r="E45" s="9"/>
      <c r="F45" s="9"/>
      <c r="G45" s="9"/>
      <c r="H45" s="625"/>
      <c r="I45" s="9"/>
      <c r="J45" s="9"/>
      <c r="K45" s="9"/>
      <c r="L45" s="625"/>
      <c r="M45" s="9"/>
      <c r="N45" s="9"/>
      <c r="O45" s="14"/>
      <c r="P45" s="2429"/>
      <c r="Q45" s="2430"/>
      <c r="R45" s="9"/>
      <c r="S45" s="9"/>
      <c r="T45" s="9"/>
      <c r="U45" s="22"/>
      <c r="V45" s="22"/>
      <c r="W45" s="2359"/>
      <c r="X45" s="22"/>
      <c r="Y45" s="22"/>
      <c r="Z45" s="22"/>
      <c r="AA45" s="22"/>
      <c r="AB45" s="2314"/>
      <c r="AC45" s="2417"/>
      <c r="AD45" s="22"/>
      <c r="AE45" s="2286"/>
      <c r="AF45" s="1456"/>
    </row>
    <row r="46" spans="1:32" ht="16.350000000000001" customHeight="1">
      <c r="A46" s="2303" t="s">
        <v>45</v>
      </c>
      <c r="B46" s="2303"/>
      <c r="C46" s="2304"/>
      <c r="D46" s="19">
        <f>ROUND(SUM(D21-D43),1)</f>
        <v>-1081.2</v>
      </c>
      <c r="E46" s="1390"/>
      <c r="F46" s="19">
        <f>ROUND(SUM(F21-F43),1)</f>
        <v>-20798.599999999999</v>
      </c>
      <c r="G46" s="1390"/>
      <c r="H46" s="19">
        <f>ROUND(SUM(H21-H43),1)</f>
        <v>434.8</v>
      </c>
      <c r="I46" s="1390"/>
      <c r="J46" s="19">
        <f>ROUND(SUM(J21-J43),1)</f>
        <v>-1079</v>
      </c>
      <c r="K46" s="1390"/>
      <c r="L46" s="19">
        <f>ROUND(SUM(L21-L43),1)</f>
        <v>1789.4</v>
      </c>
      <c r="M46" s="1390" t="s">
        <v>15</v>
      </c>
      <c r="N46" s="19">
        <f>ROUND(SUM(N21-N43),1)</f>
        <v>30915.4</v>
      </c>
      <c r="O46" s="2335"/>
      <c r="P46" s="2436"/>
      <c r="Q46" s="2437"/>
      <c r="R46" s="19">
        <f>ROUND(SUM(+R21-R43),1)</f>
        <v>1143</v>
      </c>
      <c r="S46" s="2335"/>
      <c r="T46" s="19">
        <f>ROUND(SUM(+T21-T43),1)</f>
        <v>9037.7999999999993</v>
      </c>
      <c r="U46" s="1508"/>
      <c r="V46" s="1508"/>
      <c r="W46" s="2365"/>
      <c r="X46" s="1508"/>
      <c r="Y46" s="1692">
        <f>ROUND(SUM(Y21-Y43),1)</f>
        <v>518.5</v>
      </c>
      <c r="Z46" s="23" t="s">
        <v>15</v>
      </c>
      <c r="AA46" s="1692">
        <f>ROUND(SUM(AA21-AA43),1)</f>
        <v>5828</v>
      </c>
      <c r="AB46" s="2366"/>
      <c r="AC46" s="2438"/>
      <c r="AD46" s="1692">
        <f>ROUND(SUM(AD21-AD43),1)</f>
        <v>3209.8</v>
      </c>
      <c r="AE46" s="2352"/>
      <c r="AF46" s="1494">
        <f>ROUND(AD46/AA46,3)</f>
        <v>0.55100000000000005</v>
      </c>
    </row>
    <row r="47" spans="1:32" ht="16.350000000000001" customHeight="1">
      <c r="A47" s="2304"/>
      <c r="B47" s="2304"/>
      <c r="C47" s="2304"/>
      <c r="D47" s="626"/>
      <c r="E47" s="9"/>
      <c r="F47" s="14"/>
      <c r="G47" s="9"/>
      <c r="H47" s="626"/>
      <c r="I47" s="9"/>
      <c r="J47" s="14"/>
      <c r="K47" s="9"/>
      <c r="L47" s="626"/>
      <c r="M47" s="9"/>
      <c r="N47" s="14"/>
      <c r="O47" s="14"/>
      <c r="P47" s="2429"/>
      <c r="Q47" s="2430"/>
      <c r="R47" s="14"/>
      <c r="S47" s="14"/>
      <c r="T47" s="14"/>
      <c r="U47" s="1452"/>
      <c r="V47" s="1452"/>
      <c r="W47" s="2359"/>
      <c r="X47" s="1452"/>
      <c r="Y47" s="1452"/>
      <c r="Z47" s="22"/>
      <c r="AA47" s="1452"/>
      <c r="AB47" s="2314"/>
      <c r="AC47" s="2417"/>
      <c r="AD47" s="1452"/>
      <c r="AE47" s="2286"/>
      <c r="AF47" s="1456"/>
    </row>
    <row r="48" spans="1:32" ht="16.350000000000001" customHeight="1">
      <c r="A48" s="2303" t="s">
        <v>46</v>
      </c>
      <c r="B48" s="2303"/>
      <c r="C48" s="2304"/>
      <c r="D48" s="625"/>
      <c r="E48" s="9"/>
      <c r="F48" s="9"/>
      <c r="G48" s="9"/>
      <c r="H48" s="625"/>
      <c r="I48" s="9"/>
      <c r="J48" s="9"/>
      <c r="K48" s="9"/>
      <c r="L48" s="625"/>
      <c r="M48" s="9"/>
      <c r="N48" s="9"/>
      <c r="O48" s="14"/>
      <c r="P48" s="2429"/>
      <c r="Q48" s="2430"/>
      <c r="R48" s="9"/>
      <c r="S48" s="9"/>
      <c r="T48" s="9"/>
      <c r="U48" s="22"/>
      <c r="V48" s="22"/>
      <c r="W48" s="2359"/>
      <c r="X48" s="22"/>
      <c r="Y48" s="22"/>
      <c r="Z48" s="22"/>
      <c r="AA48" s="22"/>
      <c r="AB48" s="2314"/>
      <c r="AC48" s="2417"/>
      <c r="AD48" s="22"/>
      <c r="AE48" s="2286"/>
      <c r="AF48" s="1456"/>
    </row>
    <row r="49" spans="1:32" ht="18" customHeight="1">
      <c r="A49" s="2353" t="s">
        <v>48</v>
      </c>
      <c r="B49" s="2450" t="s">
        <v>1268</v>
      </c>
      <c r="C49" s="2353"/>
      <c r="D49" s="630">
        <f>+'Exhibit A'!D49</f>
        <v>1642.2000000000019</v>
      </c>
      <c r="E49" s="9"/>
      <c r="F49" s="9">
        <f>+'Exhibit A'!F49</f>
        <v>31042.000000000004</v>
      </c>
      <c r="G49" s="22"/>
      <c r="H49" s="630">
        <f>+'Exhibit G State'!X112</f>
        <v>123</v>
      </c>
      <c r="I49" s="22"/>
      <c r="J49" s="9">
        <f>+'Exhibit G State'!AD112</f>
        <v>2628.5</v>
      </c>
      <c r="K49" s="1452"/>
      <c r="L49" s="1447">
        <f>+'Exhibit A'!L49</f>
        <v>219</v>
      </c>
      <c r="M49" s="1452"/>
      <c r="N49" s="17">
        <f>+'Exhibit A'!N49</f>
        <v>2712.3</v>
      </c>
      <c r="O49" s="14"/>
      <c r="P49" s="2429"/>
      <c r="Q49" s="2430"/>
      <c r="R49" s="10">
        <f>ROUND(SUM(L49+H49+D49),1)</f>
        <v>1984.2</v>
      </c>
      <c r="S49" s="9"/>
      <c r="T49" s="10">
        <f>ROUND(SUM(F49+J49+N49),1)</f>
        <v>36382.800000000003</v>
      </c>
      <c r="U49" s="22"/>
      <c r="V49" s="22"/>
      <c r="W49" s="2359"/>
      <c r="X49" s="22"/>
      <c r="Y49" s="22">
        <v>1391.8000000000002</v>
      </c>
      <c r="Z49" s="22" t="s">
        <v>15</v>
      </c>
      <c r="AA49" s="22">
        <f>'Exhibit F'!AF124+'Exhibit F'!AF125+'Exhibit F'!AF126+'Exhibit F'!AF127+'Exhibit G State'!AG112+'Exhibit H'!AD64</f>
        <v>31675.100000000002</v>
      </c>
      <c r="AB49" s="2314"/>
      <c r="AC49" s="2417"/>
      <c r="AD49" s="22">
        <f>ROUND(SUM(T49-AA49),1)</f>
        <v>4707.7</v>
      </c>
      <c r="AE49" s="2355"/>
      <c r="AF49" s="1453">
        <f>ROUND(SUM(+AD49/AA49),3)</f>
        <v>0.14899999999999999</v>
      </c>
    </row>
    <row r="50" spans="1:32" ht="18" customHeight="1">
      <c r="A50" s="2353" t="s">
        <v>49</v>
      </c>
      <c r="B50" s="2450" t="s">
        <v>1268</v>
      </c>
      <c r="C50" s="2353"/>
      <c r="D50" s="630">
        <f>+'Exhibit A'!D50</f>
        <v>-415.69999999999936</v>
      </c>
      <c r="E50" s="22"/>
      <c r="F50" s="9">
        <f>+'Exhibit A'!F50</f>
        <v>-6485.7999999999993</v>
      </c>
      <c r="G50" s="22"/>
      <c r="H50" s="630">
        <f>+'Exhibit G State'!X113</f>
        <v>-130.10000000000019</v>
      </c>
      <c r="I50" s="22"/>
      <c r="J50" s="2431">
        <f>'Exhibit G State'!AD113</f>
        <v>-603</v>
      </c>
      <c r="K50" s="22"/>
      <c r="L50" s="1447">
        <f>+'Exhibit A'!L50</f>
        <v>-1579.3000000000029</v>
      </c>
      <c r="M50" s="1452"/>
      <c r="N50" s="17">
        <f>+'Exhibit A'!N50</f>
        <v>-30681.9</v>
      </c>
      <c r="O50" s="1452"/>
      <c r="P50" s="2429"/>
      <c r="Q50" s="2451"/>
      <c r="R50" s="2431">
        <f>ROUND(SUM(D50+H50+L50),1)</f>
        <v>-2125.1</v>
      </c>
      <c r="S50" s="1452"/>
      <c r="T50" s="9">
        <f>ROUND(SUM(F50+J50+N50),1)</f>
        <v>-37770.699999999997</v>
      </c>
      <c r="U50" s="22"/>
      <c r="V50" s="22"/>
      <c r="W50" s="2359"/>
      <c r="X50" s="1452"/>
      <c r="Y50" s="22">
        <v>-663</v>
      </c>
      <c r="Z50" s="22" t="s">
        <v>15</v>
      </c>
      <c r="AA50" s="22">
        <f>'Exhibit F'!AF128+'Exhibit F'!AF129+'Exhibit F'!AF130+'Exhibit F'!AF131+'Exhibit G State'!AG113+'Exhibit H'!AD65</f>
        <v>-31609.4</v>
      </c>
      <c r="AB50" s="2314"/>
      <c r="AC50" s="2417"/>
      <c r="AD50" s="22">
        <f>-ROUND(SUM(T50-AA50),1)</f>
        <v>6161.3</v>
      </c>
      <c r="AE50" s="2286"/>
      <c r="AF50" s="2452">
        <f>ROUND(SUM(-AD50/AA50),3)</f>
        <v>0.19500000000000001</v>
      </c>
    </row>
    <row r="51" spans="1:32" ht="18" customHeight="1">
      <c r="A51" s="2303" t="s">
        <v>50</v>
      </c>
      <c r="B51" s="2303"/>
      <c r="C51" s="2304"/>
      <c r="D51" s="12">
        <f>ROUND(SUM(D49:D50),1)</f>
        <v>1226.5</v>
      </c>
      <c r="E51" s="1390"/>
      <c r="F51" s="12">
        <f>ROUND(SUM(F49:F50),1)</f>
        <v>24556.2</v>
      </c>
      <c r="G51" s="1390"/>
      <c r="H51" s="12">
        <f>ROUND(SUM(H49:H50),1)</f>
        <v>-7.1</v>
      </c>
      <c r="I51" s="1390"/>
      <c r="J51" s="12">
        <f>ROUND(SUM(J49:J50),1)</f>
        <v>2025.5</v>
      </c>
      <c r="K51" s="1390"/>
      <c r="L51" s="12">
        <f>ROUND(SUM(L49:L50),1)</f>
        <v>-1360.3</v>
      </c>
      <c r="M51" s="1390"/>
      <c r="N51" s="12">
        <f>ROUND(SUM(N49:N50),1)</f>
        <v>-27969.599999999999</v>
      </c>
      <c r="O51" s="2335"/>
      <c r="P51" s="2436"/>
      <c r="Q51" s="2437"/>
      <c r="R51" s="12">
        <f>ROUND(SUM(R49:R50),1)</f>
        <v>-140.9</v>
      </c>
      <c r="S51" s="2335"/>
      <c r="T51" s="12">
        <f>ROUND(SUM(T49:T50),1)</f>
        <v>-1387.9</v>
      </c>
      <c r="U51" s="1508"/>
      <c r="V51" s="1508"/>
      <c r="W51" s="2365"/>
      <c r="X51" s="1508"/>
      <c r="Y51" s="3577">
        <f>ROUND(SUM(+Y49+Y50),1)</f>
        <v>728.8</v>
      </c>
      <c r="Z51" s="23"/>
      <c r="AA51" s="2362">
        <f>ROUND(SUM(+AA49+AA50),1)</f>
        <v>65.7</v>
      </c>
      <c r="AB51" s="2366"/>
      <c r="AC51" s="2438"/>
      <c r="AD51" s="2362">
        <f>ROUND(SUM(+AD49-AD50),1)</f>
        <v>-1453.6</v>
      </c>
      <c r="AE51" s="2338"/>
      <c r="AF51" s="1455">
        <f>-ROUND(SUM(AD51/AA51),3)</f>
        <v>22.125</v>
      </c>
    </row>
    <row r="52" spans="1:32" ht="16.350000000000001" customHeight="1">
      <c r="A52" s="2304"/>
      <c r="B52" s="2304"/>
      <c r="C52" s="2304"/>
      <c r="D52" s="626"/>
      <c r="E52" s="9"/>
      <c r="F52" s="14"/>
      <c r="G52" s="9"/>
      <c r="H52" s="626"/>
      <c r="I52" s="9"/>
      <c r="J52" s="14"/>
      <c r="K52" s="9"/>
      <c r="L52" s="626"/>
      <c r="M52" s="9"/>
      <c r="N52" s="14"/>
      <c r="O52" s="14"/>
      <c r="P52" s="2429"/>
      <c r="Q52" s="2430"/>
      <c r="R52" s="14"/>
      <c r="S52" s="14"/>
      <c r="T52" s="14"/>
      <c r="U52" s="1452"/>
      <c r="V52" s="1452"/>
      <c r="W52" s="2359"/>
      <c r="X52" s="1452"/>
      <c r="Y52" s="1452"/>
      <c r="Z52" s="22"/>
      <c r="AA52" s="1452"/>
      <c r="AB52" s="2314"/>
      <c r="AC52" s="2417"/>
      <c r="AD52" s="1452"/>
      <c r="AE52" s="2286"/>
      <c r="AF52" s="1456"/>
    </row>
    <row r="53" spans="1:32" ht="18" customHeight="1">
      <c r="A53" s="2302" t="s">
        <v>44</v>
      </c>
      <c r="B53" s="2303"/>
      <c r="C53" s="2304"/>
      <c r="D53" s="625"/>
      <c r="E53" s="9"/>
      <c r="F53" s="9"/>
      <c r="G53" s="9"/>
      <c r="H53" s="625"/>
      <c r="I53" s="9"/>
      <c r="J53" s="9"/>
      <c r="K53" s="9"/>
      <c r="L53" s="625"/>
      <c r="M53" s="9"/>
      <c r="N53" s="9"/>
      <c r="O53" s="14"/>
      <c r="P53" s="2429"/>
      <c r="Q53" s="2430"/>
      <c r="R53" s="9"/>
      <c r="S53" s="9"/>
      <c r="T53" s="9"/>
      <c r="U53" s="22"/>
      <c r="V53" s="22"/>
      <c r="W53" s="2359"/>
      <c r="X53" s="22"/>
      <c r="Y53" s="22"/>
      <c r="Z53" s="22"/>
      <c r="AA53" s="22"/>
      <c r="AB53" s="2314"/>
      <c r="AC53" s="2417"/>
      <c r="AD53" s="22"/>
      <c r="AE53" s="2286"/>
      <c r="AF53" s="1457"/>
    </row>
    <row r="54" spans="1:32" ht="18" customHeight="1">
      <c r="A54" s="2302" t="s">
        <v>59</v>
      </c>
      <c r="B54" s="2302"/>
      <c r="C54" s="2353"/>
      <c r="D54" s="630"/>
      <c r="E54" s="9"/>
      <c r="F54" s="9"/>
      <c r="G54" s="9"/>
      <c r="H54" s="625"/>
      <c r="I54" s="9"/>
      <c r="J54" s="9"/>
      <c r="K54" s="9"/>
      <c r="L54" s="625"/>
      <c r="M54" s="9"/>
      <c r="N54" s="9"/>
      <c r="O54" s="14"/>
      <c r="P54" s="2429"/>
      <c r="Q54" s="2430"/>
      <c r="R54" s="9"/>
      <c r="S54" s="9"/>
      <c r="T54" s="9"/>
      <c r="U54" s="22"/>
      <c r="V54" s="22"/>
      <c r="W54" s="2359"/>
      <c r="X54" s="22"/>
      <c r="Y54" s="22" t="s">
        <v>15</v>
      </c>
      <c r="Z54" s="22"/>
      <c r="AA54" s="22"/>
      <c r="AB54" s="2314"/>
      <c r="AC54" s="2417"/>
      <c r="AD54" s="22"/>
      <c r="AE54" s="2286"/>
      <c r="AF54" s="1456"/>
    </row>
    <row r="55" spans="1:32" ht="18" customHeight="1">
      <c r="A55" s="2302" t="s">
        <v>60</v>
      </c>
      <c r="B55" s="2302"/>
      <c r="C55" s="2353"/>
      <c r="D55" s="23">
        <f>ROUND(SUM(D46+D51),1)</f>
        <v>145.30000000000001</v>
      </c>
      <c r="E55" s="23"/>
      <c r="F55" s="23">
        <f>ROUND(SUM(F46)+SUM(F51),1)</f>
        <v>3757.6</v>
      </c>
      <c r="G55" s="23"/>
      <c r="H55" s="23">
        <f>ROUND(SUM(H46+H51),1)</f>
        <v>427.7</v>
      </c>
      <c r="I55" s="23"/>
      <c r="J55" s="23">
        <f>ROUND(SUM(J46)+SUM(J51),1)</f>
        <v>946.5</v>
      </c>
      <c r="K55" s="23"/>
      <c r="L55" s="23">
        <f>ROUND(SUM(L46+L51),1)</f>
        <v>429.1</v>
      </c>
      <c r="M55" s="2453"/>
      <c r="N55" s="2453">
        <f>ROUND(SUM(N46+N51),1)</f>
        <v>2945.8</v>
      </c>
      <c r="O55" s="2436"/>
      <c r="P55" s="2436"/>
      <c r="Q55" s="2454"/>
      <c r="R55" s="2453">
        <f>ROUND(SUM(+R46+R51),1)</f>
        <v>1002.1</v>
      </c>
      <c r="S55" s="2453"/>
      <c r="T55" s="2453">
        <f>ROUND(SUM(T46+T51),1)</f>
        <v>7649.9</v>
      </c>
      <c r="U55" s="2453"/>
      <c r="V55" s="2453"/>
      <c r="W55" s="2455"/>
      <c r="X55" s="2453"/>
      <c r="Y55" s="23">
        <f>ROUND(SUM(Y46)+SUM(Y51),1)</f>
        <v>1247.3</v>
      </c>
      <c r="Z55" s="23"/>
      <c r="AA55" s="23">
        <f>ROUND(SUM(AA46)+SUM(AA51),1)</f>
        <v>5893.7</v>
      </c>
      <c r="AB55" s="2366"/>
      <c r="AC55" s="2438"/>
      <c r="AD55" s="1508">
        <f>ROUND(SUM(+AD46+AD51),1)</f>
        <v>1756.2</v>
      </c>
      <c r="AE55" s="2338"/>
      <c r="AF55" s="1521">
        <f>ROUND(SUM(AD55/AA55),3)</f>
        <v>0.29799999999999999</v>
      </c>
    </row>
    <row r="56" spans="1:32" ht="16.350000000000001" customHeight="1">
      <c r="A56" s="2303"/>
      <c r="B56" s="2303"/>
      <c r="C56" s="2304"/>
      <c r="D56" s="625"/>
      <c r="E56" s="9"/>
      <c r="F56" s="14"/>
      <c r="G56" s="9"/>
      <c r="H56" s="625"/>
      <c r="I56" s="9"/>
      <c r="J56" s="9"/>
      <c r="K56" s="9"/>
      <c r="L56" s="630"/>
      <c r="M56" s="22"/>
      <c r="N56" s="22"/>
      <c r="O56" s="1452"/>
      <c r="P56" s="2429"/>
      <c r="Q56" s="2451"/>
      <c r="R56" s="22"/>
      <c r="S56" s="22"/>
      <c r="T56" s="22"/>
      <c r="U56" s="22"/>
      <c r="V56" s="22"/>
      <c r="W56" s="2359"/>
      <c r="X56" s="22"/>
      <c r="Y56" s="22"/>
      <c r="Z56" s="22"/>
      <c r="AA56" s="22"/>
      <c r="AB56" s="2314"/>
      <c r="AC56" s="2417"/>
      <c r="AD56" s="22"/>
      <c r="AE56" s="2286"/>
      <c r="AF56" s="1456"/>
    </row>
    <row r="57" spans="1:32" ht="18" customHeight="1">
      <c r="A57" s="2456" t="s">
        <v>53</v>
      </c>
      <c r="B57" s="2347"/>
      <c r="C57" s="2304"/>
      <c r="D57" s="19">
        <f>+'Exhibit A'!D57</f>
        <v>10818</v>
      </c>
      <c r="E57" s="1390"/>
      <c r="F57" s="19">
        <f>'Exhibit A'!F57</f>
        <v>7205.7</v>
      </c>
      <c r="G57" s="1390"/>
      <c r="H57" s="19">
        <f>+'Exhibit G State'!X13</f>
        <v>5609.6</v>
      </c>
      <c r="I57" s="1390"/>
      <c r="J57" s="19">
        <f>'Exhibit G State'!D13</f>
        <v>5090.8</v>
      </c>
      <c r="K57" s="1390"/>
      <c r="L57" s="1692">
        <f>+'Exhibit A'!L57</f>
        <v>2581.5</v>
      </c>
      <c r="M57" s="1508"/>
      <c r="N57" s="2457">
        <f>+'Exhibit A'!N57</f>
        <v>64.8</v>
      </c>
      <c r="O57" s="2335"/>
      <c r="P57" s="2436"/>
      <c r="Q57" s="2437"/>
      <c r="R57" s="19">
        <f>ROUND(SUM(D57+H57+L57),1)</f>
        <v>19009.099999999999</v>
      </c>
      <c r="S57" s="2335"/>
      <c r="T57" s="19">
        <f>ROUND(SUM(F57+J57+N57),1)</f>
        <v>12361.3</v>
      </c>
      <c r="U57" s="1508"/>
      <c r="V57" s="1508"/>
      <c r="W57" s="2365"/>
      <c r="X57" s="1508"/>
      <c r="Y57" s="1692">
        <v>18253</v>
      </c>
      <c r="Z57" s="23" t="s">
        <v>15</v>
      </c>
      <c r="AA57" s="1692">
        <f>'Exhibit F'!AF12+'Exhibit G State'!AG13+'Exhibit H'!AD12</f>
        <v>13606.6</v>
      </c>
      <c r="AB57" s="2366"/>
      <c r="AC57" s="2438"/>
      <c r="AD57" s="1692">
        <f>ROUND(SUM(T57-AA57),1)</f>
        <v>-1245.3</v>
      </c>
      <c r="AE57" s="2338"/>
      <c r="AF57" s="2368">
        <f>ROUND(+AD57/AA57,3)</f>
        <v>-9.1999999999999998E-2</v>
      </c>
    </row>
    <row r="58" spans="1:32" ht="16.350000000000001" customHeight="1">
      <c r="A58" s="2353"/>
      <c r="B58" s="2304"/>
      <c r="C58" s="2304"/>
      <c r="D58" s="2458"/>
      <c r="E58" s="2304"/>
      <c r="F58" s="7"/>
      <c r="G58" s="2304"/>
      <c r="H58" s="623"/>
      <c r="I58" s="2304"/>
      <c r="J58" s="7"/>
      <c r="K58" s="2304"/>
      <c r="L58" s="2458"/>
      <c r="M58" s="2304"/>
      <c r="N58" s="7"/>
      <c r="O58" s="7"/>
      <c r="P58" s="2414"/>
      <c r="Q58" s="2415"/>
      <c r="R58" s="7"/>
      <c r="S58" s="7"/>
      <c r="T58" s="7"/>
      <c r="U58" s="2314"/>
      <c r="V58" s="2314"/>
      <c r="W58" s="2416"/>
      <c r="X58" s="2314"/>
      <c r="Y58" s="2314"/>
      <c r="Z58" s="2353"/>
      <c r="AA58" s="2314"/>
      <c r="AB58" s="2314"/>
      <c r="AC58" s="2417"/>
      <c r="AD58" s="1452"/>
      <c r="AE58" s="2286"/>
      <c r="AF58" s="1456"/>
    </row>
    <row r="59" spans="1:32" ht="18" customHeight="1" thickBot="1">
      <c r="A59" s="2459" t="s">
        <v>61</v>
      </c>
      <c r="B59" s="2460" t="s">
        <v>15</v>
      </c>
      <c r="C59" s="2304"/>
      <c r="D59" s="25">
        <f>ROUND(SUM(D55+D57),1)</f>
        <v>10963.3</v>
      </c>
      <c r="E59" s="2371"/>
      <c r="F59" s="25">
        <f>ROUND(SUM(F55+F57),1)</f>
        <v>10963.3</v>
      </c>
      <c r="G59" s="2371"/>
      <c r="H59" s="25">
        <f>ROUND(SUM(H55+H57),1)</f>
        <v>6037.3</v>
      </c>
      <c r="I59" s="2371"/>
      <c r="J59" s="25">
        <f>ROUND(SUM(J55)+SUM(J57),1)</f>
        <v>6037.3</v>
      </c>
      <c r="K59" s="2371"/>
      <c r="L59" s="25">
        <f>ROUND(SUM(L55+L57),1)</f>
        <v>3010.6</v>
      </c>
      <c r="M59" s="2461"/>
      <c r="N59" s="2462">
        <f>ROUND(SUM(N55+N57),1)</f>
        <v>3010.6</v>
      </c>
      <c r="O59" s="2463"/>
      <c r="P59" s="2463"/>
      <c r="Q59" s="2464"/>
      <c r="R59" s="2462">
        <f>ROUND(SUM(R55+R57),1)</f>
        <v>20011.2</v>
      </c>
      <c r="S59" s="2463"/>
      <c r="T59" s="2462">
        <f>ROUND(SUM(T55+T57),1)</f>
        <v>20011.2</v>
      </c>
      <c r="U59" s="2463"/>
      <c r="V59" s="2463"/>
      <c r="W59" s="2465"/>
      <c r="X59" s="2463"/>
      <c r="Y59" s="25">
        <f>ROUND(SUM(Y55+Y57),1)</f>
        <v>19500.3</v>
      </c>
      <c r="Z59" s="2371"/>
      <c r="AA59" s="25">
        <f>ROUND(SUM(AA55+AA57),1)</f>
        <v>19500.3</v>
      </c>
      <c r="AB59" s="2376"/>
      <c r="AC59" s="2466"/>
      <c r="AD59" s="25">
        <f>ROUND(SUM(AD55+AD57),1)</f>
        <v>510.9</v>
      </c>
      <c r="AE59" s="2338"/>
      <c r="AF59" s="2375">
        <f>ROUND(+AD59/AA59,3)</f>
        <v>2.5999999999999999E-2</v>
      </c>
    </row>
    <row r="60" spans="1:32" ht="15.75" thickTop="1">
      <c r="A60" s="2377"/>
      <c r="B60" s="2377"/>
      <c r="C60" s="2377"/>
      <c r="D60" s="2379"/>
      <c r="E60" s="2379"/>
      <c r="F60" s="2379"/>
      <c r="G60" s="2379"/>
      <c r="H60" s="2378"/>
      <c r="I60" s="2379"/>
      <c r="J60" s="2379"/>
      <c r="K60" s="2379"/>
      <c r="L60" s="2379"/>
      <c r="M60" s="2379"/>
      <c r="N60" s="2379"/>
      <c r="O60" s="2379"/>
      <c r="P60" s="2467"/>
      <c r="Q60" s="2379"/>
      <c r="R60" s="2379"/>
      <c r="S60" s="2379"/>
      <c r="T60" s="2379"/>
      <c r="U60" s="2381"/>
      <c r="V60" s="2381"/>
      <c r="W60" s="2381"/>
      <c r="X60" s="2381"/>
      <c r="Y60" s="2381"/>
      <c r="Z60" s="2381"/>
      <c r="AA60" s="2381"/>
      <c r="AB60" s="2381"/>
      <c r="AC60" s="2381"/>
      <c r="AD60" s="2381"/>
      <c r="AE60" s="2286"/>
      <c r="AF60" s="2382"/>
    </row>
    <row r="61" spans="1:32">
      <c r="A61" s="2355"/>
      <c r="B61" s="2355"/>
      <c r="C61" s="2355"/>
      <c r="D61" s="2355"/>
      <c r="E61" s="2355"/>
      <c r="F61" s="2355"/>
      <c r="G61" s="2355"/>
      <c r="H61" s="2384"/>
      <c r="I61" s="2355"/>
      <c r="J61" s="2355"/>
      <c r="K61" s="2355"/>
      <c r="L61" s="2355"/>
      <c r="M61" s="2355"/>
      <c r="N61" s="2355"/>
      <c r="O61" s="2355"/>
      <c r="P61" s="2355"/>
      <c r="Q61" s="2355"/>
      <c r="R61" s="2355"/>
      <c r="S61" s="2355"/>
      <c r="T61" s="2355"/>
      <c r="U61" s="2394"/>
      <c r="V61" s="2394"/>
      <c r="W61" s="2394"/>
      <c r="X61" s="2394"/>
      <c r="Y61" s="2394"/>
      <c r="Z61" s="2394"/>
      <c r="AA61" s="2394"/>
      <c r="AB61" s="2394"/>
    </row>
    <row r="62" spans="1:32" ht="18" customHeight="1">
      <c r="A62" s="2308" t="s">
        <v>1214</v>
      </c>
      <c r="B62" s="2355"/>
      <c r="C62" s="2355"/>
      <c r="D62" s="2355"/>
      <c r="E62" s="2355"/>
      <c r="F62" s="2355"/>
      <c r="G62" s="2355"/>
      <c r="H62" s="2384"/>
      <c r="I62" s="2355"/>
      <c r="J62" s="2355"/>
      <c r="K62" s="2355"/>
      <c r="L62" s="2355"/>
      <c r="M62" s="2355"/>
      <c r="N62" s="2355"/>
      <c r="O62" s="2355"/>
      <c r="P62" s="2355"/>
      <c r="Q62" s="2355"/>
      <c r="R62" s="2355"/>
      <c r="S62" s="2355"/>
      <c r="T62" s="2355"/>
      <c r="U62" s="2394"/>
      <c r="V62" s="2394"/>
      <c r="W62" s="2394"/>
      <c r="X62" s="2394"/>
      <c r="Y62" s="2394"/>
      <c r="Z62" s="2394"/>
      <c r="AA62" s="2394"/>
      <c r="AB62" s="2394"/>
    </row>
    <row r="63" spans="1:32" ht="18" customHeight="1">
      <c r="A63" s="2468" t="s">
        <v>1213</v>
      </c>
      <c r="B63" s="2355"/>
      <c r="C63" s="2355"/>
      <c r="D63" s="2355"/>
      <c r="E63" s="2355"/>
      <c r="F63" s="2355"/>
      <c r="G63" s="2355"/>
      <c r="H63" s="2384"/>
      <c r="I63" s="2355"/>
      <c r="J63" s="2355"/>
      <c r="K63" s="2355"/>
      <c r="L63" s="2355"/>
      <c r="M63" s="2355"/>
      <c r="N63" s="2355"/>
      <c r="O63" s="2355"/>
      <c r="P63" s="2355"/>
      <c r="Q63" s="2355"/>
      <c r="R63" s="2355"/>
      <c r="S63" s="2355"/>
      <c r="T63" s="2355"/>
      <c r="U63" s="2394"/>
      <c r="V63" s="2394"/>
      <c r="W63" s="2394"/>
      <c r="X63" s="2394"/>
      <c r="Y63" s="2394"/>
      <c r="Z63" s="2394"/>
      <c r="AA63" s="2394"/>
      <c r="AB63" s="2394"/>
    </row>
    <row r="64" spans="1:32" ht="15">
      <c r="A64" s="2413"/>
      <c r="B64" s="2355"/>
      <c r="C64" s="2355"/>
      <c r="D64" s="2355"/>
      <c r="E64" s="2355"/>
      <c r="F64" s="2355"/>
      <c r="G64" s="2355"/>
      <c r="H64" s="2384"/>
      <c r="I64" s="2355"/>
      <c r="J64" s="2355"/>
      <c r="K64" s="2355"/>
      <c r="L64" s="2355"/>
      <c r="M64" s="2355"/>
      <c r="N64" s="2355"/>
      <c r="O64" s="2355"/>
      <c r="P64" s="2355"/>
      <c r="Q64" s="2355"/>
      <c r="R64" s="2355"/>
      <c r="S64" s="2355"/>
      <c r="T64" s="2355"/>
      <c r="U64" s="2394"/>
      <c r="V64" s="2394"/>
      <c r="W64" s="2394"/>
      <c r="X64" s="2394"/>
      <c r="Y64" s="630" t="s">
        <v>15</v>
      </c>
      <c r="Z64" s="2394"/>
      <c r="AA64" s="2394"/>
      <c r="AB64" s="2394"/>
    </row>
    <row r="65" spans="1:28" ht="15.75">
      <c r="A65" s="2389"/>
      <c r="B65" s="2390"/>
      <c r="C65" s="2383"/>
      <c r="D65" s="2392"/>
      <c r="E65" s="2392"/>
      <c r="F65" s="2392"/>
      <c r="G65" s="2392"/>
      <c r="H65" s="2391"/>
      <c r="I65" s="2392"/>
      <c r="J65" s="2392"/>
      <c r="K65" s="2392"/>
      <c r="L65" s="2392"/>
      <c r="M65" s="2355"/>
      <c r="N65" s="2355"/>
      <c r="O65" s="2355"/>
      <c r="P65" s="2355"/>
      <c r="Q65" s="2355"/>
      <c r="R65" s="2355"/>
      <c r="S65" s="2355"/>
      <c r="T65" s="2355"/>
      <c r="U65" s="2394"/>
      <c r="V65" s="2394"/>
      <c r="W65" s="2394"/>
      <c r="X65" s="2394"/>
      <c r="Y65" s="630" t="s">
        <v>15</v>
      </c>
      <c r="Z65" s="2394"/>
      <c r="AA65" s="2394"/>
      <c r="AB65" s="2394"/>
    </row>
    <row r="66" spans="1:28" ht="15">
      <c r="A66" s="1456"/>
      <c r="B66" s="1456"/>
      <c r="C66" s="1456"/>
      <c r="D66" s="2308"/>
      <c r="E66" s="1456"/>
      <c r="F66" s="1456"/>
      <c r="G66" s="1456"/>
      <c r="H66" s="2393"/>
      <c r="I66" s="1456"/>
      <c r="J66" s="1456"/>
      <c r="K66" s="1456"/>
      <c r="L66" s="2308"/>
      <c r="M66" s="2355"/>
      <c r="N66" s="2355"/>
      <c r="O66" s="2355"/>
      <c r="P66" s="2355"/>
      <c r="Q66" s="2355"/>
      <c r="R66" s="2355"/>
      <c r="S66" s="2355"/>
      <c r="T66" s="2355"/>
      <c r="U66" s="2394"/>
      <c r="V66" s="2394"/>
      <c r="W66" s="2394"/>
      <c r="X66" s="2394"/>
      <c r="Y66" s="2394"/>
      <c r="Z66" s="2394"/>
      <c r="AA66" s="2394"/>
      <c r="AB66" s="2394"/>
    </row>
    <row r="67" spans="1:28" ht="15">
      <c r="A67" s="1456"/>
      <c r="B67" s="1456"/>
      <c r="C67" s="1456"/>
      <c r="D67" s="2308"/>
      <c r="E67" s="1456"/>
      <c r="F67" s="1456"/>
      <c r="G67" s="1456"/>
      <c r="H67" s="2393"/>
      <c r="I67" s="1456"/>
      <c r="J67" s="1456"/>
      <c r="K67" s="1456"/>
      <c r="L67" s="2308"/>
      <c r="M67" s="2355"/>
      <c r="N67" s="2355"/>
      <c r="O67" s="2355"/>
      <c r="P67" s="2355"/>
      <c r="Q67" s="2355"/>
      <c r="R67" s="2355"/>
      <c r="S67" s="2355"/>
      <c r="T67" s="2355"/>
      <c r="U67" s="2394"/>
      <c r="V67" s="2394"/>
      <c r="W67" s="2394"/>
      <c r="X67" s="2394"/>
      <c r="Y67" s="2394"/>
      <c r="Z67" s="2394"/>
      <c r="AA67" s="2394"/>
      <c r="AB67" s="2394"/>
    </row>
    <row r="68" spans="1:28" ht="15">
      <c r="A68" s="1456"/>
      <c r="B68" s="1456"/>
      <c r="C68" s="1456"/>
      <c r="D68" s="2308"/>
      <c r="E68" s="1456"/>
      <c r="F68" s="1456"/>
      <c r="G68" s="1456"/>
      <c r="H68" s="2393"/>
      <c r="I68" s="1456"/>
      <c r="J68" s="1456"/>
      <c r="K68" s="1456"/>
      <c r="L68" s="2308"/>
      <c r="M68" s="2355"/>
      <c r="N68" s="2355"/>
      <c r="O68" s="2355"/>
      <c r="P68" s="2355"/>
      <c r="Q68" s="2355"/>
      <c r="R68" s="2355"/>
      <c r="S68" s="2355"/>
      <c r="T68" s="2355"/>
      <c r="U68" s="2394"/>
      <c r="V68" s="2394"/>
      <c r="W68" s="2394"/>
      <c r="X68" s="2394"/>
      <c r="Y68" s="2394"/>
      <c r="Z68" s="2394"/>
      <c r="AA68" s="2394"/>
      <c r="AB68" s="2394"/>
    </row>
    <row r="69" spans="1:28" ht="19.5" customHeight="1">
      <c r="A69" s="2293"/>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D22:AG24 AE16:AE20 AD25:AE25 AD28:AF28 AE26:AE27 AD36:AG36 AE29:AE34 AD15:AD20 AD26:AD27 AD29:AD34 AD44:AG45 AE37:AE41 AD37:AD41 AE49:AF50 AD49 AD58:AF58 AD48:AG48 AE46 AG15 AG16:AG20 AF16:AF19 AD21:AE21 AG21 AG25 AG26:AG27 AG29:AG34 AG28 AF27 AF29:AF35 AD35:AE35 AG35 AG37:AG41 AF37:AF41 AE43 AG43 AG46 AD57:AF57 AD59:AF59 AE51 AD56:AF56 AE55 AF21 AF25 AE47:AG47" unlockedFormula="1"/>
    <ignoredError sqref="B49:B50" numberStoredAsText="1"/>
    <ignoredError sqref="AF26 AF42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70" workbookViewId="0"/>
  </sheetViews>
  <sheetFormatPr defaultColWidth="8.88671875" defaultRowHeight="15.75"/>
  <cols>
    <col min="1" max="1" width="56.88671875" style="740" customWidth="1"/>
    <col min="2" max="2" width="2.109375" style="740" customWidth="1"/>
    <col min="3" max="3" width="19" style="739" customWidth="1"/>
    <col min="4" max="4" width="1.88671875" style="740" customWidth="1"/>
    <col min="5" max="5" width="16.44140625" style="740" customWidth="1"/>
    <col min="6" max="6" width="1.5546875" style="740" customWidth="1"/>
    <col min="7" max="7" width="16.5546875" style="740" customWidth="1"/>
    <col min="8" max="8" width="1.5546875" style="740" customWidth="1"/>
    <col min="9" max="9" width="17.88671875" style="740" customWidth="1"/>
    <col min="10" max="10" width="1.5546875" style="740" customWidth="1"/>
    <col min="11" max="11" width="20.109375" style="740" customWidth="1"/>
    <col min="12" max="12" width="6.109375" style="2266" customWidth="1"/>
    <col min="13" max="13" width="2.5546875" style="2266" customWidth="1"/>
    <col min="14" max="14" width="9" style="2266" bestFit="1" customWidth="1"/>
    <col min="15" max="15" width="20.88671875" style="740" customWidth="1"/>
    <col min="16" max="16384" width="8.88671875" style="740"/>
  </cols>
  <sheetData>
    <row r="1" spans="1:14">
      <c r="A1" s="1532" t="s">
        <v>979</v>
      </c>
    </row>
    <row r="2" spans="1:14">
      <c r="A2" s="3129"/>
    </row>
    <row r="3" spans="1:14" ht="18">
      <c r="A3" s="3130" t="s">
        <v>0</v>
      </c>
      <c r="B3" s="783"/>
      <c r="C3" s="783"/>
      <c r="D3" s="783"/>
      <c r="E3" s="783"/>
      <c r="F3" s="783"/>
      <c r="G3" s="783"/>
      <c r="H3" s="783"/>
      <c r="I3" s="783"/>
      <c r="J3" s="783"/>
      <c r="K3" s="3131" t="s">
        <v>232</v>
      </c>
      <c r="L3" s="3132"/>
    </row>
    <row r="4" spans="1:14" ht="18">
      <c r="A4" s="3130" t="s">
        <v>231</v>
      </c>
      <c r="B4" s="783"/>
      <c r="C4" s="783" t="s">
        <v>15</v>
      </c>
      <c r="D4" s="783"/>
      <c r="E4" s="783"/>
      <c r="F4" s="783"/>
      <c r="G4" s="783"/>
      <c r="H4" s="783"/>
      <c r="I4" s="783"/>
      <c r="J4" s="783"/>
      <c r="L4" s="3133"/>
    </row>
    <row r="5" spans="1:14" ht="18">
      <c r="A5" s="3130" t="s">
        <v>1299</v>
      </c>
      <c r="B5" s="783"/>
      <c r="C5" s="783"/>
      <c r="D5" s="783"/>
      <c r="E5" s="783"/>
      <c r="F5" s="783"/>
      <c r="G5" s="783"/>
      <c r="H5" s="783"/>
      <c r="I5" s="783"/>
      <c r="J5" s="783"/>
      <c r="K5" s="3134"/>
      <c r="L5" s="3135"/>
    </row>
    <row r="6" spans="1:14" ht="18">
      <c r="A6" s="3136" t="s">
        <v>233</v>
      </c>
      <c r="B6" s="783"/>
      <c r="C6" s="783"/>
      <c r="D6" s="783"/>
      <c r="E6" s="783"/>
      <c r="F6" s="783"/>
      <c r="G6" s="783"/>
      <c r="H6" s="783"/>
      <c r="I6" s="783"/>
      <c r="J6" s="783"/>
      <c r="K6" s="441"/>
      <c r="L6" s="3137"/>
    </row>
    <row r="7" spans="1:14" ht="18">
      <c r="A7" s="3136" t="s">
        <v>1397</v>
      </c>
      <c r="B7" s="783"/>
      <c r="C7" s="783"/>
      <c r="D7" s="783"/>
      <c r="E7" s="783"/>
      <c r="F7" s="783"/>
      <c r="G7" s="783"/>
      <c r="H7" s="783"/>
      <c r="I7" s="783"/>
      <c r="J7" s="783"/>
      <c r="K7" s="441"/>
      <c r="L7" s="3137"/>
    </row>
    <row r="8" spans="1:14" ht="18">
      <c r="A8" s="3136" t="s">
        <v>1589</v>
      </c>
      <c r="B8" s="783"/>
      <c r="C8" s="783"/>
      <c r="D8" s="783"/>
      <c r="E8" s="783" t="s">
        <v>15</v>
      </c>
      <c r="F8" s="783"/>
      <c r="G8" s="783"/>
      <c r="H8" s="783"/>
      <c r="I8" s="783"/>
      <c r="J8" s="783"/>
      <c r="K8" s="783"/>
      <c r="L8" s="3132"/>
    </row>
    <row r="9" spans="1:14" ht="18">
      <c r="A9" s="3130" t="s">
        <v>1420</v>
      </c>
      <c r="B9" s="3138" t="s">
        <v>234</v>
      </c>
      <c r="C9" s="735"/>
      <c r="D9" s="735"/>
      <c r="E9" s="735"/>
      <c r="F9" s="735"/>
      <c r="G9" s="735"/>
      <c r="H9" s="735"/>
      <c r="I9" s="735"/>
      <c r="J9" s="735"/>
      <c r="K9" s="735"/>
      <c r="L9" s="737"/>
    </row>
    <row r="10" spans="1:14">
      <c r="A10" s="735"/>
      <c r="B10" s="735"/>
      <c r="C10" s="438" t="s">
        <v>235</v>
      </c>
      <c r="D10" s="442"/>
      <c r="E10" s="442"/>
      <c r="F10" s="442"/>
      <c r="G10" s="444"/>
      <c r="H10" s="442"/>
      <c r="I10" s="2261" t="s">
        <v>236</v>
      </c>
      <c r="J10" s="442"/>
      <c r="K10" s="2261" t="s">
        <v>235</v>
      </c>
      <c r="L10" s="2261"/>
    </row>
    <row r="11" spans="1:14">
      <c r="A11" s="735"/>
      <c r="B11" s="735"/>
      <c r="C11" s="3597" t="s">
        <v>1590</v>
      </c>
      <c r="D11" s="442"/>
      <c r="E11" s="2262" t="s">
        <v>237</v>
      </c>
      <c r="F11" s="444"/>
      <c r="G11" s="2263" t="s">
        <v>238</v>
      </c>
      <c r="H11" s="444"/>
      <c r="I11" s="2263" t="s">
        <v>239</v>
      </c>
      <c r="J11" s="444"/>
      <c r="K11" s="3139" t="s">
        <v>1593</v>
      </c>
      <c r="L11" s="2264"/>
    </row>
    <row r="12" spans="1:14">
      <c r="A12" s="735"/>
      <c r="B12" s="735"/>
      <c r="C12" s="2264"/>
      <c r="D12" s="442"/>
      <c r="E12" s="2261"/>
      <c r="F12" s="444"/>
      <c r="G12" s="2261"/>
      <c r="H12" s="444"/>
      <c r="I12" s="2261"/>
      <c r="J12" s="444"/>
      <c r="K12" s="3140"/>
      <c r="L12" s="2264"/>
    </row>
    <row r="13" spans="1:14">
      <c r="A13" s="439" t="s">
        <v>147</v>
      </c>
      <c r="B13" s="735"/>
      <c r="C13" s="737"/>
      <c r="D13" s="735"/>
      <c r="E13" s="1760"/>
      <c r="F13" s="735"/>
      <c r="G13" s="734"/>
      <c r="H13" s="735"/>
      <c r="I13" s="734"/>
      <c r="J13" s="735"/>
      <c r="K13" s="737"/>
      <c r="L13" s="737"/>
    </row>
    <row r="14" spans="1:14">
      <c r="A14" s="735" t="s">
        <v>240</v>
      </c>
      <c r="B14" s="1760"/>
      <c r="C14" s="1726">
        <v>0</v>
      </c>
      <c r="D14" s="1727"/>
      <c r="E14" s="1726">
        <v>4.8000000000000001E-2</v>
      </c>
      <c r="F14" s="1727"/>
      <c r="G14" s="1726">
        <v>2399.5839999999998</v>
      </c>
      <c r="H14" s="1727"/>
      <c r="I14" s="1726">
        <v>2399.5360000000001</v>
      </c>
      <c r="J14" s="1760"/>
      <c r="K14" s="799">
        <f>ROUND(SUM(C14)+SUM(E14)-SUM(G14)+SUM(I14),3)</f>
        <v>0</v>
      </c>
      <c r="L14" s="2176"/>
    </row>
    <row r="15" spans="1:14">
      <c r="A15" s="735" t="s">
        <v>241</v>
      </c>
      <c r="B15" s="735"/>
      <c r="C15" s="1730">
        <v>10786.73</v>
      </c>
      <c r="D15" s="1727"/>
      <c r="E15" s="1730">
        <v>2627.36</v>
      </c>
      <c r="F15" s="1727"/>
      <c r="G15" s="1730">
        <v>1308.67</v>
      </c>
      <c r="H15" s="1727"/>
      <c r="I15" s="1730">
        <v>-1173.05</v>
      </c>
      <c r="J15" s="1760"/>
      <c r="K15" s="651">
        <f>ROUND(SUM(C15)+SUM(E15)-SUM(G15)+SUM(I15),3)</f>
        <v>10932.37</v>
      </c>
      <c r="L15" s="2182"/>
      <c r="M15" s="2179"/>
      <c r="N15" s="2179"/>
    </row>
    <row r="16" spans="1:14">
      <c r="A16" s="736" t="s">
        <v>242</v>
      </c>
      <c r="B16" s="735"/>
      <c r="C16" s="1730">
        <v>0</v>
      </c>
      <c r="D16" s="1727"/>
      <c r="E16" s="1730">
        <v>0</v>
      </c>
      <c r="F16" s="1727"/>
      <c r="G16" s="1730">
        <v>0</v>
      </c>
      <c r="H16" s="1727"/>
      <c r="I16" s="1730">
        <v>0</v>
      </c>
      <c r="J16" s="1760"/>
      <c r="K16" s="651">
        <f t="shared" ref="K16:K23" si="0">ROUND(SUM(C16)+SUM(E16)-SUM(G16)+SUM(I16),3)</f>
        <v>0</v>
      </c>
      <c r="L16" s="2182"/>
      <c r="M16" s="2179"/>
      <c r="N16" s="2179"/>
    </row>
    <row r="17" spans="1:14">
      <c r="A17" s="735" t="s">
        <v>243</v>
      </c>
      <c r="B17" s="735"/>
      <c r="C17" s="1730">
        <v>0</v>
      </c>
      <c r="D17" s="1727"/>
      <c r="E17" s="1730">
        <v>0</v>
      </c>
      <c r="F17" s="1727"/>
      <c r="G17" s="1730">
        <v>0</v>
      </c>
      <c r="H17" s="1727"/>
      <c r="I17" s="1730">
        <v>0</v>
      </c>
      <c r="J17" s="1760"/>
      <c r="K17" s="651">
        <f t="shared" si="0"/>
        <v>0</v>
      </c>
      <c r="L17" s="2182"/>
      <c r="M17" s="2179"/>
      <c r="N17" s="2179"/>
    </row>
    <row r="18" spans="1:14">
      <c r="A18" s="735" t="s">
        <v>244</v>
      </c>
      <c r="B18" s="735"/>
      <c r="C18" s="1730">
        <v>0</v>
      </c>
      <c r="D18" s="1727"/>
      <c r="E18" s="1730">
        <v>0</v>
      </c>
      <c r="F18" s="1727"/>
      <c r="G18" s="1730">
        <v>0</v>
      </c>
      <c r="H18" s="1727"/>
      <c r="I18" s="1730">
        <v>0</v>
      </c>
      <c r="J18" s="1760"/>
      <c r="K18" s="651">
        <f t="shared" si="0"/>
        <v>0</v>
      </c>
      <c r="L18" s="2182"/>
      <c r="M18" s="2179"/>
      <c r="N18" s="2179"/>
    </row>
    <row r="19" spans="1:14">
      <c r="A19" s="735" t="s">
        <v>245</v>
      </c>
      <c r="B19" s="735"/>
      <c r="C19" s="1730">
        <v>31.258000000000003</v>
      </c>
      <c r="D19" s="1727"/>
      <c r="E19" s="1730">
        <v>0</v>
      </c>
      <c r="F19" s="1727"/>
      <c r="G19" s="1730">
        <v>0.313</v>
      </c>
      <c r="H19" s="1727"/>
      <c r="I19" s="1730">
        <v>0</v>
      </c>
      <c r="J19" s="1760"/>
      <c r="K19" s="651">
        <f t="shared" si="0"/>
        <v>30.945</v>
      </c>
      <c r="L19" s="738"/>
      <c r="M19" s="2179"/>
      <c r="N19" s="2179"/>
    </row>
    <row r="20" spans="1:14">
      <c r="A20" s="735" t="s">
        <v>246</v>
      </c>
      <c r="B20" s="735"/>
      <c r="C20" s="1730">
        <v>0</v>
      </c>
      <c r="D20" s="1727"/>
      <c r="E20" s="1730">
        <v>0</v>
      </c>
      <c r="F20" s="1727"/>
      <c r="G20" s="1730">
        <v>0</v>
      </c>
      <c r="H20" s="1727"/>
      <c r="I20" s="1730">
        <v>0</v>
      </c>
      <c r="J20" s="1760"/>
      <c r="K20" s="651">
        <f t="shared" si="0"/>
        <v>0</v>
      </c>
      <c r="L20" s="2182"/>
      <c r="M20" s="2179"/>
      <c r="N20" s="2179"/>
    </row>
    <row r="21" spans="1:14">
      <c r="A21" s="736" t="s">
        <v>247</v>
      </c>
      <c r="B21" s="737"/>
      <c r="C21" s="1730">
        <v>0</v>
      </c>
      <c r="D21" s="1727"/>
      <c r="E21" s="1730">
        <v>0</v>
      </c>
      <c r="F21" s="1727"/>
      <c r="G21" s="1730">
        <v>0</v>
      </c>
      <c r="H21" s="1727"/>
      <c r="I21" s="1730">
        <v>0</v>
      </c>
      <c r="J21" s="1760"/>
      <c r="K21" s="651">
        <f t="shared" si="0"/>
        <v>0</v>
      </c>
      <c r="L21" s="2182"/>
      <c r="M21" s="2179"/>
      <c r="N21" s="2179"/>
    </row>
    <row r="22" spans="1:14">
      <c r="A22" s="736" t="s">
        <v>248</v>
      </c>
      <c r="B22" s="735"/>
      <c r="C22" s="1730">
        <v>0</v>
      </c>
      <c r="D22" s="1727"/>
      <c r="E22" s="1730">
        <v>0</v>
      </c>
      <c r="F22" s="1727"/>
      <c r="G22" s="1730">
        <v>0</v>
      </c>
      <c r="H22" s="1727"/>
      <c r="I22" s="1730">
        <v>0</v>
      </c>
      <c r="J22" s="1760"/>
      <c r="K22" s="651">
        <f t="shared" si="0"/>
        <v>0</v>
      </c>
      <c r="L22" s="2182"/>
      <c r="M22" s="2179"/>
      <c r="N22" s="2179"/>
    </row>
    <row r="23" spans="1:14">
      <c r="A23" s="736" t="s">
        <v>249</v>
      </c>
      <c r="B23" s="735"/>
      <c r="C23" s="1730">
        <v>0</v>
      </c>
      <c r="D23" s="1727"/>
      <c r="E23" s="1730">
        <v>0</v>
      </c>
      <c r="F23" s="1727"/>
      <c r="G23" s="1730">
        <v>0</v>
      </c>
      <c r="H23" s="1727"/>
      <c r="I23" s="1730">
        <v>0</v>
      </c>
      <c r="J23" s="1760"/>
      <c r="K23" s="651">
        <f t="shared" si="0"/>
        <v>0</v>
      </c>
      <c r="L23" s="2182"/>
      <c r="M23" s="2179"/>
    </row>
    <row r="24" spans="1:14" ht="22.5" customHeight="1">
      <c r="A24" s="436" t="s">
        <v>250</v>
      </c>
      <c r="B24" s="735"/>
      <c r="C24" s="437">
        <f>ROUND(SUM(C14:C23),3)</f>
        <v>10817.987999999999</v>
      </c>
      <c r="D24" s="438"/>
      <c r="E24" s="437">
        <f>ROUND(SUM(E14:E23),3)</f>
        <v>2627.4079999999999</v>
      </c>
      <c r="F24" s="438"/>
      <c r="G24" s="437">
        <f>ROUND(SUM(G14:G23),3)</f>
        <v>3708.567</v>
      </c>
      <c r="H24" s="438"/>
      <c r="I24" s="437">
        <f>ROUND(SUM(I14:I23),3)</f>
        <v>1226.4860000000001</v>
      </c>
      <c r="J24" s="438"/>
      <c r="K24" s="437">
        <f>ROUND(SUM(K14:K23),3)</f>
        <v>10963.315000000001</v>
      </c>
      <c r="L24" s="3141"/>
      <c r="M24" s="2179"/>
      <c r="N24" s="2179"/>
    </row>
    <row r="25" spans="1:14" ht="8.25" customHeight="1">
      <c r="A25" s="436"/>
      <c r="B25" s="735"/>
      <c r="C25" s="734"/>
      <c r="D25" s="651"/>
      <c r="E25" s="734"/>
      <c r="F25" s="651"/>
      <c r="G25" s="734"/>
      <c r="H25" s="651"/>
      <c r="I25" s="734"/>
      <c r="J25" s="651"/>
      <c r="K25" s="734"/>
      <c r="L25" s="734"/>
      <c r="M25" s="2179"/>
      <c r="N25" s="2179"/>
    </row>
    <row r="26" spans="1:14" ht="17.25">
      <c r="A26" s="736"/>
      <c r="B26" s="735"/>
      <c r="C26" s="737"/>
      <c r="D26" s="735"/>
      <c r="E26" s="737"/>
      <c r="F26" s="691"/>
      <c r="G26" s="737"/>
      <c r="H26" s="691"/>
      <c r="I26" s="737"/>
      <c r="J26" s="735"/>
      <c r="K26" s="738"/>
      <c r="L26" s="738"/>
      <c r="M26" s="2179"/>
      <c r="N26" s="2179"/>
    </row>
    <row r="27" spans="1:14" ht="17.25">
      <c r="A27" s="439" t="s">
        <v>886</v>
      </c>
      <c r="B27" s="735"/>
      <c r="C27" s="735"/>
      <c r="D27" s="735"/>
      <c r="E27" s="735"/>
      <c r="F27" s="691"/>
      <c r="G27" s="735"/>
      <c r="H27" s="691"/>
      <c r="I27" s="735"/>
      <c r="J27" s="735"/>
      <c r="K27" s="735"/>
      <c r="L27" s="737"/>
      <c r="M27" s="2179"/>
      <c r="N27" s="2179"/>
    </row>
    <row r="28" spans="1:14">
      <c r="A28" s="736" t="s">
        <v>251</v>
      </c>
      <c r="B28" s="735"/>
      <c r="C28" s="1730">
        <v>0.82899999999999996</v>
      </c>
      <c r="D28" s="1727"/>
      <c r="E28" s="1730">
        <v>3.0000000000000001E-3</v>
      </c>
      <c r="F28" s="1727"/>
      <c r="G28" s="1730">
        <v>1.0999999999999999E-2</v>
      </c>
      <c r="H28" s="1727"/>
      <c r="I28" s="1730">
        <v>0</v>
      </c>
      <c r="J28" s="1760"/>
      <c r="K28" s="651">
        <f t="shared" ref="K28:K33" si="1">ROUND(SUM(C28)+SUM(E28)-SUM(G28)+SUM(I28),3)</f>
        <v>0.82099999999999995</v>
      </c>
      <c r="L28" s="3222"/>
      <c r="M28" s="2179"/>
    </row>
    <row r="29" spans="1:14">
      <c r="A29" s="736" t="s">
        <v>252</v>
      </c>
      <c r="B29" s="735"/>
      <c r="C29" s="1730">
        <v>68.576999999999998</v>
      </c>
      <c r="D29" s="1727"/>
      <c r="E29" s="1730">
        <v>0.67800000000000005</v>
      </c>
      <c r="F29" s="1727"/>
      <c r="G29" s="1730">
        <v>1.1220000000000001</v>
      </c>
      <c r="H29" s="1727"/>
      <c r="I29" s="1730">
        <v>0</v>
      </c>
      <c r="J29" s="1760"/>
      <c r="K29" s="651">
        <f>ROUND(SUM(C29)+SUM(E29)-SUM(G29)+SUM(I29),3)</f>
        <v>68.132999999999996</v>
      </c>
      <c r="L29" s="3222"/>
      <c r="M29" s="2179"/>
      <c r="N29" s="2179"/>
    </row>
    <row r="30" spans="1:14">
      <c r="A30" s="735" t="s">
        <v>253</v>
      </c>
      <c r="B30" s="3138" t="s">
        <v>234</v>
      </c>
      <c r="C30" s="1730">
        <v>94.953000000000003</v>
      </c>
      <c r="D30" s="1727"/>
      <c r="E30" s="1730">
        <v>4.4089999999999998</v>
      </c>
      <c r="F30" s="1727"/>
      <c r="G30" s="1730">
        <v>0.36199999999999999</v>
      </c>
      <c r="H30" s="1727"/>
      <c r="I30" s="1730">
        <v>0</v>
      </c>
      <c r="J30" s="1760"/>
      <c r="K30" s="651">
        <f t="shared" si="1"/>
        <v>99</v>
      </c>
      <c r="L30" s="3222"/>
      <c r="M30" s="2179"/>
      <c r="N30" s="2179"/>
    </row>
    <row r="31" spans="1:14">
      <c r="A31" s="736" t="s">
        <v>254</v>
      </c>
      <c r="B31" s="3138"/>
      <c r="C31" s="1730">
        <v>7.8E-2</v>
      </c>
      <c r="D31" s="1727"/>
      <c r="E31" s="1730">
        <v>0</v>
      </c>
      <c r="F31" s="1727"/>
      <c r="G31" s="1730">
        <v>3.3000000000000002E-2</v>
      </c>
      <c r="H31" s="1727"/>
      <c r="I31" s="1730">
        <v>0</v>
      </c>
      <c r="J31" s="1760"/>
      <c r="K31" s="651">
        <f t="shared" si="1"/>
        <v>4.4999999999999998E-2</v>
      </c>
      <c r="L31" s="3222"/>
      <c r="M31" s="2179"/>
      <c r="N31" s="2179"/>
    </row>
    <row r="32" spans="1:14">
      <c r="A32" s="736" t="s">
        <v>255</v>
      </c>
      <c r="B32" s="3138"/>
      <c r="C32" s="1730">
        <v>0.13700000000000001</v>
      </c>
      <c r="D32" s="1727"/>
      <c r="E32" s="1730">
        <v>8.9999999999999993E-3</v>
      </c>
      <c r="F32" s="1727"/>
      <c r="G32" s="1730">
        <v>4.7E-2</v>
      </c>
      <c r="H32" s="1727"/>
      <c r="I32" s="1730">
        <v>0</v>
      </c>
      <c r="J32" s="1760"/>
      <c r="K32" s="651">
        <f>ROUND(SUM(C32)+SUM(E32)-SUM(G32)+SUM(I32),3)</f>
        <v>9.9000000000000005E-2</v>
      </c>
      <c r="L32" s="3222"/>
      <c r="M32" s="2179"/>
      <c r="N32" s="2179"/>
    </row>
    <row r="33" spans="1:14">
      <c r="A33" s="735" t="s">
        <v>256</v>
      </c>
      <c r="B33" s="735"/>
      <c r="C33" s="1730">
        <v>7.7069999999999999</v>
      </c>
      <c r="D33" s="1727"/>
      <c r="E33" s="1730">
        <v>0.627</v>
      </c>
      <c r="F33" s="1727"/>
      <c r="G33" s="1730">
        <v>0.3</v>
      </c>
      <c r="H33" s="1727"/>
      <c r="I33" s="1730">
        <v>0</v>
      </c>
      <c r="J33" s="1760"/>
      <c r="K33" s="651">
        <f t="shared" si="1"/>
        <v>8.0340000000000007</v>
      </c>
      <c r="L33" s="3222"/>
      <c r="M33" s="2179"/>
      <c r="N33" s="2179"/>
    </row>
    <row r="34" spans="1:14">
      <c r="A34" s="735" t="s">
        <v>257</v>
      </c>
      <c r="B34" s="735"/>
      <c r="C34" s="3598"/>
      <c r="D34" s="1758"/>
      <c r="E34" s="1759"/>
      <c r="F34" s="1759"/>
      <c r="G34" s="1759"/>
      <c r="H34" s="1759"/>
      <c r="I34" s="1759"/>
      <c r="J34" s="440"/>
      <c r="K34" s="1531"/>
      <c r="L34" s="2178"/>
      <c r="M34" s="2179"/>
      <c r="N34" s="2179"/>
    </row>
    <row r="35" spans="1:14">
      <c r="A35" s="735" t="s">
        <v>258</v>
      </c>
      <c r="B35" s="735"/>
      <c r="C35" s="1730">
        <v>3.97</v>
      </c>
      <c r="D35" s="1727"/>
      <c r="E35" s="1730">
        <v>0.78800000000000003</v>
      </c>
      <c r="F35" s="1727"/>
      <c r="G35" s="1730">
        <v>0.59499999999999997</v>
      </c>
      <c r="H35" s="1727"/>
      <c r="I35" s="1730">
        <v>0</v>
      </c>
      <c r="J35" s="1760"/>
      <c r="K35" s="651">
        <f>ROUND(SUM(C35)+SUM(E35)-SUM(G35)+SUM(I35),3)</f>
        <v>4.1630000000000003</v>
      </c>
      <c r="L35" s="2177"/>
      <c r="M35" s="2179"/>
      <c r="N35" s="2179"/>
    </row>
    <row r="36" spans="1:14">
      <c r="A36" s="735" t="s">
        <v>259</v>
      </c>
      <c r="B36" s="735"/>
      <c r="C36" s="1730">
        <v>0.218</v>
      </c>
      <c r="D36" s="1727"/>
      <c r="E36" s="1730">
        <v>0</v>
      </c>
      <c r="F36" s="1727"/>
      <c r="G36" s="1730">
        <v>0</v>
      </c>
      <c r="H36" s="1727"/>
      <c r="I36" s="1730">
        <v>0</v>
      </c>
      <c r="J36" s="1760"/>
      <c r="K36" s="651">
        <f t="shared" ref="K36:K59" si="2">ROUND(SUM(C36)+SUM(E36)-SUM(G36)+SUM(I36),3)</f>
        <v>0.218</v>
      </c>
      <c r="L36" s="3222"/>
      <c r="M36" s="2179"/>
      <c r="N36" s="2179"/>
    </row>
    <row r="37" spans="1:14">
      <c r="A37" s="735" t="s">
        <v>260</v>
      </c>
      <c r="B37" s="735"/>
      <c r="C37" s="1730">
        <v>1.2470000000000001</v>
      </c>
      <c r="D37" s="1727"/>
      <c r="E37" s="1730">
        <v>1E-3</v>
      </c>
      <c r="F37" s="1727"/>
      <c r="G37" s="1730">
        <v>0</v>
      </c>
      <c r="H37" s="1727"/>
      <c r="I37" s="1730">
        <v>0</v>
      </c>
      <c r="J37" s="1760"/>
      <c r="K37" s="651">
        <f t="shared" si="2"/>
        <v>1.248</v>
      </c>
      <c r="L37" s="3222"/>
      <c r="M37" s="2179"/>
      <c r="N37" s="2179"/>
    </row>
    <row r="38" spans="1:14">
      <c r="A38" s="2101" t="s">
        <v>261</v>
      </c>
      <c r="B38" s="3142"/>
      <c r="C38" s="1730">
        <v>0</v>
      </c>
      <c r="D38" s="1727"/>
      <c r="E38" s="1730">
        <v>0</v>
      </c>
      <c r="F38" s="1727"/>
      <c r="G38" s="1730">
        <v>0</v>
      </c>
      <c r="H38" s="1727"/>
      <c r="I38" s="1730">
        <v>0</v>
      </c>
      <c r="J38" s="1760"/>
      <c r="K38" s="651">
        <f t="shared" si="2"/>
        <v>0</v>
      </c>
      <c r="L38" s="3222"/>
      <c r="M38" s="2179"/>
      <c r="N38" s="2179"/>
    </row>
    <row r="39" spans="1:14">
      <c r="A39" s="736" t="s">
        <v>262</v>
      </c>
      <c r="B39" s="735"/>
      <c r="C39" s="1730">
        <v>230.45699999999999</v>
      </c>
      <c r="D39" s="1727"/>
      <c r="E39" s="1730">
        <v>495.572</v>
      </c>
      <c r="F39" s="1727"/>
      <c r="G39" s="1730">
        <v>474.22399999999999</v>
      </c>
      <c r="H39" s="1727"/>
      <c r="I39" s="1730">
        <v>-35.744</v>
      </c>
      <c r="J39" s="1760"/>
      <c r="K39" s="651">
        <f t="shared" si="2"/>
        <v>216.06100000000001</v>
      </c>
      <c r="L39" s="2177"/>
      <c r="M39" s="2179"/>
      <c r="N39" s="2179"/>
    </row>
    <row r="40" spans="1:14">
      <c r="A40" s="735" t="s">
        <v>263</v>
      </c>
      <c r="B40" s="735"/>
      <c r="C40" s="1730">
        <v>70.415000000000006</v>
      </c>
      <c r="D40" s="1727"/>
      <c r="E40" s="1761">
        <v>44.982999999999997</v>
      </c>
      <c r="F40" s="1727"/>
      <c r="G40" s="1730">
        <v>57.037999999999997</v>
      </c>
      <c r="H40" s="1727"/>
      <c r="I40" s="1730">
        <v>0</v>
      </c>
      <c r="J40" s="1760"/>
      <c r="K40" s="651">
        <f t="shared" si="2"/>
        <v>58.36</v>
      </c>
      <c r="L40" s="3222"/>
      <c r="M40" s="2179"/>
    </row>
    <row r="41" spans="1:14">
      <c r="A41" s="736" t="s">
        <v>264</v>
      </c>
      <c r="B41" s="735"/>
      <c r="C41" s="1730">
        <v>-198.45599999999999</v>
      </c>
      <c r="D41" s="1727"/>
      <c r="E41" s="1730">
        <v>250.125</v>
      </c>
      <c r="F41" s="1727"/>
      <c r="G41" s="1730">
        <v>149.416</v>
      </c>
      <c r="H41" s="1727"/>
      <c r="I41" s="1730">
        <v>0</v>
      </c>
      <c r="J41" s="1760"/>
      <c r="K41" s="651">
        <f t="shared" si="2"/>
        <v>-97.747</v>
      </c>
      <c r="L41" s="3222"/>
      <c r="M41" s="2179"/>
      <c r="N41" s="2179"/>
    </row>
    <row r="42" spans="1:14">
      <c r="A42" s="736" t="s">
        <v>265</v>
      </c>
      <c r="B42" s="735"/>
      <c r="C42" s="1730">
        <v>17.431000000000001</v>
      </c>
      <c r="D42" s="1727"/>
      <c r="E42" s="1730">
        <v>1.9470000000000001</v>
      </c>
      <c r="F42" s="1727"/>
      <c r="G42" s="1730">
        <v>2.6480000000000001</v>
      </c>
      <c r="H42" s="1727"/>
      <c r="I42" s="1730">
        <v>0</v>
      </c>
      <c r="J42" s="1760"/>
      <c r="K42" s="651">
        <f t="shared" si="2"/>
        <v>16.73</v>
      </c>
      <c r="L42" s="3222"/>
      <c r="M42" s="2179"/>
      <c r="N42" s="2179"/>
    </row>
    <row r="43" spans="1:14">
      <c r="A43" s="735" t="s">
        <v>266</v>
      </c>
      <c r="B43" s="735"/>
      <c r="C43" s="1730">
        <v>-4.0549999999999997</v>
      </c>
      <c r="D43" s="1727"/>
      <c r="E43" s="1730">
        <v>0</v>
      </c>
      <c r="F43" s="1727"/>
      <c r="G43" s="1730">
        <v>6.5000000000000002E-2</v>
      </c>
      <c r="H43" s="1727"/>
      <c r="I43" s="1730">
        <v>0</v>
      </c>
      <c r="J43" s="1760"/>
      <c r="K43" s="651">
        <f t="shared" si="2"/>
        <v>-4.12</v>
      </c>
      <c r="L43" s="3222"/>
      <c r="M43" s="2179"/>
      <c r="N43" s="2179"/>
    </row>
    <row r="44" spans="1:14">
      <c r="A44" s="735" t="s">
        <v>1219</v>
      </c>
      <c r="B44" s="735"/>
      <c r="C44" s="1730">
        <v>4.0339999999999998</v>
      </c>
      <c r="D44" s="1727"/>
      <c r="E44" s="1730">
        <v>3.343</v>
      </c>
      <c r="F44" s="1727"/>
      <c r="G44" s="1730">
        <v>7.9210000000000003</v>
      </c>
      <c r="H44" s="1727"/>
      <c r="I44" s="1730">
        <v>2.7930000000000001</v>
      </c>
      <c r="J44" s="1760"/>
      <c r="K44" s="651">
        <f t="shared" si="2"/>
        <v>2.2490000000000001</v>
      </c>
      <c r="L44" s="2177"/>
      <c r="M44" s="2179"/>
      <c r="N44" s="2179"/>
    </row>
    <row r="45" spans="1:14">
      <c r="A45" s="735" t="s">
        <v>267</v>
      </c>
      <c r="B45" s="735"/>
      <c r="C45" s="1730">
        <v>86.552999999999997</v>
      </c>
      <c r="D45" s="1727"/>
      <c r="E45" s="1730">
        <v>0.51200000000000001</v>
      </c>
      <c r="F45" s="1727"/>
      <c r="G45" s="1730">
        <v>2.5430000000000001</v>
      </c>
      <c r="H45" s="1727"/>
      <c r="I45" s="1730">
        <v>0</v>
      </c>
      <c r="J45" s="1760"/>
      <c r="K45" s="651">
        <f t="shared" si="2"/>
        <v>84.522000000000006</v>
      </c>
      <c r="L45" s="3222"/>
      <c r="M45" s="2179"/>
      <c r="N45" s="2179"/>
    </row>
    <row r="46" spans="1:14">
      <c r="A46" s="735" t="s">
        <v>268</v>
      </c>
      <c r="B46" s="735"/>
      <c r="C46" s="1730">
        <v>26.901</v>
      </c>
      <c r="D46" s="1727"/>
      <c r="E46" s="1730">
        <v>2.7549999999999999</v>
      </c>
      <c r="F46" s="1727"/>
      <c r="G46" s="1730">
        <v>1.5880000000000001</v>
      </c>
      <c r="H46" s="1727"/>
      <c r="I46" s="1730">
        <v>-2.613</v>
      </c>
      <c r="J46" s="1760"/>
      <c r="K46" s="651">
        <f t="shared" si="2"/>
        <v>25.454999999999998</v>
      </c>
      <c r="L46" s="3222"/>
      <c r="M46" s="2179"/>
      <c r="N46" s="2179"/>
    </row>
    <row r="47" spans="1:14">
      <c r="A47" s="735" t="s">
        <v>269</v>
      </c>
      <c r="B47" s="735"/>
      <c r="C47" s="1730">
        <v>7.4809999999999999</v>
      </c>
      <c r="D47" s="1727"/>
      <c r="E47" s="1730">
        <v>8.9999999999999993E-3</v>
      </c>
      <c r="F47" s="1727"/>
      <c r="G47" s="1730">
        <v>1.198</v>
      </c>
      <c r="H47" s="1727"/>
      <c r="I47" s="1730">
        <v>0</v>
      </c>
      <c r="J47" s="1760"/>
      <c r="K47" s="651">
        <f t="shared" si="2"/>
        <v>6.2919999999999998</v>
      </c>
      <c r="L47" s="3222"/>
      <c r="M47" s="2179"/>
      <c r="N47" s="2179"/>
    </row>
    <row r="48" spans="1:14">
      <c r="A48" s="735" t="s">
        <v>270</v>
      </c>
      <c r="B48" s="735"/>
      <c r="C48" s="1730">
        <v>11.211</v>
      </c>
      <c r="D48" s="1727"/>
      <c r="E48" s="1730">
        <v>1.1419999999999999</v>
      </c>
      <c r="F48" s="1727"/>
      <c r="G48" s="1730">
        <v>1.6870000000000001</v>
      </c>
      <c r="H48" s="1727"/>
      <c r="I48" s="1730">
        <v>0</v>
      </c>
      <c r="J48" s="1760"/>
      <c r="K48" s="651">
        <f t="shared" si="2"/>
        <v>10.666</v>
      </c>
      <c r="L48" s="3222"/>
      <c r="M48" s="2179"/>
      <c r="N48" s="2179"/>
    </row>
    <row r="49" spans="1:14">
      <c r="A49" s="736" t="s">
        <v>271</v>
      </c>
      <c r="B49" s="735"/>
      <c r="C49" s="1730">
        <v>0.54900000000000004</v>
      </c>
      <c r="D49" s="1727"/>
      <c r="E49" s="1730">
        <v>2E-3</v>
      </c>
      <c r="F49" s="1727"/>
      <c r="G49" s="1730">
        <v>9.0000000000000011E-3</v>
      </c>
      <c r="H49" s="1727"/>
      <c r="I49" s="1730">
        <v>0</v>
      </c>
      <c r="J49" s="1760"/>
      <c r="K49" s="651">
        <f t="shared" si="2"/>
        <v>0.54200000000000004</v>
      </c>
      <c r="L49" s="3222"/>
      <c r="M49" s="2179"/>
      <c r="N49" s="2179"/>
    </row>
    <row r="50" spans="1:14">
      <c r="A50" s="735" t="s">
        <v>272</v>
      </c>
      <c r="B50" s="735"/>
      <c r="C50" s="1730">
        <v>-96.228999999999999</v>
      </c>
      <c r="D50" s="1727"/>
      <c r="E50" s="1730">
        <v>140.625</v>
      </c>
      <c r="F50" s="1727"/>
      <c r="G50" s="1730">
        <v>33.305</v>
      </c>
      <c r="H50" s="1727"/>
      <c r="I50" s="1730">
        <v>-6.7000000000000004E-2</v>
      </c>
      <c r="J50" s="1760"/>
      <c r="K50" s="651">
        <f t="shared" si="2"/>
        <v>11.023999999999999</v>
      </c>
      <c r="L50" s="3222"/>
      <c r="M50" s="2179"/>
      <c r="N50" s="2179"/>
    </row>
    <row r="51" spans="1:14">
      <c r="A51" s="735" t="s">
        <v>273</v>
      </c>
      <c r="B51" s="735"/>
      <c r="C51" s="1730">
        <v>-31.635999999999999</v>
      </c>
      <c r="D51" s="1727"/>
      <c r="E51" s="1730">
        <v>2.3530000000000002</v>
      </c>
      <c r="F51" s="1727"/>
      <c r="G51" s="1730">
        <v>2.8879999999999999</v>
      </c>
      <c r="H51" s="1727"/>
      <c r="I51" s="1730">
        <v>0</v>
      </c>
      <c r="J51" s="1760"/>
      <c r="K51" s="651">
        <f t="shared" si="2"/>
        <v>-32.170999999999999</v>
      </c>
      <c r="L51" s="3222"/>
      <c r="M51" s="2179"/>
      <c r="N51" s="2179"/>
    </row>
    <row r="52" spans="1:14">
      <c r="A52" s="735" t="s">
        <v>274</v>
      </c>
      <c r="B52" s="735"/>
      <c r="C52" s="1730">
        <v>7.0999999999999994E-2</v>
      </c>
      <c r="D52" s="1727"/>
      <c r="E52" s="1730">
        <v>0</v>
      </c>
      <c r="F52" s="1727"/>
      <c r="G52" s="1730">
        <v>0</v>
      </c>
      <c r="H52" s="1727"/>
      <c r="I52" s="1730">
        <v>0</v>
      </c>
      <c r="J52" s="1760"/>
      <c r="K52" s="651">
        <f t="shared" si="2"/>
        <v>7.0999999999999994E-2</v>
      </c>
      <c r="L52" s="3222"/>
      <c r="M52" s="2179"/>
      <c r="N52" s="2179"/>
    </row>
    <row r="53" spans="1:14">
      <c r="A53" s="735" t="s">
        <v>1001</v>
      </c>
      <c r="B53" s="735"/>
      <c r="C53" s="1730">
        <v>11.997999999999999</v>
      </c>
      <c r="D53" s="1727"/>
      <c r="E53" s="1730">
        <v>0.2</v>
      </c>
      <c r="F53" s="1727"/>
      <c r="G53" s="1730">
        <v>5.8000000000000003E-2</v>
      </c>
      <c r="H53" s="1727"/>
      <c r="I53" s="1730">
        <v>0</v>
      </c>
      <c r="J53" s="1760"/>
      <c r="K53" s="651">
        <f t="shared" si="2"/>
        <v>12.14</v>
      </c>
      <c r="L53" s="3222"/>
      <c r="M53" s="2179"/>
      <c r="N53" s="2179"/>
    </row>
    <row r="54" spans="1:14">
      <c r="A54" s="735" t="s">
        <v>275</v>
      </c>
      <c r="B54" s="735"/>
      <c r="C54" s="1730">
        <v>0</v>
      </c>
      <c r="D54" s="1727"/>
      <c r="E54" s="1730">
        <v>0</v>
      </c>
      <c r="F54" s="1727"/>
      <c r="G54" s="1730">
        <v>0</v>
      </c>
      <c r="H54" s="1727"/>
      <c r="I54" s="1730">
        <v>0</v>
      </c>
      <c r="J54" s="1760"/>
      <c r="K54" s="651">
        <f t="shared" si="2"/>
        <v>0</v>
      </c>
      <c r="L54" s="3222"/>
      <c r="M54" s="2179"/>
    </row>
    <row r="55" spans="1:14">
      <c r="A55" s="736" t="s">
        <v>276</v>
      </c>
      <c r="B55" s="735"/>
      <c r="C55" s="1730">
        <v>0.46600000000000003</v>
      </c>
      <c r="D55" s="1727"/>
      <c r="E55" s="1730">
        <v>1E-3</v>
      </c>
      <c r="F55" s="1727"/>
      <c r="G55" s="1730">
        <v>0</v>
      </c>
      <c r="H55" s="1727"/>
      <c r="I55" s="1730">
        <v>0</v>
      </c>
      <c r="J55" s="1760"/>
      <c r="K55" s="651">
        <f t="shared" si="2"/>
        <v>0.46700000000000003</v>
      </c>
      <c r="L55" s="2177"/>
      <c r="M55" s="2179"/>
      <c r="N55" s="2179"/>
    </row>
    <row r="56" spans="1:14">
      <c r="A56" s="736" t="s">
        <v>277</v>
      </c>
      <c r="B56" s="735"/>
      <c r="C56" s="1730">
        <v>0</v>
      </c>
      <c r="D56" s="1727"/>
      <c r="E56" s="1730">
        <v>0</v>
      </c>
      <c r="F56" s="1727"/>
      <c r="G56" s="1730">
        <v>0</v>
      </c>
      <c r="H56" s="1727"/>
      <c r="I56" s="1730">
        <v>0</v>
      </c>
      <c r="J56" s="1760"/>
      <c r="K56" s="651">
        <f t="shared" si="2"/>
        <v>0</v>
      </c>
      <c r="L56" s="3222"/>
      <c r="M56" s="2179"/>
      <c r="N56" s="2179"/>
    </row>
    <row r="57" spans="1:14">
      <c r="A57" s="736" t="s">
        <v>278</v>
      </c>
      <c r="B57" s="735"/>
      <c r="C57" s="1730">
        <v>1E-3</v>
      </c>
      <c r="D57" s="1727"/>
      <c r="E57" s="1730">
        <v>0</v>
      </c>
      <c r="F57" s="1727"/>
      <c r="G57" s="1730">
        <v>0</v>
      </c>
      <c r="H57" s="1727"/>
      <c r="I57" s="1730">
        <v>0</v>
      </c>
      <c r="J57" s="1760"/>
      <c r="K57" s="651">
        <f t="shared" si="2"/>
        <v>1E-3</v>
      </c>
      <c r="L57" s="3222"/>
      <c r="M57" s="2179"/>
      <c r="N57" s="2179"/>
    </row>
    <row r="58" spans="1:14">
      <c r="A58" s="736" t="s">
        <v>1405</v>
      </c>
      <c r="B58" s="735"/>
      <c r="C58" s="1730">
        <v>0.97799999999999998</v>
      </c>
      <c r="D58" s="1727"/>
      <c r="E58" s="1730">
        <v>2E-3</v>
      </c>
      <c r="F58" s="1727"/>
      <c r="G58" s="1730">
        <v>0</v>
      </c>
      <c r="H58" s="1727"/>
      <c r="I58" s="1730">
        <v>0</v>
      </c>
      <c r="J58" s="1760"/>
      <c r="K58" s="651">
        <f t="shared" si="2"/>
        <v>0.98</v>
      </c>
      <c r="L58" s="3222"/>
      <c r="M58" s="2179"/>
      <c r="N58" s="2179"/>
    </row>
    <row r="59" spans="1:14">
      <c r="A59" s="736" t="s">
        <v>279</v>
      </c>
      <c r="B59" s="735"/>
      <c r="C59" s="1730">
        <v>1505.7460000000001</v>
      </c>
      <c r="D59" s="1727"/>
      <c r="E59" s="1730">
        <v>222.68</v>
      </c>
      <c r="F59" s="1727"/>
      <c r="G59" s="1730">
        <v>276.54000000000002</v>
      </c>
      <c r="H59" s="1727"/>
      <c r="I59" s="1730">
        <v>-0.66200000000000003</v>
      </c>
      <c r="J59" s="1760"/>
      <c r="K59" s="651">
        <f t="shared" si="2"/>
        <v>1451.2239999999999</v>
      </c>
      <c r="L59" s="3222"/>
      <c r="M59" s="3143"/>
      <c r="N59" s="2179"/>
    </row>
    <row r="60" spans="1:14">
      <c r="A60" s="735" t="s">
        <v>280</v>
      </c>
      <c r="B60" s="735"/>
      <c r="C60" s="1730">
        <v>23.036000000000001</v>
      </c>
      <c r="D60" s="1727"/>
      <c r="E60" s="1730">
        <v>4.2000000000000003E-2</v>
      </c>
      <c r="F60" s="1727"/>
      <c r="G60" s="1730">
        <v>27.834</v>
      </c>
      <c r="H60" s="1727"/>
      <c r="I60" s="1730">
        <v>14.967000000000001</v>
      </c>
      <c r="J60" s="1760"/>
      <c r="K60" s="651">
        <f>ROUND(SUM(C60)+SUM(E60)-SUM(G60)+SUM(I60),3)</f>
        <v>10.211</v>
      </c>
      <c r="L60" s="3222"/>
      <c r="M60" s="740"/>
      <c r="N60" s="2179"/>
    </row>
    <row r="61" spans="1:14">
      <c r="A61" s="735"/>
      <c r="B61" s="735"/>
      <c r="C61" s="1730"/>
      <c r="D61" s="1727"/>
      <c r="E61" s="1730"/>
      <c r="F61" s="1727"/>
      <c r="G61" s="1730"/>
      <c r="H61" s="1727"/>
      <c r="I61" s="1730"/>
      <c r="J61" s="1760"/>
      <c r="K61" s="651"/>
      <c r="L61" s="2177"/>
      <c r="M61" s="439"/>
      <c r="N61" s="2179"/>
    </row>
    <row r="62" spans="1:14">
      <c r="A62" s="439" t="s">
        <v>934</v>
      </c>
      <c r="B62" s="735"/>
      <c r="C62" s="1730"/>
      <c r="D62" s="1727"/>
      <c r="E62" s="1730"/>
      <c r="F62" s="1727"/>
      <c r="G62" s="1730"/>
      <c r="H62" s="1727"/>
      <c r="I62" s="1730"/>
      <c r="J62" s="1760"/>
      <c r="K62" s="651"/>
      <c r="L62" s="2177"/>
      <c r="M62" s="439"/>
      <c r="N62" s="2179"/>
    </row>
    <row r="63" spans="1:14">
      <c r="A63" s="735" t="s">
        <v>281</v>
      </c>
      <c r="B63" s="1760"/>
      <c r="C63" s="1730">
        <v>5.1999999999999998E-2</v>
      </c>
      <c r="D63" s="1727"/>
      <c r="E63" s="1730">
        <v>0</v>
      </c>
      <c r="F63" s="1727"/>
      <c r="G63" s="1730">
        <v>0</v>
      </c>
      <c r="H63" s="1727"/>
      <c r="I63" s="1730">
        <v>0</v>
      </c>
      <c r="J63" s="1760"/>
      <c r="K63" s="651">
        <f>ROUND(SUM(C63)+SUM(E63)-SUM(G63)+SUM(I63),3)</f>
        <v>5.1999999999999998E-2</v>
      </c>
      <c r="L63" s="2177"/>
      <c r="M63" s="2179"/>
      <c r="N63" s="2179"/>
    </row>
    <row r="64" spans="1:14">
      <c r="A64" s="735" t="s">
        <v>282</v>
      </c>
      <c r="B64" s="735"/>
      <c r="C64" s="1730">
        <v>1444.6279999999999</v>
      </c>
      <c r="D64" s="1727"/>
      <c r="E64" s="1730">
        <v>715.43600000000004</v>
      </c>
      <c r="F64" s="1727"/>
      <c r="G64" s="1730">
        <v>523.40300000000002</v>
      </c>
      <c r="H64" s="1727"/>
      <c r="I64" s="1730">
        <v>63.18</v>
      </c>
      <c r="J64" s="1760"/>
      <c r="K64" s="651">
        <f>ROUND(SUM(C64)+SUM(E64)-SUM(G64)+SUM(I64),3)</f>
        <v>1699.8409999999999</v>
      </c>
      <c r="L64" s="3222"/>
      <c r="M64" s="2179"/>
      <c r="N64" s="2179"/>
    </row>
    <row r="65" spans="1:14">
      <c r="A65" s="736" t="s">
        <v>283</v>
      </c>
      <c r="B65" s="735"/>
      <c r="C65" s="1730">
        <v>15.252000000000001</v>
      </c>
      <c r="D65" s="1727"/>
      <c r="E65" s="1730">
        <v>4.8000000000000001E-2</v>
      </c>
      <c r="F65" s="1727"/>
      <c r="G65" s="1730">
        <v>3.5270000000000001</v>
      </c>
      <c r="H65" s="1727"/>
      <c r="I65" s="1730">
        <v>0</v>
      </c>
      <c r="J65" s="1760"/>
      <c r="K65" s="651">
        <f>ROUND(SUM(C65)+SUM(E65)-SUM(G65)+SUM(I65),3)</f>
        <v>11.773</v>
      </c>
      <c r="L65" s="3222"/>
      <c r="M65" s="2179"/>
      <c r="N65" s="2179"/>
    </row>
    <row r="66" spans="1:14">
      <c r="A66" s="735" t="s">
        <v>284</v>
      </c>
      <c r="B66" s="735"/>
      <c r="C66" s="1730">
        <v>0.189</v>
      </c>
      <c r="D66" s="1727"/>
      <c r="E66" s="1730">
        <v>0</v>
      </c>
      <c r="F66" s="1727"/>
      <c r="G66" s="1730">
        <v>6.6000000000000003E-2</v>
      </c>
      <c r="H66" s="1727"/>
      <c r="I66" s="1730">
        <v>0</v>
      </c>
      <c r="J66" s="1760"/>
      <c r="K66" s="651">
        <f>ROUND(SUM(C66)+SUM(E66)-SUM(G66)+SUM(I66),3)</f>
        <v>0.123</v>
      </c>
      <c r="L66" s="3222"/>
      <c r="M66" s="2179"/>
      <c r="N66" s="2179"/>
    </row>
    <row r="67" spans="1:14">
      <c r="A67" s="735" t="s">
        <v>285</v>
      </c>
      <c r="B67" s="735"/>
      <c r="C67" s="3598"/>
      <c r="D67" s="1758"/>
      <c r="E67" s="1761"/>
      <c r="F67" s="1762"/>
      <c r="G67" s="1761"/>
      <c r="H67" s="1762"/>
      <c r="I67" s="1763"/>
      <c r="J67" s="735"/>
      <c r="K67" s="651" t="s">
        <v>15</v>
      </c>
      <c r="L67" s="3222"/>
      <c r="M67" s="2179"/>
      <c r="N67" s="2179"/>
    </row>
    <row r="68" spans="1:14">
      <c r="A68" s="735" t="s">
        <v>286</v>
      </c>
      <c r="B68" s="735"/>
      <c r="C68" s="1730">
        <v>86.775999999999996</v>
      </c>
      <c r="D68" s="1727"/>
      <c r="E68" s="1730">
        <v>7.7160000000000002</v>
      </c>
      <c r="F68" s="1727"/>
      <c r="G68" s="1730">
        <v>1.5</v>
      </c>
      <c r="H68" s="1727"/>
      <c r="I68" s="1730">
        <v>-38.573</v>
      </c>
      <c r="J68" s="1760"/>
      <c r="K68" s="651">
        <f t="shared" ref="K68:K73" si="3">ROUND(SUM(C68)+SUM(E68)-SUM(G68)+SUM(I68),3)</f>
        <v>54.418999999999997</v>
      </c>
      <c r="L68" s="3222"/>
      <c r="M68" s="2179"/>
      <c r="N68" s="740"/>
    </row>
    <row r="69" spans="1:14">
      <c r="A69" s="735" t="s">
        <v>287</v>
      </c>
      <c r="B69" s="441"/>
      <c r="C69" s="1730">
        <v>0.40300000000000002</v>
      </c>
      <c r="D69" s="1727"/>
      <c r="E69" s="1730">
        <v>1E-3</v>
      </c>
      <c r="F69" s="1727"/>
      <c r="G69" s="1730">
        <v>1.0999999999999999E-2</v>
      </c>
      <c r="H69" s="1727"/>
      <c r="I69" s="1730">
        <v>0</v>
      </c>
      <c r="J69" s="1760"/>
      <c r="K69" s="651">
        <f t="shared" si="3"/>
        <v>0.39300000000000002</v>
      </c>
      <c r="L69" s="3222"/>
      <c r="M69" s="2179"/>
      <c r="N69" s="2179"/>
    </row>
    <row r="70" spans="1:14">
      <c r="A70" s="735" t="s">
        <v>288</v>
      </c>
      <c r="B70" s="735"/>
      <c r="C70" s="1730">
        <v>2.4E-2</v>
      </c>
      <c r="D70" s="1727"/>
      <c r="E70" s="1730">
        <v>0</v>
      </c>
      <c r="F70" s="1727"/>
      <c r="G70" s="1730">
        <v>0</v>
      </c>
      <c r="H70" s="1727"/>
      <c r="I70" s="1730">
        <v>0</v>
      </c>
      <c r="J70" s="1760"/>
      <c r="K70" s="651">
        <f t="shared" si="3"/>
        <v>2.4E-2</v>
      </c>
      <c r="L70" s="3222"/>
      <c r="M70" s="2179"/>
      <c r="N70" s="2179"/>
    </row>
    <row r="71" spans="1:14">
      <c r="A71" s="736" t="s">
        <v>289</v>
      </c>
      <c r="B71" s="735"/>
      <c r="C71" s="1730">
        <v>10.09</v>
      </c>
      <c r="D71" s="1727"/>
      <c r="E71" s="1730">
        <v>1.4E-2</v>
      </c>
      <c r="F71" s="1727"/>
      <c r="G71" s="1730">
        <v>-0.45</v>
      </c>
      <c r="H71" s="1727"/>
      <c r="I71" s="1730">
        <v>0</v>
      </c>
      <c r="J71" s="1760"/>
      <c r="K71" s="651">
        <f t="shared" si="3"/>
        <v>10.554</v>
      </c>
      <c r="L71" s="3222"/>
      <c r="M71" s="2179"/>
      <c r="N71" s="2179"/>
    </row>
    <row r="72" spans="1:14">
      <c r="A72" s="735" t="s">
        <v>290</v>
      </c>
      <c r="B72" s="735"/>
      <c r="C72" s="1730">
        <v>-14.852</v>
      </c>
      <c r="D72" s="1727"/>
      <c r="E72" s="1730">
        <v>7.8E-2</v>
      </c>
      <c r="F72" s="1727"/>
      <c r="G72" s="1730">
        <v>-0.40100000000000002</v>
      </c>
      <c r="H72" s="1727"/>
      <c r="I72" s="1730">
        <v>0</v>
      </c>
      <c r="J72" s="1760"/>
      <c r="K72" s="651">
        <f t="shared" ref="K72" si="4">ROUND(SUM(C72)+SUM(E72)-SUM(G72)+SUM(I72),3)</f>
        <v>-14.372999999999999</v>
      </c>
      <c r="L72" s="3222"/>
      <c r="M72" s="2179"/>
      <c r="N72" s="2179"/>
    </row>
    <row r="73" spans="1:14">
      <c r="A73" s="735" t="s">
        <v>291</v>
      </c>
      <c r="B73" s="735"/>
      <c r="C73" s="1730">
        <v>5.3999999999999999E-2</v>
      </c>
      <c r="D73" s="1727"/>
      <c r="E73" s="1730">
        <v>1.6E-2</v>
      </c>
      <c r="F73" s="1727"/>
      <c r="G73" s="1730">
        <v>1.7000000000000001E-2</v>
      </c>
      <c r="H73" s="1727"/>
      <c r="I73" s="1730">
        <v>0</v>
      </c>
      <c r="J73" s="1760"/>
      <c r="K73" s="651">
        <f t="shared" si="3"/>
        <v>5.2999999999999999E-2</v>
      </c>
      <c r="L73" s="2177"/>
      <c r="M73" s="2179"/>
      <c r="N73" s="2179"/>
    </row>
    <row r="74" spans="1:14">
      <c r="A74" s="735" t="s">
        <v>292</v>
      </c>
      <c r="B74" s="735"/>
      <c r="C74" s="3598"/>
      <c r="D74" s="1758"/>
      <c r="E74" s="1761"/>
      <c r="F74" s="1762"/>
      <c r="G74" s="1761"/>
      <c r="H74" s="1762"/>
      <c r="I74" s="1761"/>
      <c r="J74" s="735"/>
      <c r="K74" s="651"/>
      <c r="L74" s="2180"/>
      <c r="M74" s="2179"/>
      <c r="N74" s="2179"/>
    </row>
    <row r="75" spans="1:14">
      <c r="A75" s="735" t="s">
        <v>293</v>
      </c>
      <c r="B75" s="735"/>
      <c r="C75" s="1730">
        <v>-5.351</v>
      </c>
      <c r="D75" s="1727"/>
      <c r="E75" s="1730">
        <v>0</v>
      </c>
      <c r="F75" s="1727"/>
      <c r="G75" s="1730">
        <v>0</v>
      </c>
      <c r="H75" s="1727"/>
      <c r="I75" s="1730">
        <v>0</v>
      </c>
      <c r="J75" s="1760"/>
      <c r="K75" s="651">
        <f>ROUND(SUM(C75)+SUM(E75)-SUM(G75)+SUM(I75),3)</f>
        <v>-5.351</v>
      </c>
      <c r="L75" s="3222"/>
      <c r="M75" s="2179"/>
      <c r="N75" s="2179"/>
    </row>
    <row r="76" spans="1:14">
      <c r="A76" s="735" t="s">
        <v>294</v>
      </c>
      <c r="B76" s="735"/>
      <c r="C76" s="1730">
        <v>-55.941000000000003</v>
      </c>
      <c r="D76" s="1727"/>
      <c r="E76" s="1730">
        <v>0</v>
      </c>
      <c r="F76" s="1727"/>
      <c r="G76" s="1761">
        <v>2.5019999999999998</v>
      </c>
      <c r="H76" s="1727"/>
      <c r="I76" s="1730">
        <v>0</v>
      </c>
      <c r="J76" s="1760"/>
      <c r="K76" s="651">
        <f t="shared" ref="K76:K89" si="5">ROUND(SUM(C76)+SUM(E76)-SUM(G76)+SUM(I76),3)</f>
        <v>-58.442999999999998</v>
      </c>
      <c r="L76" s="3222"/>
      <c r="M76" s="2179"/>
      <c r="N76" s="2179"/>
    </row>
    <row r="77" spans="1:14">
      <c r="A77" s="735" t="s">
        <v>295</v>
      </c>
      <c r="B77" s="735"/>
      <c r="C77" s="1730">
        <v>46.779000000000003</v>
      </c>
      <c r="D77" s="1727"/>
      <c r="E77" s="1730">
        <v>6.2200000000000006</v>
      </c>
      <c r="F77" s="1727"/>
      <c r="G77" s="1730">
        <v>2.532</v>
      </c>
      <c r="H77" s="1727"/>
      <c r="I77" s="1730">
        <v>0</v>
      </c>
      <c r="J77" s="1760"/>
      <c r="K77" s="651">
        <f t="shared" si="5"/>
        <v>50.466999999999999</v>
      </c>
      <c r="L77" s="2177"/>
      <c r="M77" s="2179"/>
      <c r="N77" s="2179"/>
    </row>
    <row r="78" spans="1:14">
      <c r="A78" s="735" t="s">
        <v>966</v>
      </c>
      <c r="B78" s="735"/>
      <c r="C78" s="1730">
        <v>192.745</v>
      </c>
      <c r="D78" s="1727"/>
      <c r="E78" s="1730">
        <v>18.125</v>
      </c>
      <c r="F78" s="1727"/>
      <c r="G78" s="1730">
        <v>7.1820000000000004</v>
      </c>
      <c r="H78" s="1727"/>
      <c r="I78" s="1730">
        <v>0</v>
      </c>
      <c r="J78" s="1760"/>
      <c r="K78" s="651">
        <f t="shared" si="5"/>
        <v>203.68799999999999</v>
      </c>
      <c r="L78" s="2177"/>
      <c r="M78" s="2179"/>
      <c r="N78" s="2179"/>
    </row>
    <row r="79" spans="1:14">
      <c r="A79" s="735" t="s">
        <v>296</v>
      </c>
      <c r="B79" s="735"/>
      <c r="C79" s="1730">
        <v>0.28299999999999997</v>
      </c>
      <c r="D79" s="1727"/>
      <c r="E79" s="1730">
        <v>8.9999999999999993E-3</v>
      </c>
      <c r="F79" s="1727"/>
      <c r="G79" s="1730">
        <v>0</v>
      </c>
      <c r="H79" s="1727"/>
      <c r="I79" s="1730">
        <v>0</v>
      </c>
      <c r="J79" s="1760"/>
      <c r="K79" s="651">
        <f t="shared" si="5"/>
        <v>0.29199999999999998</v>
      </c>
      <c r="L79" s="2177"/>
      <c r="M79" s="2179"/>
      <c r="N79" s="2179"/>
    </row>
    <row r="80" spans="1:14">
      <c r="A80" s="736" t="s">
        <v>297</v>
      </c>
      <c r="B80" s="735"/>
      <c r="C80" s="1730">
        <v>456.23599999999999</v>
      </c>
      <c r="D80" s="1727"/>
      <c r="E80" s="1730">
        <v>26.361999999999998</v>
      </c>
      <c r="F80" s="1727"/>
      <c r="G80" s="1730">
        <v>44.911999999999999</v>
      </c>
      <c r="H80" s="1727"/>
      <c r="I80" s="1730">
        <v>0</v>
      </c>
      <c r="J80" s="1760"/>
      <c r="K80" s="651">
        <f t="shared" si="5"/>
        <v>437.68599999999998</v>
      </c>
      <c r="L80" s="3222"/>
      <c r="M80" s="2179"/>
      <c r="N80" s="2179"/>
    </row>
    <row r="81" spans="1:15">
      <c r="A81" s="735" t="s">
        <v>298</v>
      </c>
      <c r="B81" s="735"/>
      <c r="C81" s="1730">
        <v>31.091999999999999</v>
      </c>
      <c r="D81" s="1727"/>
      <c r="E81" s="1730">
        <v>0.82499999999999996</v>
      </c>
      <c r="F81" s="1727"/>
      <c r="G81" s="1730">
        <v>0.22600000000000001</v>
      </c>
      <c r="H81" s="1727"/>
      <c r="I81" s="1730">
        <v>0</v>
      </c>
      <c r="J81" s="1760"/>
      <c r="K81" s="651">
        <f t="shared" si="5"/>
        <v>31.690999999999999</v>
      </c>
      <c r="L81" s="2177"/>
      <c r="M81" s="2179"/>
      <c r="N81" s="2179"/>
    </row>
    <row r="82" spans="1:15">
      <c r="A82" s="736" t="s">
        <v>299</v>
      </c>
      <c r="B82" s="735"/>
      <c r="C82" s="1730">
        <v>89.576999999999998</v>
      </c>
      <c r="D82" s="1727"/>
      <c r="E82" s="1730">
        <v>0.11</v>
      </c>
      <c r="F82" s="1727"/>
      <c r="G82" s="1730">
        <v>0</v>
      </c>
      <c r="H82" s="1727"/>
      <c r="I82" s="1730">
        <v>12.5</v>
      </c>
      <c r="J82" s="1760"/>
      <c r="K82" s="651">
        <f t="shared" si="5"/>
        <v>102.187</v>
      </c>
      <c r="L82" s="3222"/>
      <c r="M82" s="2179"/>
      <c r="N82" s="2179"/>
    </row>
    <row r="83" spans="1:15">
      <c r="A83" s="736" t="s">
        <v>1218</v>
      </c>
      <c r="B83" s="735"/>
      <c r="C83" s="1730">
        <v>103.38500000000001</v>
      </c>
      <c r="D83" s="1727"/>
      <c r="E83" s="1730">
        <v>15.258000000000001</v>
      </c>
      <c r="F83" s="1727"/>
      <c r="G83" s="1730">
        <v>0.39400000000000002</v>
      </c>
      <c r="H83" s="1727"/>
      <c r="I83" s="1730">
        <v>0</v>
      </c>
      <c r="J83" s="1760"/>
      <c r="K83" s="651">
        <f t="shared" si="5"/>
        <v>118.249</v>
      </c>
      <c r="L83" s="3222"/>
      <c r="M83" s="2179"/>
      <c r="N83" s="2179"/>
    </row>
    <row r="84" spans="1:15">
      <c r="A84" s="736" t="s">
        <v>1300</v>
      </c>
      <c r="B84" s="735"/>
      <c r="C84" s="1730">
        <v>8.1920000000000002</v>
      </c>
      <c r="D84" s="1727"/>
      <c r="E84" s="1730">
        <v>0.52600000000000002</v>
      </c>
      <c r="F84" s="1727"/>
      <c r="G84" s="1730">
        <v>1.044</v>
      </c>
      <c r="H84" s="1727"/>
      <c r="I84" s="1730">
        <v>0</v>
      </c>
      <c r="J84" s="1760"/>
      <c r="K84" s="651">
        <f t="shared" si="5"/>
        <v>7.6740000000000004</v>
      </c>
      <c r="L84" s="2177"/>
      <c r="M84" s="2179"/>
      <c r="N84" s="2179"/>
    </row>
    <row r="85" spans="1:15">
      <c r="A85" s="736" t="s">
        <v>1278</v>
      </c>
      <c r="B85" s="735"/>
      <c r="C85" s="1730">
        <v>2.9409999999999998</v>
      </c>
      <c r="D85" s="1727"/>
      <c r="E85" s="1730">
        <v>0.379</v>
      </c>
      <c r="F85" s="1727"/>
      <c r="G85" s="1730">
        <v>3.5000000000000003E-2</v>
      </c>
      <c r="H85" s="1727"/>
      <c r="I85" s="1730">
        <v>0</v>
      </c>
      <c r="J85" s="1760"/>
      <c r="K85" s="651">
        <f>ROUND(SUM(C85)+SUM(E85)-SUM(G85)+SUM(I85),3)</f>
        <v>3.2850000000000001</v>
      </c>
      <c r="L85" s="3222"/>
      <c r="M85" s="2179"/>
      <c r="N85" s="2179"/>
    </row>
    <row r="86" spans="1:15">
      <c r="A86" s="736" t="s">
        <v>1346</v>
      </c>
      <c r="B86" s="735"/>
      <c r="C86" s="1730">
        <v>1016.634</v>
      </c>
      <c r="D86" s="1727"/>
      <c r="E86" s="1730">
        <v>7.702</v>
      </c>
      <c r="F86" s="1727"/>
      <c r="G86" s="1730">
        <v>0</v>
      </c>
      <c r="H86" s="1727"/>
      <c r="I86" s="1730">
        <v>0</v>
      </c>
      <c r="J86" s="1760"/>
      <c r="K86" s="651">
        <f>ROUND(SUM(C86)+SUM(E86)-SUM(G86)+SUM(I86),3)</f>
        <v>1024.336</v>
      </c>
      <c r="L86" s="3222"/>
      <c r="M86" s="2179"/>
      <c r="N86" s="2179"/>
    </row>
    <row r="87" spans="1:15">
      <c r="A87" s="736" t="s">
        <v>1388</v>
      </c>
      <c r="B87" s="735"/>
      <c r="C87" s="1730">
        <v>95.387</v>
      </c>
      <c r="D87" s="1727"/>
      <c r="E87" s="1730">
        <v>0.13500000000000001</v>
      </c>
      <c r="F87" s="1727"/>
      <c r="G87" s="1730">
        <v>0</v>
      </c>
      <c r="H87" s="1727"/>
      <c r="I87" s="1730">
        <v>0</v>
      </c>
      <c r="J87" s="1760"/>
      <c r="K87" s="651">
        <f>ROUND(SUM(C87)+SUM(E87)-SUM(G87)+SUM(I87),3)</f>
        <v>95.522000000000006</v>
      </c>
      <c r="L87" s="3222"/>
      <c r="M87" s="2179"/>
      <c r="N87" s="2179"/>
    </row>
    <row r="88" spans="1:15">
      <c r="A88" s="736" t="s">
        <v>1291</v>
      </c>
      <c r="B88" s="735"/>
      <c r="C88" s="1730">
        <v>18.681000000000001</v>
      </c>
      <c r="D88" s="1727"/>
      <c r="E88" s="1730">
        <v>0.54500000000000004</v>
      </c>
      <c r="F88" s="1727"/>
      <c r="G88" s="1730">
        <v>1.9E-2</v>
      </c>
      <c r="H88" s="1727"/>
      <c r="I88" s="1730">
        <v>0</v>
      </c>
      <c r="J88" s="1760"/>
      <c r="K88" s="651">
        <f>ROUND(SUM(C88)+SUM(E88)-SUM(G88)+SUM(I88),3)</f>
        <v>19.207000000000001</v>
      </c>
      <c r="L88" s="3222"/>
      <c r="M88" s="2179"/>
      <c r="N88" s="2179"/>
    </row>
    <row r="89" spans="1:15">
      <c r="A89" s="1762" t="s">
        <v>901</v>
      </c>
      <c r="B89" s="735"/>
      <c r="C89" s="1730">
        <v>221.62700000000001</v>
      </c>
      <c r="D89" s="1727"/>
      <c r="E89" s="1730">
        <v>90.459000000000003</v>
      </c>
      <c r="F89" s="1727"/>
      <c r="G89" s="1730">
        <v>0</v>
      </c>
      <c r="H89" s="1727"/>
      <c r="I89" s="1730">
        <v>-22.850999999999999</v>
      </c>
      <c r="J89" s="1760"/>
      <c r="K89" s="651">
        <f t="shared" si="5"/>
        <v>289.23500000000001</v>
      </c>
      <c r="L89" s="3222"/>
      <c r="M89" s="2179"/>
      <c r="N89" s="2179"/>
    </row>
    <row r="90" spans="1:15">
      <c r="A90" s="438" t="s">
        <v>300</v>
      </c>
      <c r="B90" s="735"/>
      <c r="C90" s="443">
        <f>ROUND(SUM(C28:C89),3)</f>
        <v>5609.5510000000004</v>
      </c>
      <c r="D90" s="442"/>
      <c r="E90" s="443">
        <f>ROUND(SUM(E28:E89),3)</f>
        <v>2062.7719999999999</v>
      </c>
      <c r="F90" s="442"/>
      <c r="G90" s="443">
        <f>ROUND(SUM(G28:G89),3)</f>
        <v>1627.951</v>
      </c>
      <c r="H90" s="442"/>
      <c r="I90" s="443">
        <f>ROUND(SUM(I28:I89),3)</f>
        <v>-7.07</v>
      </c>
      <c r="J90" s="442"/>
      <c r="K90" s="443">
        <f>ROUND(SUM(K28:K89),3)</f>
        <v>6037.3019999999997</v>
      </c>
      <c r="L90" s="2181"/>
      <c r="M90" s="3144"/>
      <c r="N90" s="2179"/>
      <c r="O90" s="3145"/>
    </row>
    <row r="91" spans="1:15" ht="11.25" customHeight="1">
      <c r="A91" s="735"/>
      <c r="B91" s="735"/>
      <c r="C91" s="737"/>
      <c r="D91" s="735"/>
      <c r="E91" s="737"/>
      <c r="F91" s="735"/>
      <c r="G91" s="737"/>
      <c r="H91" s="735"/>
      <c r="I91" s="737"/>
      <c r="J91" s="735"/>
      <c r="K91" s="737"/>
      <c r="L91" s="737"/>
      <c r="M91" s="2179"/>
      <c r="N91" s="2179"/>
    </row>
    <row r="92" spans="1:15">
      <c r="A92" s="439" t="s">
        <v>301</v>
      </c>
      <c r="B92" s="735"/>
      <c r="C92" s="735"/>
      <c r="D92" s="735"/>
      <c r="E92" s="735"/>
      <c r="F92" s="735"/>
      <c r="G92" s="735"/>
      <c r="H92" s="735"/>
      <c r="I92" s="735"/>
      <c r="J92" s="735"/>
      <c r="K92" s="735"/>
      <c r="L92" s="737"/>
      <c r="M92" s="2179"/>
      <c r="N92" s="2179"/>
    </row>
    <row r="93" spans="1:15">
      <c r="A93" s="735" t="s">
        <v>967</v>
      </c>
      <c r="B93" s="735"/>
      <c r="C93" s="1730">
        <v>-6.9539999999999997</v>
      </c>
      <c r="D93" s="1727"/>
      <c r="E93" s="1730">
        <v>187.887</v>
      </c>
      <c r="F93" s="1727"/>
      <c r="G93" s="1730">
        <v>194.31200000000001</v>
      </c>
      <c r="H93" s="1727"/>
      <c r="I93" s="1730">
        <v>0</v>
      </c>
      <c r="J93" s="1760"/>
      <c r="K93" s="651">
        <f t="shared" ref="K93:K99" si="6">ROUND(SUM(C93)+SUM(E93)-SUM(G93)+SUM(I93),3)</f>
        <v>-13.379</v>
      </c>
      <c r="L93" s="738"/>
      <c r="M93" s="2179"/>
      <c r="N93" s="2179"/>
      <c r="O93" s="739"/>
    </row>
    <row r="94" spans="1:15">
      <c r="A94" s="735" t="s">
        <v>302</v>
      </c>
      <c r="B94" s="735"/>
      <c r="C94" s="1730">
        <v>1748.095</v>
      </c>
      <c r="D94" s="1727"/>
      <c r="E94" s="1730">
        <v>4369.8389999999999</v>
      </c>
      <c r="F94" s="1727"/>
      <c r="G94" s="1730">
        <v>4204.3779999999997</v>
      </c>
      <c r="H94" s="1727"/>
      <c r="I94" s="1730">
        <v>-173.17</v>
      </c>
      <c r="J94" s="1760"/>
      <c r="K94" s="651">
        <f>ROUND(SUM(C94)+SUM(E94)-SUM(G94)+SUM(I94),3)</f>
        <v>1740.386</v>
      </c>
      <c r="L94" s="738"/>
      <c r="M94" s="2179"/>
      <c r="N94" s="2179"/>
    </row>
    <row r="95" spans="1:15">
      <c r="A95" s="735" t="s">
        <v>303</v>
      </c>
      <c r="B95" s="440"/>
      <c r="C95" s="1730">
        <v>-73.906000000000006</v>
      </c>
      <c r="D95" s="1727"/>
      <c r="E95" s="1730">
        <v>276.3</v>
      </c>
      <c r="F95" s="1727"/>
      <c r="G95" s="1730">
        <v>239.69499999999999</v>
      </c>
      <c r="H95" s="1727"/>
      <c r="I95" s="1730">
        <v>-8.9999999999999993E-3</v>
      </c>
      <c r="J95" s="1760"/>
      <c r="K95" s="651">
        <f t="shared" si="6"/>
        <v>-37.31</v>
      </c>
      <c r="L95" s="738"/>
      <c r="M95" s="2179"/>
      <c r="N95" s="2179"/>
    </row>
    <row r="96" spans="1:15">
      <c r="A96" s="735" t="s">
        <v>304</v>
      </c>
      <c r="B96" s="735"/>
      <c r="C96" s="1730">
        <v>-231.49100000000001</v>
      </c>
      <c r="D96" s="1727"/>
      <c r="E96" s="1730">
        <v>135.17699999999999</v>
      </c>
      <c r="F96" s="1727"/>
      <c r="G96" s="1730">
        <v>165.86199999999999</v>
      </c>
      <c r="H96" s="1727"/>
      <c r="I96" s="1730">
        <v>-2.7930000000000001</v>
      </c>
      <c r="J96" s="1760"/>
      <c r="K96" s="651">
        <f t="shared" si="6"/>
        <v>-264.96899999999999</v>
      </c>
      <c r="L96" s="738"/>
      <c r="M96" s="740"/>
    </row>
    <row r="97" spans="1:15">
      <c r="A97" s="735" t="s">
        <v>305</v>
      </c>
      <c r="B97" s="735"/>
      <c r="C97" s="1730">
        <v>131.916</v>
      </c>
      <c r="D97" s="1727"/>
      <c r="E97" s="1730">
        <v>25.006</v>
      </c>
      <c r="F97" s="1727"/>
      <c r="G97" s="1730">
        <v>25.161000000000001</v>
      </c>
      <c r="H97" s="1727"/>
      <c r="I97" s="1730">
        <v>0</v>
      </c>
      <c r="J97" s="1760"/>
      <c r="K97" s="651">
        <f t="shared" si="6"/>
        <v>131.761</v>
      </c>
      <c r="L97" s="738"/>
      <c r="M97" s="2179"/>
      <c r="N97" s="2179"/>
    </row>
    <row r="98" spans="1:15">
      <c r="A98" s="735" t="s">
        <v>306</v>
      </c>
      <c r="B98" s="735"/>
      <c r="C98" s="1730">
        <v>-0.496</v>
      </c>
      <c r="D98" s="1727"/>
      <c r="E98" s="1730">
        <v>0.44</v>
      </c>
      <c r="F98" s="1727"/>
      <c r="G98" s="1730">
        <v>0.39800000000000002</v>
      </c>
      <c r="H98" s="1727"/>
      <c r="I98" s="1730">
        <v>0</v>
      </c>
      <c r="J98" s="1760"/>
      <c r="K98" s="651">
        <f t="shared" si="6"/>
        <v>-0.45400000000000001</v>
      </c>
      <c r="L98" s="738"/>
      <c r="M98" s="2179"/>
      <c r="N98" s="2179"/>
    </row>
    <row r="99" spans="1:15">
      <c r="A99" s="736" t="s">
        <v>307</v>
      </c>
      <c r="B99" s="735"/>
      <c r="C99" s="1730">
        <v>-1.369</v>
      </c>
      <c r="D99" s="1727"/>
      <c r="E99" s="1730">
        <v>6.9819999999999993</v>
      </c>
      <c r="F99" s="1727"/>
      <c r="G99" s="1730">
        <v>12.848000000000001</v>
      </c>
      <c r="H99" s="1727"/>
      <c r="I99" s="1730">
        <v>0</v>
      </c>
      <c r="J99" s="1760"/>
      <c r="K99" s="651">
        <f t="shared" si="6"/>
        <v>-7.2350000000000003</v>
      </c>
      <c r="L99" s="738"/>
      <c r="M99" s="2179"/>
      <c r="N99" s="2179"/>
    </row>
    <row r="100" spans="1:15">
      <c r="A100" s="438" t="s">
        <v>308</v>
      </c>
      <c r="B100" s="735"/>
      <c r="C100" s="443">
        <f>ROUND(SUM(C93:C99),3)</f>
        <v>1565.7950000000001</v>
      </c>
      <c r="D100" s="442"/>
      <c r="E100" s="443">
        <f>ROUND(SUM(E93:E99),3)</f>
        <v>5001.6310000000003</v>
      </c>
      <c r="F100" s="442"/>
      <c r="G100" s="443">
        <f>ROUND(SUM(G93:G99),3)</f>
        <v>4842.6540000000005</v>
      </c>
      <c r="H100" s="442"/>
      <c r="I100" s="443">
        <f>ROUND(SUM(I93:I99),3)</f>
        <v>-175.97200000000001</v>
      </c>
      <c r="J100" s="442"/>
      <c r="K100" s="443">
        <f>ROUND(SUM(K93:K99),3)</f>
        <v>1548.8</v>
      </c>
      <c r="L100" s="444"/>
      <c r="M100" s="2179"/>
      <c r="N100" s="2179"/>
    </row>
    <row r="101" spans="1:15" ht="12" customHeight="1">
      <c r="A101" s="442"/>
      <c r="B101" s="735"/>
      <c r="C101" s="737"/>
      <c r="D101" s="735"/>
      <c r="E101" s="737"/>
      <c r="F101" s="735"/>
      <c r="G101" s="737"/>
      <c r="H101" s="735"/>
      <c r="I101" s="737"/>
      <c r="J101" s="735"/>
      <c r="K101" s="737"/>
      <c r="L101" s="737"/>
      <c r="M101" s="2179"/>
      <c r="N101" s="2179"/>
    </row>
    <row r="102" spans="1:15">
      <c r="A102" s="3146" t="s">
        <v>309</v>
      </c>
      <c r="B102" s="735"/>
      <c r="C102" s="2265">
        <f>C90+C100</f>
        <v>7175.3460000000005</v>
      </c>
      <c r="D102" s="442"/>
      <c r="E102" s="2265">
        <f>E90+E100</f>
        <v>7064.4030000000002</v>
      </c>
      <c r="F102" s="442"/>
      <c r="G102" s="2265">
        <f>G90+G100</f>
        <v>6470.6050000000005</v>
      </c>
      <c r="H102" s="442"/>
      <c r="I102" s="2265">
        <f>I90+I100</f>
        <v>-183.042</v>
      </c>
      <c r="J102" s="442"/>
      <c r="K102" s="2265">
        <f>K90+K100</f>
        <v>7586.1019999999999</v>
      </c>
      <c r="L102" s="444"/>
      <c r="M102" s="3144"/>
      <c r="N102" s="3144"/>
      <c r="O102" s="739"/>
    </row>
    <row r="103" spans="1:15" ht="10.5" customHeight="1">
      <c r="A103" s="3147"/>
      <c r="B103" s="735"/>
      <c r="C103" s="737"/>
      <c r="D103" s="735"/>
      <c r="E103" s="737"/>
      <c r="F103" s="735"/>
      <c r="G103" s="737"/>
      <c r="H103" s="735"/>
      <c r="I103" s="737"/>
      <c r="J103" s="735"/>
      <c r="K103" s="737"/>
      <c r="L103" s="737"/>
      <c r="M103" s="2179"/>
      <c r="N103" s="2179"/>
    </row>
    <row r="104" spans="1:15" ht="17.25">
      <c r="A104" s="439" t="s">
        <v>185</v>
      </c>
      <c r="B104" s="735"/>
      <c r="C104" s="735"/>
      <c r="D104" s="735"/>
      <c r="E104" s="691"/>
      <c r="F104" s="691"/>
      <c r="G104" s="691"/>
      <c r="H104" s="691"/>
      <c r="I104" s="691"/>
      <c r="J104" s="440"/>
      <c r="K104" s="691"/>
      <c r="L104" s="737"/>
      <c r="M104" s="2179"/>
      <c r="N104" s="2179"/>
    </row>
    <row r="105" spans="1:15">
      <c r="A105" s="735" t="s">
        <v>310</v>
      </c>
      <c r="B105" s="735"/>
      <c r="C105" s="1730">
        <v>0</v>
      </c>
      <c r="D105" s="1727"/>
      <c r="E105" s="1730">
        <v>0</v>
      </c>
      <c r="F105" s="1727"/>
      <c r="G105" s="1730">
        <v>0</v>
      </c>
      <c r="H105" s="1727"/>
      <c r="I105" s="1730">
        <v>0</v>
      </c>
      <c r="J105" s="1760"/>
      <c r="K105" s="651">
        <f t="shared" ref="K105:K111" si="7">ROUND(SUM(C105)+SUM(E105)-SUM(G105)+SUM(I105),3)</f>
        <v>0</v>
      </c>
      <c r="L105" s="2182"/>
    </row>
    <row r="106" spans="1:15">
      <c r="A106" s="735" t="s">
        <v>311</v>
      </c>
      <c r="B106" s="735"/>
      <c r="C106" s="1730">
        <v>334.94400000000002</v>
      </c>
      <c r="D106" s="1727"/>
      <c r="E106" s="1730">
        <v>20.809000000000001</v>
      </c>
      <c r="F106" s="1727"/>
      <c r="G106" s="1730">
        <v>0.22600000000000001</v>
      </c>
      <c r="H106" s="1727"/>
      <c r="I106" s="1730">
        <v>-334.61900000000003</v>
      </c>
      <c r="J106" s="1760"/>
      <c r="K106" s="651">
        <f t="shared" si="7"/>
        <v>20.908000000000001</v>
      </c>
      <c r="L106" s="738"/>
      <c r="M106" s="2179"/>
      <c r="N106" s="2179"/>
    </row>
    <row r="107" spans="1:15">
      <c r="A107" s="735" t="s">
        <v>312</v>
      </c>
      <c r="B107" s="735"/>
      <c r="C107" s="1730">
        <v>2201.7040000000002</v>
      </c>
      <c r="D107" s="1727"/>
      <c r="E107" s="1730">
        <v>2144.8270000000002</v>
      </c>
      <c r="F107" s="1727"/>
      <c r="G107" s="1730">
        <v>721.28399999999999</v>
      </c>
      <c r="H107" s="1727"/>
      <c r="I107" s="1730">
        <v>-941.68399999999997</v>
      </c>
      <c r="J107" s="1760"/>
      <c r="K107" s="651">
        <f t="shared" si="7"/>
        <v>2683.5630000000001</v>
      </c>
      <c r="L107" s="738"/>
      <c r="M107" s="2179"/>
      <c r="N107" s="2179"/>
    </row>
    <row r="108" spans="1:15">
      <c r="A108" s="735" t="s">
        <v>313</v>
      </c>
      <c r="B108" s="735"/>
      <c r="C108" s="1730">
        <v>0</v>
      </c>
      <c r="D108" s="1727"/>
      <c r="E108" s="1730">
        <v>1.149</v>
      </c>
      <c r="F108" s="1727"/>
      <c r="G108" s="1730">
        <v>0</v>
      </c>
      <c r="H108" s="1727"/>
      <c r="I108" s="1730">
        <v>-1.149</v>
      </c>
      <c r="J108" s="1760"/>
      <c r="K108" s="651">
        <f t="shared" si="7"/>
        <v>0</v>
      </c>
      <c r="L108" s="2182"/>
      <c r="M108" s="2179"/>
      <c r="N108" s="2179"/>
    </row>
    <row r="109" spans="1:15">
      <c r="A109" s="735" t="s">
        <v>314</v>
      </c>
      <c r="B109" s="735"/>
      <c r="C109" s="1730">
        <v>20.757000000000001</v>
      </c>
      <c r="D109" s="1727"/>
      <c r="E109" s="1730">
        <v>10.717000000000001</v>
      </c>
      <c r="F109" s="1727"/>
      <c r="G109" s="1730">
        <v>0</v>
      </c>
      <c r="H109" s="1727"/>
      <c r="I109" s="1730">
        <v>-9.0470000000000006</v>
      </c>
      <c r="J109" s="1760"/>
      <c r="K109" s="651">
        <f t="shared" si="7"/>
        <v>22.427</v>
      </c>
      <c r="L109" s="738"/>
      <c r="M109" s="2179"/>
      <c r="N109" s="2179"/>
    </row>
    <row r="110" spans="1:15">
      <c r="A110" s="735" t="s">
        <v>315</v>
      </c>
      <c r="B110" s="735"/>
      <c r="C110" s="1730">
        <v>24.114999999999998</v>
      </c>
      <c r="D110" s="1727"/>
      <c r="E110" s="1730">
        <v>72.245999999999995</v>
      </c>
      <c r="F110" s="1727"/>
      <c r="G110" s="1730">
        <v>0</v>
      </c>
      <c r="H110" s="1727"/>
      <c r="I110" s="1730">
        <v>-92.72</v>
      </c>
      <c r="J110" s="1760"/>
      <c r="K110" s="651">
        <f t="shared" si="7"/>
        <v>3.641</v>
      </c>
      <c r="L110" s="738"/>
      <c r="M110" s="2179"/>
      <c r="N110" s="2179"/>
    </row>
    <row r="111" spans="1:15">
      <c r="A111" s="736" t="s">
        <v>316</v>
      </c>
      <c r="B111" s="735"/>
      <c r="C111" s="1730">
        <v>0</v>
      </c>
      <c r="D111" s="1727"/>
      <c r="E111" s="1730">
        <v>261.06299999999999</v>
      </c>
      <c r="F111" s="1727"/>
      <c r="G111" s="1730">
        <v>0</v>
      </c>
      <c r="H111" s="1727"/>
      <c r="I111" s="1730">
        <v>18.957999999999998</v>
      </c>
      <c r="J111" s="1760"/>
      <c r="K111" s="651">
        <f t="shared" si="7"/>
        <v>280.02100000000002</v>
      </c>
      <c r="L111" s="738"/>
      <c r="M111" s="2179"/>
      <c r="N111" s="2179"/>
    </row>
    <row r="112" spans="1:15">
      <c r="A112" s="3148" t="s">
        <v>317</v>
      </c>
      <c r="B112" s="3149"/>
      <c r="C112" s="443">
        <f>ROUND(SUM(C105:C111),3)</f>
        <v>2581.52</v>
      </c>
      <c r="D112" s="445"/>
      <c r="E112" s="443">
        <f>ROUND(SUM(E105:E111),3)</f>
        <v>2510.8110000000001</v>
      </c>
      <c r="F112" s="445"/>
      <c r="G112" s="443">
        <f>ROUND(SUM(G105:G111),3)</f>
        <v>721.51</v>
      </c>
      <c r="H112" s="445"/>
      <c r="I112" s="443">
        <f>ROUND(SUM(I105:I111),3)</f>
        <v>-1360.261</v>
      </c>
      <c r="J112" s="445"/>
      <c r="K112" s="443">
        <f>ROUND(SUM(K105:K111),3)</f>
        <v>3010.56</v>
      </c>
      <c r="L112" s="444"/>
      <c r="M112" s="3144"/>
      <c r="N112" s="2179"/>
    </row>
    <row r="113" spans="1:14">
      <c r="A113" s="735"/>
      <c r="B113" s="735"/>
      <c r="C113" s="737"/>
      <c r="D113" s="735"/>
      <c r="E113" s="737"/>
      <c r="F113" s="735"/>
      <c r="G113" s="737"/>
      <c r="H113" s="735"/>
      <c r="I113" s="737"/>
      <c r="J113" s="735"/>
      <c r="K113" s="737" t="s">
        <v>15</v>
      </c>
      <c r="L113" s="737"/>
      <c r="M113" s="2179"/>
      <c r="N113" s="2179"/>
    </row>
    <row r="114" spans="1:14">
      <c r="A114" s="3150" t="s">
        <v>935</v>
      </c>
      <c r="B114" s="735"/>
      <c r="K114" s="739"/>
      <c r="L114" s="738"/>
      <c r="M114" s="2179"/>
      <c r="N114" s="2179"/>
    </row>
    <row r="115" spans="1:14">
      <c r="A115" s="735" t="s">
        <v>318</v>
      </c>
      <c r="B115" s="1760"/>
      <c r="C115" s="1730">
        <v>0</v>
      </c>
      <c r="D115" s="1727"/>
      <c r="E115" s="1730">
        <v>2.9529999999999998</v>
      </c>
      <c r="F115" s="1727"/>
      <c r="G115" s="1730">
        <v>315.94799999999998</v>
      </c>
      <c r="H115" s="1727"/>
      <c r="I115" s="1730">
        <v>312.995</v>
      </c>
      <c r="J115" s="1760"/>
      <c r="K115" s="651">
        <f>ROUND(SUM(C115)+SUM(E115)-SUM(G115)+SUM(I115),3)</f>
        <v>0</v>
      </c>
      <c r="L115" s="2182"/>
      <c r="M115" s="2179"/>
      <c r="N115" s="740"/>
    </row>
    <row r="116" spans="1:14">
      <c r="A116" s="735" t="s">
        <v>319</v>
      </c>
      <c r="B116" s="736"/>
      <c r="C116" s="1730">
        <v>-77.698999999999998</v>
      </c>
      <c r="D116" s="1727"/>
      <c r="E116" s="1730">
        <v>153.88</v>
      </c>
      <c r="F116" s="1727"/>
      <c r="G116" s="1730">
        <v>133.77799999999999</v>
      </c>
      <c r="H116" s="1727"/>
      <c r="I116" s="1730">
        <v>37.064999999999998</v>
      </c>
      <c r="J116" s="1760"/>
      <c r="K116" s="651">
        <f>ROUND(SUM(C116)+SUM(E116)-SUM(G116)+SUM(I116),3)</f>
        <v>-20.532</v>
      </c>
      <c r="L116" s="738"/>
      <c r="M116" s="2179"/>
      <c r="N116" s="2179"/>
    </row>
    <row r="117" spans="1:14">
      <c r="A117" s="735" t="s">
        <v>320</v>
      </c>
      <c r="B117" s="735"/>
      <c r="C117" s="1730">
        <v>148.738</v>
      </c>
      <c r="D117" s="1727"/>
      <c r="E117" s="1730">
        <v>0.21099999999999999</v>
      </c>
      <c r="F117" s="1727"/>
      <c r="G117" s="1730">
        <v>4.7539999999999996</v>
      </c>
      <c r="H117" s="1727"/>
      <c r="I117" s="1730">
        <v>1.325</v>
      </c>
      <c r="J117" s="1760"/>
      <c r="K117" s="651">
        <f t="shared" ref="K117:K130" si="8">ROUND(SUM(C117)+SUM(E117)-SUM(G117)+SUM(I117),3)</f>
        <v>145.52000000000001</v>
      </c>
      <c r="L117" s="738"/>
      <c r="M117" s="2179"/>
      <c r="N117" s="2179"/>
    </row>
    <row r="118" spans="1:14">
      <c r="A118" s="735" t="s">
        <v>321</v>
      </c>
      <c r="B118" s="735"/>
      <c r="C118" s="1730">
        <v>13.321999999999999</v>
      </c>
      <c r="D118" s="1727"/>
      <c r="E118" s="1730">
        <v>1.7999999999999999E-2</v>
      </c>
      <c r="F118" s="1727"/>
      <c r="G118" s="1730">
        <v>0</v>
      </c>
      <c r="H118" s="1727"/>
      <c r="I118" s="1730">
        <v>0</v>
      </c>
      <c r="J118" s="1760"/>
      <c r="K118" s="651">
        <f t="shared" si="8"/>
        <v>13.34</v>
      </c>
      <c r="L118" s="738"/>
      <c r="M118" s="2179"/>
      <c r="N118" s="2179"/>
    </row>
    <row r="119" spans="1:14">
      <c r="A119" s="735" t="s">
        <v>322</v>
      </c>
      <c r="B119" s="735"/>
      <c r="C119" s="1730">
        <v>-18.832000000000001</v>
      </c>
      <c r="D119" s="1727"/>
      <c r="E119" s="1730">
        <v>5.0000000000000001E-3</v>
      </c>
      <c r="F119" s="1727"/>
      <c r="G119" s="1730">
        <v>14.869</v>
      </c>
      <c r="H119" s="1727"/>
      <c r="I119" s="1730">
        <v>0</v>
      </c>
      <c r="J119" s="1760"/>
      <c r="K119" s="651">
        <f>ROUND(SUM(C119)+SUM(E119)-SUM(G119)+SUM(I119),3)</f>
        <v>-33.695999999999998</v>
      </c>
      <c r="L119" s="738"/>
      <c r="M119" s="2179"/>
      <c r="N119" s="2179"/>
    </row>
    <row r="120" spans="1:14">
      <c r="A120" s="735" t="s">
        <v>323</v>
      </c>
      <c r="B120" s="735"/>
      <c r="C120" s="1730">
        <v>1.4999999999999999E-2</v>
      </c>
      <c r="D120" s="1727"/>
      <c r="E120" s="1730">
        <v>0</v>
      </c>
      <c r="F120" s="1727"/>
      <c r="G120" s="1730">
        <v>0</v>
      </c>
      <c r="H120" s="1727"/>
      <c r="I120" s="1730">
        <v>0</v>
      </c>
      <c r="J120" s="1760"/>
      <c r="K120" s="651">
        <f t="shared" si="8"/>
        <v>1.4999999999999999E-2</v>
      </c>
      <c r="L120" s="738"/>
      <c r="M120" s="2179"/>
      <c r="N120" s="2179"/>
    </row>
    <row r="121" spans="1:14">
      <c r="A121" s="735" t="s">
        <v>324</v>
      </c>
      <c r="B121" s="735"/>
      <c r="C121" s="1730">
        <v>104.32799999999999</v>
      </c>
      <c r="D121" s="1727"/>
      <c r="E121" s="1730">
        <v>12.952999999999999</v>
      </c>
      <c r="F121" s="1727"/>
      <c r="G121" s="1730">
        <v>19.171999999999997</v>
      </c>
      <c r="H121" s="1727"/>
      <c r="I121" s="1730">
        <v>0</v>
      </c>
      <c r="J121" s="1760"/>
      <c r="K121" s="651">
        <f t="shared" si="8"/>
        <v>98.108999999999995</v>
      </c>
      <c r="L121" s="738"/>
      <c r="M121" s="2179"/>
      <c r="N121" s="2179"/>
    </row>
    <row r="122" spans="1:14">
      <c r="A122" s="735" t="s">
        <v>325</v>
      </c>
      <c r="B122" s="735"/>
      <c r="C122" s="1730">
        <v>0</v>
      </c>
      <c r="D122" s="1727"/>
      <c r="E122" s="1730">
        <v>0</v>
      </c>
      <c r="F122" s="1727"/>
      <c r="G122" s="1730">
        <v>0</v>
      </c>
      <c r="H122" s="1727"/>
      <c r="I122" s="1730">
        <v>0</v>
      </c>
      <c r="J122" s="1760"/>
      <c r="K122" s="651">
        <f t="shared" si="8"/>
        <v>0</v>
      </c>
      <c r="L122" s="738"/>
      <c r="M122" s="2179"/>
      <c r="N122" s="2179"/>
    </row>
    <row r="123" spans="1:14">
      <c r="A123" s="735" t="s">
        <v>326</v>
      </c>
      <c r="B123" s="735"/>
      <c r="C123" s="1730">
        <v>0.16400000000000001</v>
      </c>
      <c r="D123" s="1727"/>
      <c r="E123" s="1730">
        <v>0</v>
      </c>
      <c r="F123" s="1727"/>
      <c r="G123" s="1730">
        <v>0</v>
      </c>
      <c r="H123" s="1727"/>
      <c r="I123" s="1730">
        <v>0</v>
      </c>
      <c r="J123" s="1760"/>
      <c r="K123" s="651">
        <f t="shared" si="8"/>
        <v>0.16400000000000001</v>
      </c>
      <c r="L123" s="738"/>
      <c r="M123" s="2179"/>
      <c r="N123" s="2179"/>
    </row>
    <row r="124" spans="1:14">
      <c r="A124" s="735" t="s">
        <v>965</v>
      </c>
      <c r="B124" s="735"/>
      <c r="C124" s="1730">
        <v>0</v>
      </c>
      <c r="D124" s="1727"/>
      <c r="E124" s="1730">
        <v>0</v>
      </c>
      <c r="F124" s="1727"/>
      <c r="G124" s="1730">
        <v>0</v>
      </c>
      <c r="H124" s="1727"/>
      <c r="I124" s="1730">
        <v>0</v>
      </c>
      <c r="J124" s="1760"/>
      <c r="K124" s="651">
        <f t="shared" si="8"/>
        <v>0</v>
      </c>
      <c r="L124" s="738"/>
      <c r="M124" s="2179"/>
      <c r="N124" s="2179"/>
    </row>
    <row r="125" spans="1:14">
      <c r="A125" s="735" t="s">
        <v>327</v>
      </c>
      <c r="B125" s="735"/>
      <c r="C125" s="1730">
        <v>0.66800000000000004</v>
      </c>
      <c r="D125" s="1727"/>
      <c r="E125" s="1730">
        <v>0</v>
      </c>
      <c r="F125" s="1727"/>
      <c r="G125" s="1730">
        <v>0</v>
      </c>
      <c r="H125" s="1727"/>
      <c r="I125" s="1730">
        <v>0</v>
      </c>
      <c r="J125" s="1760"/>
      <c r="K125" s="651">
        <f t="shared" si="8"/>
        <v>0.66800000000000004</v>
      </c>
      <c r="L125" s="738"/>
      <c r="M125" s="2179"/>
      <c r="N125" s="2179"/>
    </row>
    <row r="126" spans="1:14">
      <c r="A126" s="735" t="s">
        <v>328</v>
      </c>
      <c r="B126" s="735"/>
      <c r="C126" s="1730">
        <v>3.3279999999999998</v>
      </c>
      <c r="D126" s="1727"/>
      <c r="E126" s="1730">
        <v>0</v>
      </c>
      <c r="F126" s="1727"/>
      <c r="G126" s="1730">
        <v>0</v>
      </c>
      <c r="H126" s="1727"/>
      <c r="I126" s="1730">
        <v>0</v>
      </c>
      <c r="J126" s="1760"/>
      <c r="K126" s="651">
        <f t="shared" si="8"/>
        <v>3.3279999999999998</v>
      </c>
      <c r="L126" s="738"/>
      <c r="M126" s="2179"/>
      <c r="N126" s="2179"/>
    </row>
    <row r="127" spans="1:14">
      <c r="A127" s="735" t="s">
        <v>329</v>
      </c>
      <c r="B127" s="735"/>
      <c r="C127" s="1730">
        <v>1.419</v>
      </c>
      <c r="D127" s="1727"/>
      <c r="E127" s="1730">
        <v>0</v>
      </c>
      <c r="F127" s="1727"/>
      <c r="G127" s="1730">
        <v>0</v>
      </c>
      <c r="H127" s="1727"/>
      <c r="I127" s="1730">
        <v>0</v>
      </c>
      <c r="J127" s="1760"/>
      <c r="K127" s="651">
        <f t="shared" si="8"/>
        <v>1.419</v>
      </c>
      <c r="L127" s="738"/>
      <c r="M127" s="2179"/>
      <c r="N127" s="2179"/>
    </row>
    <row r="128" spans="1:14">
      <c r="A128" s="735" t="s">
        <v>330</v>
      </c>
      <c r="B128" s="735"/>
      <c r="C128" s="1730">
        <v>17.329000000000001</v>
      </c>
      <c r="D128" s="1727"/>
      <c r="E128" s="1730">
        <v>0</v>
      </c>
      <c r="F128" s="1727"/>
      <c r="G128" s="1730">
        <v>0</v>
      </c>
      <c r="H128" s="1727"/>
      <c r="I128" s="1730">
        <v>0</v>
      </c>
      <c r="J128" s="1760"/>
      <c r="K128" s="651">
        <f t="shared" si="8"/>
        <v>17.329000000000001</v>
      </c>
      <c r="L128" s="738"/>
      <c r="M128" s="2179"/>
      <c r="N128" s="2179"/>
    </row>
    <row r="129" spans="1:14">
      <c r="A129" s="735" t="s">
        <v>331</v>
      </c>
      <c r="B129" s="735"/>
      <c r="C129" s="1730">
        <v>4.2549999999999999</v>
      </c>
      <c r="D129" s="1727"/>
      <c r="E129" s="1730">
        <v>0</v>
      </c>
      <c r="F129" s="1727"/>
      <c r="G129" s="1730">
        <v>0</v>
      </c>
      <c r="H129" s="1727"/>
      <c r="I129" s="1730">
        <v>0</v>
      </c>
      <c r="J129" s="1760"/>
      <c r="K129" s="651">
        <f t="shared" si="8"/>
        <v>4.2549999999999999</v>
      </c>
      <c r="L129" s="738"/>
      <c r="M129" s="2179"/>
      <c r="N129" s="740"/>
    </row>
    <row r="130" spans="1:14">
      <c r="A130" s="735" t="s">
        <v>332</v>
      </c>
      <c r="B130" s="735"/>
      <c r="C130" s="1730">
        <v>5.5510000000000002</v>
      </c>
      <c r="D130" s="1727"/>
      <c r="E130" s="1730">
        <v>0</v>
      </c>
      <c r="F130" s="1727"/>
      <c r="G130" s="1730">
        <v>0</v>
      </c>
      <c r="H130" s="1727"/>
      <c r="I130" s="1730">
        <v>0</v>
      </c>
      <c r="J130" s="1760"/>
      <c r="K130" s="651">
        <f t="shared" si="8"/>
        <v>5.5510000000000002</v>
      </c>
      <c r="L130" s="738"/>
      <c r="M130" s="2179"/>
      <c r="N130" s="2179"/>
    </row>
    <row r="131" spans="1:14">
      <c r="A131" s="735" t="s">
        <v>333</v>
      </c>
      <c r="B131" s="735"/>
      <c r="C131" s="3599"/>
      <c r="D131" s="1758"/>
      <c r="E131" s="1761"/>
      <c r="F131" s="1727"/>
      <c r="G131" s="1761" t="s">
        <v>15</v>
      </c>
      <c r="H131" s="1727"/>
      <c r="I131" s="1761"/>
      <c r="J131" s="735"/>
      <c r="K131" s="2280"/>
      <c r="L131" s="738"/>
      <c r="M131" s="2179"/>
      <c r="N131" s="2179"/>
    </row>
    <row r="132" spans="1:14">
      <c r="A132" s="735" t="s">
        <v>334</v>
      </c>
      <c r="B132" s="735"/>
      <c r="C132" s="1730">
        <v>2.778</v>
      </c>
      <c r="D132" s="1727"/>
      <c r="E132" s="1730">
        <v>0</v>
      </c>
      <c r="F132" s="1727"/>
      <c r="G132" s="1730">
        <v>0</v>
      </c>
      <c r="H132" s="1727"/>
      <c r="I132" s="1730">
        <v>0</v>
      </c>
      <c r="J132" s="1760"/>
      <c r="K132" s="651">
        <f>ROUND(SUM(C132)+SUM(E132)-SUM(G132)+SUM(I132),3)</f>
        <v>2.778</v>
      </c>
      <c r="L132" s="738"/>
      <c r="M132" s="2179"/>
      <c r="N132" s="2179"/>
    </row>
    <row r="133" spans="1:14">
      <c r="A133" s="735" t="s">
        <v>335</v>
      </c>
      <c r="B133" s="735"/>
      <c r="C133" s="1730">
        <v>1.4279999999999999</v>
      </c>
      <c r="D133" s="1727"/>
      <c r="E133" s="1730">
        <v>0</v>
      </c>
      <c r="F133" s="1727"/>
      <c r="G133" s="1730">
        <v>0</v>
      </c>
      <c r="H133" s="1727"/>
      <c r="I133" s="1730">
        <v>0</v>
      </c>
      <c r="J133" s="1760"/>
      <c r="K133" s="651">
        <f t="shared" ref="K133:K153" si="9">ROUND(SUM(C133)+SUM(E133)-SUM(G133)+SUM(I133),3)</f>
        <v>1.4279999999999999</v>
      </c>
      <c r="L133" s="738"/>
      <c r="M133" s="2179"/>
      <c r="N133" s="2179"/>
    </row>
    <row r="134" spans="1:14">
      <c r="A134" s="735" t="s">
        <v>1222</v>
      </c>
      <c r="B134" s="735"/>
      <c r="C134" s="1730">
        <v>0</v>
      </c>
      <c r="D134" s="1727"/>
      <c r="E134" s="1730">
        <v>0</v>
      </c>
      <c r="F134" s="1727"/>
      <c r="G134" s="1730">
        <v>0</v>
      </c>
      <c r="H134" s="1727"/>
      <c r="I134" s="1730">
        <v>0</v>
      </c>
      <c r="J134" s="1760"/>
      <c r="K134" s="651">
        <f t="shared" si="9"/>
        <v>0</v>
      </c>
      <c r="L134" s="738"/>
      <c r="M134" s="2179"/>
      <c r="N134" s="2179"/>
    </row>
    <row r="135" spans="1:14">
      <c r="A135" s="735" t="s">
        <v>1301</v>
      </c>
      <c r="B135" s="735"/>
      <c r="C135" s="1730">
        <v>0</v>
      </c>
      <c r="D135" s="1727"/>
      <c r="E135" s="1730">
        <v>0</v>
      </c>
      <c r="F135" s="1727"/>
      <c r="G135" s="1730">
        <v>0</v>
      </c>
      <c r="H135" s="1727"/>
      <c r="I135" s="1730">
        <v>0</v>
      </c>
      <c r="J135" s="1760"/>
      <c r="K135" s="651">
        <f t="shared" si="9"/>
        <v>0</v>
      </c>
      <c r="L135" s="738"/>
      <c r="M135" s="2179"/>
      <c r="N135" s="2179"/>
    </row>
    <row r="136" spans="1:14">
      <c r="A136" s="735" t="s">
        <v>336</v>
      </c>
      <c r="B136" s="735"/>
      <c r="C136" s="1730">
        <v>0</v>
      </c>
      <c r="D136" s="1727"/>
      <c r="E136" s="1730">
        <v>0</v>
      </c>
      <c r="F136" s="1727"/>
      <c r="G136" s="1730">
        <v>0</v>
      </c>
      <c r="H136" s="1727"/>
      <c r="I136" s="1730">
        <v>0</v>
      </c>
      <c r="J136" s="1760"/>
      <c r="K136" s="651">
        <f t="shared" si="9"/>
        <v>0</v>
      </c>
      <c r="L136" s="738"/>
      <c r="M136" s="2179"/>
      <c r="N136" s="2179"/>
    </row>
    <row r="137" spans="1:14">
      <c r="A137" s="735" t="s">
        <v>337</v>
      </c>
      <c r="B137" s="735"/>
      <c r="C137" s="1730">
        <v>0</v>
      </c>
      <c r="D137" s="1727"/>
      <c r="E137" s="1730">
        <v>0</v>
      </c>
      <c r="F137" s="1727"/>
      <c r="G137" s="1730">
        <v>0</v>
      </c>
      <c r="H137" s="1727"/>
      <c r="I137" s="1730">
        <v>0</v>
      </c>
      <c r="J137" s="1760"/>
      <c r="K137" s="651">
        <f t="shared" si="9"/>
        <v>0</v>
      </c>
      <c r="L137" s="738"/>
      <c r="M137" s="2179"/>
      <c r="N137" s="2179"/>
    </row>
    <row r="138" spans="1:14">
      <c r="A138" s="735" t="s">
        <v>338</v>
      </c>
      <c r="B138" s="735"/>
      <c r="C138" s="1730">
        <v>-465.17399999999998</v>
      </c>
      <c r="D138" s="1727"/>
      <c r="E138" s="1730">
        <v>120.624</v>
      </c>
      <c r="F138" s="1727"/>
      <c r="G138" s="1730">
        <v>120.193</v>
      </c>
      <c r="H138" s="1727"/>
      <c r="I138" s="1730">
        <v>-102.01900000000001</v>
      </c>
      <c r="J138" s="1760"/>
      <c r="K138" s="651">
        <f>ROUND(SUM(C138)+SUM(E138)-SUM(G138)+SUM(I138),3)</f>
        <v>-566.76199999999994</v>
      </c>
      <c r="L138" s="738"/>
      <c r="M138" s="2179"/>
      <c r="N138" s="2179"/>
    </row>
    <row r="139" spans="1:14">
      <c r="A139" s="735" t="s">
        <v>339</v>
      </c>
      <c r="B139" s="735"/>
      <c r="C139" s="1730">
        <v>1.0760000000000001</v>
      </c>
      <c r="D139" s="1727"/>
      <c r="E139" s="1730">
        <v>2E-3</v>
      </c>
      <c r="F139" s="1727"/>
      <c r="G139" s="1730">
        <v>0</v>
      </c>
      <c r="H139" s="1727"/>
      <c r="I139" s="1730">
        <v>0</v>
      </c>
      <c r="J139" s="1760"/>
      <c r="K139" s="651">
        <f t="shared" si="9"/>
        <v>1.0780000000000001</v>
      </c>
      <c r="L139" s="2182"/>
      <c r="M139" s="2179"/>
      <c r="N139" s="740"/>
    </row>
    <row r="140" spans="1:14">
      <c r="A140" s="736" t="s">
        <v>340</v>
      </c>
      <c r="B140" s="735"/>
      <c r="C140" s="1730">
        <v>-69.709999999999994</v>
      </c>
      <c r="D140" s="1727"/>
      <c r="E140" s="1730">
        <v>0.86699999999999999</v>
      </c>
      <c r="F140" s="1727"/>
      <c r="G140" s="1730">
        <v>5.5430000000000001</v>
      </c>
      <c r="H140" s="1727"/>
      <c r="I140" s="1730">
        <v>-0.43099999999999999</v>
      </c>
      <c r="J140" s="1760"/>
      <c r="K140" s="651">
        <f t="shared" si="9"/>
        <v>-74.816999999999993</v>
      </c>
      <c r="L140" s="738"/>
      <c r="M140" s="2179"/>
      <c r="N140" s="2179"/>
    </row>
    <row r="141" spans="1:14">
      <c r="A141" s="735" t="s">
        <v>341</v>
      </c>
      <c r="B141" s="735"/>
      <c r="C141" s="1730">
        <v>0.53700000000000003</v>
      </c>
      <c r="D141" s="1727"/>
      <c r="E141" s="1730">
        <v>0</v>
      </c>
      <c r="F141" s="1727"/>
      <c r="G141" s="1730">
        <v>0</v>
      </c>
      <c r="H141" s="1727"/>
      <c r="I141" s="1730">
        <v>0</v>
      </c>
      <c r="J141" s="1760"/>
      <c r="K141" s="651">
        <f t="shared" si="9"/>
        <v>0.53700000000000003</v>
      </c>
      <c r="L141" s="738"/>
      <c r="M141" s="2179"/>
      <c r="N141" s="740"/>
    </row>
    <row r="142" spans="1:14">
      <c r="A142" s="735" t="s">
        <v>342</v>
      </c>
      <c r="B142" s="735"/>
      <c r="C142" s="1730">
        <v>-18.445</v>
      </c>
      <c r="D142" s="1727"/>
      <c r="E142" s="1730">
        <v>0</v>
      </c>
      <c r="F142" s="1727"/>
      <c r="G142" s="1730">
        <v>1.62</v>
      </c>
      <c r="H142" s="1727"/>
      <c r="I142" s="1730">
        <v>0</v>
      </c>
      <c r="J142" s="1760"/>
      <c r="K142" s="651">
        <f t="shared" si="9"/>
        <v>-20.065000000000001</v>
      </c>
      <c r="L142" s="738"/>
      <c r="M142" s="2179"/>
      <c r="N142" s="2179"/>
    </row>
    <row r="143" spans="1:14">
      <c r="A143" s="735" t="s">
        <v>343</v>
      </c>
      <c r="B143" s="735"/>
      <c r="C143" s="1730">
        <v>-12.942</v>
      </c>
      <c r="D143" s="1727"/>
      <c r="E143" s="1730">
        <v>0</v>
      </c>
      <c r="F143" s="1727"/>
      <c r="G143" s="1730">
        <v>0</v>
      </c>
      <c r="H143" s="1727"/>
      <c r="I143" s="1730">
        <v>0</v>
      </c>
      <c r="J143" s="1760"/>
      <c r="K143" s="651">
        <f t="shared" si="9"/>
        <v>-12.942</v>
      </c>
      <c r="L143" s="738"/>
      <c r="M143" s="2179"/>
      <c r="N143" s="2179"/>
    </row>
    <row r="144" spans="1:14">
      <c r="A144" s="735" t="s">
        <v>344</v>
      </c>
      <c r="B144" s="735"/>
      <c r="C144" s="1730">
        <v>-158.54400000000001</v>
      </c>
      <c r="D144" s="1727"/>
      <c r="E144" s="1730">
        <v>-2.5219999999999998</v>
      </c>
      <c r="F144" s="1727"/>
      <c r="G144" s="1730">
        <v>14.666</v>
      </c>
      <c r="H144" s="1727"/>
      <c r="I144" s="1730">
        <v>0</v>
      </c>
      <c r="J144" s="1760"/>
      <c r="K144" s="651">
        <f>ROUND(SUM(C144)+SUM(E144)-SUM(G144)+SUM(I144),3)</f>
        <v>-175.732</v>
      </c>
      <c r="L144" s="738"/>
      <c r="M144" s="2179"/>
      <c r="N144" s="2179"/>
    </row>
    <row r="145" spans="1:15">
      <c r="A145" s="735" t="s">
        <v>345</v>
      </c>
      <c r="B145" s="735"/>
      <c r="C145" s="1730">
        <v>17.364999999999998</v>
      </c>
      <c r="D145" s="1727"/>
      <c r="E145" s="1730">
        <v>4.5999999999999999E-2</v>
      </c>
      <c r="F145" s="1727"/>
      <c r="G145" s="2212">
        <v>0.215</v>
      </c>
      <c r="H145" s="1727"/>
      <c r="I145" s="1730">
        <v>0</v>
      </c>
      <c r="J145" s="1760"/>
      <c r="K145" s="651">
        <f t="shared" si="9"/>
        <v>17.196000000000002</v>
      </c>
      <c r="L145" s="738"/>
      <c r="M145" s="2179"/>
      <c r="N145" s="2179"/>
    </row>
    <row r="146" spans="1:15">
      <c r="A146" s="735" t="s">
        <v>973</v>
      </c>
      <c r="B146" s="735"/>
      <c r="C146" s="1730">
        <v>-11.968999999999999</v>
      </c>
      <c r="D146" s="1727"/>
      <c r="E146" s="1730">
        <v>0</v>
      </c>
      <c r="F146" s="1727"/>
      <c r="G146" s="1730">
        <v>0</v>
      </c>
      <c r="H146" s="1727"/>
      <c r="I146" s="1730">
        <v>0</v>
      </c>
      <c r="J146" s="1760"/>
      <c r="K146" s="651">
        <f t="shared" si="9"/>
        <v>-11.968999999999999</v>
      </c>
      <c r="L146" s="738"/>
      <c r="M146" s="2179"/>
      <c r="N146" s="2179"/>
    </row>
    <row r="147" spans="1:15">
      <c r="A147" s="735" t="s">
        <v>346</v>
      </c>
      <c r="B147" s="735"/>
      <c r="C147" s="1730">
        <v>111.119</v>
      </c>
      <c r="D147" s="1727"/>
      <c r="E147" s="1730">
        <v>1.607</v>
      </c>
      <c r="F147" s="1727"/>
      <c r="G147" s="1730">
        <v>11.772</v>
      </c>
      <c r="H147" s="1727"/>
      <c r="I147" s="1730">
        <v>1.29</v>
      </c>
      <c r="J147" s="1760"/>
      <c r="K147" s="651">
        <f>ROUND(SUM(C147)+SUM(E147)-SUM(G147)+SUM(I147),3)</f>
        <v>102.244</v>
      </c>
      <c r="L147" s="738"/>
      <c r="M147" s="2179"/>
      <c r="N147" s="2179"/>
    </row>
    <row r="148" spans="1:15">
      <c r="A148" s="735" t="s">
        <v>347</v>
      </c>
      <c r="B148" s="735"/>
      <c r="C148" s="1730">
        <v>1.0999999999999999E-2</v>
      </c>
      <c r="D148" s="1727"/>
      <c r="E148" s="1730">
        <v>3.0000000000000001E-3</v>
      </c>
      <c r="F148" s="1727"/>
      <c r="G148" s="1730">
        <v>0</v>
      </c>
      <c r="H148" s="1727"/>
      <c r="I148" s="1730">
        <v>0</v>
      </c>
      <c r="J148" s="1760"/>
      <c r="K148" s="651">
        <f t="shared" si="9"/>
        <v>1.4E-2</v>
      </c>
      <c r="L148" s="738"/>
      <c r="M148" s="2179"/>
      <c r="N148" s="2179"/>
    </row>
    <row r="149" spans="1:15">
      <c r="A149" s="735" t="s">
        <v>348</v>
      </c>
      <c r="B149" s="735"/>
      <c r="C149" s="1730">
        <v>-375.79700000000003</v>
      </c>
      <c r="D149" s="1727"/>
      <c r="E149" s="1730">
        <v>11.944000000000001</v>
      </c>
      <c r="F149" s="1727"/>
      <c r="G149" s="1730">
        <v>19.93</v>
      </c>
      <c r="H149" s="1727"/>
      <c r="I149" s="1730">
        <v>0</v>
      </c>
      <c r="J149" s="1760"/>
      <c r="K149" s="651">
        <f t="shared" si="9"/>
        <v>-383.78300000000002</v>
      </c>
      <c r="L149" s="2182"/>
      <c r="M149" s="2179"/>
      <c r="N149" s="2179"/>
    </row>
    <row r="150" spans="1:15">
      <c r="A150" s="735" t="s">
        <v>349</v>
      </c>
      <c r="B150" s="735"/>
      <c r="C150" s="1730">
        <v>-340.43099999999998</v>
      </c>
      <c r="D150" s="1727"/>
      <c r="E150" s="1730">
        <v>-2.1999999999999999E-2</v>
      </c>
      <c r="F150" s="1727"/>
      <c r="G150" s="2212">
        <v>35.511000000000003</v>
      </c>
      <c r="H150" s="1727"/>
      <c r="I150" s="1730">
        <v>0</v>
      </c>
      <c r="J150" s="1760"/>
      <c r="K150" s="651">
        <f t="shared" si="9"/>
        <v>-375.964</v>
      </c>
      <c r="L150" s="738"/>
      <c r="M150" s="2179"/>
      <c r="N150" s="2179"/>
    </row>
    <row r="151" spans="1:15">
      <c r="A151" s="735" t="s">
        <v>350</v>
      </c>
      <c r="B151" s="735"/>
      <c r="C151" s="1730">
        <v>161.43799999999999</v>
      </c>
      <c r="D151" s="1727"/>
      <c r="E151" s="1730">
        <v>14.297000000000001</v>
      </c>
      <c r="F151" s="1727"/>
      <c r="G151" s="2212">
        <v>5.6979999999999995</v>
      </c>
      <c r="H151" s="1727"/>
      <c r="I151" s="1730">
        <v>11.821</v>
      </c>
      <c r="J151" s="1760"/>
      <c r="K151" s="651">
        <f>ROUND(SUM(C151)+SUM(E151)-SUM(G151)+SUM(I151),3)</f>
        <v>181.858</v>
      </c>
      <c r="L151" s="738"/>
      <c r="M151" s="2179"/>
      <c r="N151" s="2179"/>
    </row>
    <row r="152" spans="1:15">
      <c r="A152" s="735" t="s">
        <v>351</v>
      </c>
      <c r="B152" s="735"/>
      <c r="C152" s="1730">
        <v>-50.491999999999997</v>
      </c>
      <c r="D152" s="1727"/>
      <c r="E152" s="1730">
        <v>2.8719999999999999</v>
      </c>
      <c r="F152" s="1727"/>
      <c r="G152" s="1730">
        <v>0.34899999999999998</v>
      </c>
      <c r="H152" s="1727"/>
      <c r="I152" s="1730">
        <v>0</v>
      </c>
      <c r="J152" s="1760"/>
      <c r="K152" s="651">
        <f t="shared" si="9"/>
        <v>-47.969000000000001</v>
      </c>
      <c r="L152" s="738"/>
      <c r="M152" s="2179"/>
      <c r="N152" s="740"/>
    </row>
    <row r="153" spans="1:15">
      <c r="A153" s="735" t="s">
        <v>1229</v>
      </c>
      <c r="B153" s="735"/>
      <c r="C153" s="1730">
        <v>58.304000000000002</v>
      </c>
      <c r="D153" s="1727"/>
      <c r="E153" s="1730">
        <v>0</v>
      </c>
      <c r="F153" s="1727"/>
      <c r="G153" s="1730">
        <v>47.833000000000006</v>
      </c>
      <c r="H153" s="1727"/>
      <c r="I153" s="1730">
        <v>50</v>
      </c>
      <c r="J153" s="1760"/>
      <c r="K153" s="651">
        <f t="shared" si="9"/>
        <v>60.470999999999997</v>
      </c>
      <c r="L153" s="738"/>
      <c r="M153" s="2179"/>
      <c r="N153" s="2179"/>
    </row>
    <row r="154" spans="1:15">
      <c r="A154" s="442" t="s">
        <v>352</v>
      </c>
      <c r="B154" s="735"/>
      <c r="C154" s="443">
        <f>ROUND(SUM(C115:C153),3)</f>
        <v>-946.86199999999997</v>
      </c>
      <c r="D154" s="442"/>
      <c r="E154" s="443">
        <f>ROUND(SUM(E115:E153),3)</f>
        <v>319.738</v>
      </c>
      <c r="F154" s="442"/>
      <c r="G154" s="443">
        <f>ROUND(SUM(G115:G153),3)</f>
        <v>751.851</v>
      </c>
      <c r="H154" s="442"/>
      <c r="I154" s="443">
        <f>ROUND(SUM(I115:I153),3)</f>
        <v>312.04599999999999</v>
      </c>
      <c r="J154" s="442"/>
      <c r="K154" s="443">
        <f>ROUND(SUM(K116:K153),3)</f>
        <v>-1066.9290000000001</v>
      </c>
      <c r="L154" s="444"/>
      <c r="M154" s="3144"/>
      <c r="N154" s="3144"/>
      <c r="O154" s="3151"/>
    </row>
    <row r="155" spans="1:15">
      <c r="A155" s="442"/>
      <c r="B155" s="735"/>
      <c r="C155" s="737"/>
      <c r="D155" s="735"/>
      <c r="E155" s="741"/>
      <c r="F155" s="742"/>
      <c r="G155" s="741"/>
      <c r="H155" s="742"/>
      <c r="I155" s="741"/>
      <c r="J155" s="735"/>
      <c r="K155" s="737"/>
      <c r="L155" s="737"/>
    </row>
    <row r="156" spans="1:15" ht="16.5" thickBot="1">
      <c r="A156" s="442" t="s">
        <v>353</v>
      </c>
      <c r="B156" s="445"/>
      <c r="C156" s="446">
        <f>ROUND(SUM(C24+C102+C112+C154),3)</f>
        <v>19627.991999999998</v>
      </c>
      <c r="D156" s="445"/>
      <c r="E156" s="446">
        <f>ROUND(SUM(E24+E102+E112+E154),3)</f>
        <v>12522.36</v>
      </c>
      <c r="F156" s="447"/>
      <c r="G156" s="446">
        <f>ROUND(SUM(G24+G102+G112+G154),3)</f>
        <v>11652.532999999999</v>
      </c>
      <c r="H156" s="447"/>
      <c r="I156" s="446">
        <f>ROUND(SUM(I24+I102+I112+I154),3)</f>
        <v>-4.7709999999999999</v>
      </c>
      <c r="J156" s="445"/>
      <c r="K156" s="446">
        <f>ROUND(SUM(K24+K102+K112+K154),3)</f>
        <v>20493.047999999999</v>
      </c>
      <c r="L156" s="448"/>
    </row>
    <row r="157" spans="1:15" ht="16.5" thickTop="1">
      <c r="A157" s="735"/>
      <c r="B157" s="735"/>
      <c r="C157" s="737" t="s">
        <v>15</v>
      </c>
      <c r="D157" s="735"/>
      <c r="E157" s="737"/>
      <c r="F157" s="735"/>
      <c r="G157" s="737"/>
      <c r="H157" s="735"/>
      <c r="I157" s="737"/>
      <c r="J157" s="735"/>
      <c r="K157" s="737"/>
      <c r="L157" s="737"/>
    </row>
    <row r="158" spans="1:15">
      <c r="A158" s="735"/>
      <c r="B158" s="735"/>
      <c r="C158" s="735"/>
      <c r="D158" s="735"/>
      <c r="E158" s="735"/>
      <c r="F158" s="735"/>
      <c r="G158" s="735"/>
      <c r="H158" s="735"/>
      <c r="I158" s="735"/>
      <c r="J158" s="735"/>
      <c r="K158" s="735"/>
      <c r="L158" s="737"/>
    </row>
    <row r="159" spans="1:15">
      <c r="A159" s="441"/>
      <c r="B159" s="735"/>
      <c r="C159" s="735"/>
      <c r="D159" s="735"/>
      <c r="E159" s="3585"/>
      <c r="F159" s="735"/>
      <c r="G159" s="735"/>
      <c r="H159" s="735"/>
      <c r="I159" s="742"/>
      <c r="J159" s="735"/>
      <c r="K159" s="3586"/>
      <c r="L159" s="737"/>
    </row>
    <row r="160" spans="1:15">
      <c r="A160" s="735" t="s">
        <v>15</v>
      </c>
      <c r="B160" s="735"/>
      <c r="C160" s="735"/>
      <c r="D160" s="735"/>
      <c r="E160" s="735"/>
      <c r="F160" s="735"/>
      <c r="G160" s="739"/>
      <c r="H160" s="735"/>
      <c r="I160" s="735"/>
      <c r="J160" s="735"/>
      <c r="K160" s="735"/>
      <c r="L160" s="737"/>
    </row>
    <row r="161" spans="1:12">
      <c r="A161" s="735"/>
      <c r="B161" s="735"/>
      <c r="C161" s="735"/>
      <c r="D161" s="735"/>
      <c r="E161" s="735"/>
      <c r="F161" s="735"/>
      <c r="G161" s="735"/>
      <c r="H161" s="735"/>
      <c r="I161" s="735"/>
      <c r="J161" s="735"/>
      <c r="K161" s="735"/>
      <c r="L161" s="737"/>
    </row>
    <row r="162" spans="1:12">
      <c r="A162" s="743"/>
      <c r="B162" s="735"/>
      <c r="C162" s="735"/>
      <c r="D162" s="735"/>
      <c r="E162" s="735"/>
      <c r="F162" s="735"/>
      <c r="G162" s="735"/>
      <c r="H162" s="735"/>
      <c r="I162" s="744"/>
      <c r="J162" s="735"/>
      <c r="K162" s="735"/>
      <c r="L162" s="737"/>
    </row>
    <row r="163" spans="1:12">
      <c r="I163" s="2266"/>
    </row>
    <row r="164" spans="1:12">
      <c r="I164" s="2266"/>
    </row>
    <row r="165" spans="1:12">
      <c r="I165" s="2266"/>
    </row>
    <row r="166" spans="1:12">
      <c r="I166" s="2266"/>
    </row>
    <row r="167" spans="1:12">
      <c r="I167" s="448"/>
    </row>
    <row r="168" spans="1:12">
      <c r="I168" s="2266"/>
    </row>
    <row r="169" spans="1:12">
      <c r="I169" s="2266"/>
    </row>
    <row r="170" spans="1:12">
      <c r="I170" s="2266"/>
    </row>
    <row r="171" spans="1:12">
      <c r="I171" s="2266"/>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workbookViewId="0"/>
  </sheetViews>
  <sheetFormatPr defaultColWidth="8.88671875" defaultRowHeight="18"/>
  <cols>
    <col min="1" max="1" width="55.88671875" style="2267" customWidth="1"/>
    <col min="2" max="2" width="6.109375" style="2267" customWidth="1"/>
    <col min="3" max="3" width="20.109375" style="2267" customWidth="1"/>
    <col min="4" max="4" width="3.109375" style="2267" customWidth="1"/>
    <col min="5" max="5" width="17.109375" style="2267" customWidth="1"/>
    <col min="6" max="6" width="3.5546875" style="2267" customWidth="1"/>
    <col min="7" max="7" width="18.109375" style="2267" customWidth="1"/>
    <col min="8" max="8" width="3.109375" style="2267" customWidth="1"/>
    <col min="9" max="9" width="18.5546875" style="2267" customWidth="1"/>
    <col min="10" max="10" width="3.44140625" style="2267" customWidth="1"/>
    <col min="11" max="11" width="22.109375" style="2267" customWidth="1"/>
    <col min="12" max="12" width="15.5546875" style="2267" customWidth="1"/>
    <col min="13" max="13" width="9.88671875" style="2267" bestFit="1" customWidth="1"/>
    <col min="14" max="16384" width="8.88671875" style="2267"/>
  </cols>
  <sheetData>
    <row r="1" spans="1:15">
      <c r="A1" s="1532" t="s">
        <v>979</v>
      </c>
    </row>
    <row r="2" spans="1:15">
      <c r="A2" s="3177"/>
    </row>
    <row r="3" spans="1:15" s="451" customFormat="1" ht="18" customHeight="1">
      <c r="A3" s="455" t="s">
        <v>0</v>
      </c>
      <c r="B3" s="3178"/>
      <c r="C3" s="3178"/>
      <c r="D3" s="3178"/>
      <c r="E3" s="2268"/>
      <c r="F3" s="2268"/>
      <c r="G3" s="449"/>
      <c r="H3" s="449"/>
      <c r="I3" s="455"/>
      <c r="J3" s="455"/>
      <c r="K3" s="458" t="s">
        <v>354</v>
      </c>
      <c r="L3" s="449"/>
      <c r="M3" s="449"/>
      <c r="N3" s="449"/>
      <c r="O3" s="449"/>
    </row>
    <row r="4" spans="1:15" s="451" customFormat="1" ht="18" customHeight="1">
      <c r="A4" s="455" t="s">
        <v>355</v>
      </c>
      <c r="B4" s="3178"/>
      <c r="C4" s="3178"/>
      <c r="D4" s="3178"/>
      <c r="E4" s="2268"/>
      <c r="F4" s="2268"/>
      <c r="G4" s="449"/>
      <c r="H4" s="449"/>
      <c r="I4" s="455"/>
      <c r="J4" s="455"/>
      <c r="K4" s="455"/>
      <c r="L4" s="449"/>
      <c r="M4" s="449"/>
      <c r="N4" s="449"/>
      <c r="O4" s="449"/>
    </row>
    <row r="5" spans="1:15" s="451" customFormat="1" ht="18" customHeight="1">
      <c r="A5" s="461" t="s">
        <v>1304</v>
      </c>
      <c r="B5" s="3178"/>
      <c r="C5" s="3178"/>
      <c r="D5" s="3178"/>
      <c r="E5" s="2268"/>
      <c r="F5" s="2268"/>
      <c r="G5" s="449"/>
      <c r="H5" s="449"/>
      <c r="I5" s="455"/>
      <c r="J5" s="455"/>
      <c r="K5" s="455"/>
      <c r="L5" s="449"/>
      <c r="M5" s="449"/>
      <c r="N5" s="449"/>
      <c r="O5" s="449"/>
    </row>
    <row r="6" spans="1:15" s="451" customFormat="1" ht="18" customHeight="1">
      <c r="A6" s="461" t="s">
        <v>356</v>
      </c>
      <c r="B6" s="3178"/>
      <c r="C6" s="3178"/>
      <c r="D6" s="3178"/>
      <c r="E6" s="2268"/>
      <c r="F6" s="2268"/>
      <c r="G6" s="449"/>
      <c r="H6" s="449"/>
      <c r="I6" s="455"/>
      <c r="J6" s="455"/>
      <c r="K6" s="455"/>
      <c r="L6" s="449"/>
      <c r="M6" s="449"/>
      <c r="N6" s="449"/>
      <c r="O6" s="449"/>
    </row>
    <row r="7" spans="1:15" s="451" customFormat="1" ht="18" customHeight="1">
      <c r="A7" s="461" t="s">
        <v>1397</v>
      </c>
      <c r="B7" s="3178"/>
      <c r="C7" s="3178"/>
      <c r="D7" s="3178"/>
      <c r="E7" s="2268"/>
      <c r="F7" s="2268"/>
      <c r="G7" s="449"/>
      <c r="H7" s="449"/>
      <c r="I7" s="455"/>
      <c r="J7" s="455"/>
      <c r="K7" s="455"/>
      <c r="L7" s="449"/>
      <c r="M7" s="449"/>
      <c r="N7" s="449"/>
      <c r="O7" s="449"/>
    </row>
    <row r="8" spans="1:15" s="451" customFormat="1" ht="18" customHeight="1">
      <c r="A8" s="461" t="str">
        <f>'Sch 1 '!A8</f>
        <v>FOR THE MONTH OF FEBRUARY 2020</v>
      </c>
      <c r="B8" s="3178"/>
      <c r="C8" s="3178"/>
      <c r="D8" s="3178"/>
      <c r="E8" s="2268"/>
      <c r="G8" s="2268"/>
      <c r="H8" s="449"/>
      <c r="I8" s="455"/>
      <c r="J8" s="455"/>
      <c r="K8" s="455"/>
      <c r="L8" s="449"/>
      <c r="M8" s="449"/>
      <c r="N8" s="449"/>
      <c r="O8" s="449"/>
    </row>
    <row r="9" spans="1:15" s="451" customFormat="1" ht="18" customHeight="1">
      <c r="A9" s="455" t="s">
        <v>1416</v>
      </c>
      <c r="B9" s="3178"/>
      <c r="C9" s="3178"/>
      <c r="D9" s="3178"/>
      <c r="E9" s="2268"/>
      <c r="F9" s="2268"/>
      <c r="G9" s="449"/>
      <c r="H9" s="449"/>
      <c r="I9" s="455"/>
      <c r="J9" s="455"/>
      <c r="K9" s="455"/>
      <c r="L9" s="449"/>
      <c r="M9" s="449"/>
      <c r="N9" s="449"/>
      <c r="O9" s="449"/>
    </row>
    <row r="10" spans="1:15" s="451" customFormat="1">
      <c r="A10" s="455"/>
      <c r="B10" s="455"/>
      <c r="C10" s="449"/>
      <c r="D10" s="455"/>
      <c r="E10" s="449"/>
      <c r="F10" s="449"/>
      <c r="G10" s="449"/>
      <c r="H10" s="449"/>
      <c r="I10" s="449"/>
      <c r="J10" s="449"/>
      <c r="K10" s="449"/>
      <c r="L10" s="449"/>
      <c r="M10" s="449"/>
      <c r="N10" s="449"/>
      <c r="O10" s="449"/>
    </row>
    <row r="11" spans="1:15" s="451" customFormat="1">
      <c r="A11" s="455"/>
      <c r="B11" s="455"/>
      <c r="C11" s="455"/>
      <c r="D11" s="455"/>
      <c r="E11" s="455"/>
      <c r="F11" s="455"/>
      <c r="G11" s="455"/>
      <c r="H11" s="455"/>
      <c r="I11" s="455"/>
      <c r="J11" s="455"/>
      <c r="K11" s="455"/>
      <c r="L11" s="449"/>
      <c r="M11" s="449"/>
      <c r="N11" s="449"/>
      <c r="O11" s="449"/>
    </row>
    <row r="12" spans="1:15" s="451" customFormat="1">
      <c r="A12" s="455"/>
      <c r="B12" s="455"/>
      <c r="C12" s="701"/>
      <c r="D12" s="455"/>
      <c r="E12" s="455"/>
      <c r="F12" s="455"/>
      <c r="G12" s="455"/>
      <c r="H12" s="455"/>
      <c r="I12" s="701" t="s">
        <v>357</v>
      </c>
      <c r="J12" s="455"/>
      <c r="K12" s="701"/>
      <c r="L12" s="449"/>
      <c r="M12" s="449"/>
      <c r="N12" s="449"/>
      <c r="O12" s="449"/>
    </row>
    <row r="13" spans="1:15" s="451" customFormat="1">
      <c r="A13" s="455"/>
      <c r="B13" s="455"/>
      <c r="C13" s="701" t="s">
        <v>235</v>
      </c>
      <c r="D13" s="455"/>
      <c r="E13" s="455"/>
      <c r="F13" s="455"/>
      <c r="G13" s="455"/>
      <c r="H13" s="455"/>
      <c r="I13" s="701" t="s">
        <v>358</v>
      </c>
      <c r="J13" s="455"/>
      <c r="K13" s="701" t="s">
        <v>235</v>
      </c>
      <c r="L13" s="449"/>
      <c r="M13" s="449"/>
      <c r="N13" s="449"/>
      <c r="O13" s="449"/>
    </row>
    <row r="14" spans="1:15" s="451" customFormat="1">
      <c r="A14" s="475" t="s">
        <v>359</v>
      </c>
      <c r="B14" s="455"/>
      <c r="C14" s="3594" t="str">
        <f>'Sch 1 '!C11</f>
        <v>FEBRUARY 1, 2020</v>
      </c>
      <c r="D14" s="455"/>
      <c r="E14" s="701" t="s">
        <v>237</v>
      </c>
      <c r="F14" s="455"/>
      <c r="G14" s="701" t="s">
        <v>238</v>
      </c>
      <c r="H14" s="455"/>
      <c r="I14" s="701" t="s">
        <v>239</v>
      </c>
      <c r="J14" s="455"/>
      <c r="K14" s="917" t="str">
        <f>'Sch 1 '!K11</f>
        <v>FEBRUARY 29, 2020</v>
      </c>
      <c r="L14" s="449"/>
      <c r="M14" s="449"/>
      <c r="N14" s="449"/>
      <c r="O14" s="449"/>
    </row>
    <row r="15" spans="1:15" s="451" customFormat="1" ht="12" customHeight="1">
      <c r="A15" s="449"/>
      <c r="B15" s="449"/>
      <c r="C15" s="3595"/>
      <c r="D15" s="449"/>
      <c r="E15" s="2269"/>
      <c r="F15" s="449"/>
      <c r="G15" s="2269"/>
      <c r="H15" s="449"/>
      <c r="I15" s="2269"/>
      <c r="J15" s="449"/>
      <c r="K15" s="2269"/>
      <c r="L15" s="449"/>
      <c r="M15" s="449"/>
      <c r="N15" s="449"/>
      <c r="O15" s="449"/>
    </row>
    <row r="16" spans="1:15" s="451" customFormat="1">
      <c r="A16" s="462" t="s">
        <v>217</v>
      </c>
      <c r="B16" s="449"/>
      <c r="C16" s="449"/>
      <c r="D16" s="449"/>
      <c r="E16" s="459"/>
      <c r="F16" s="449"/>
      <c r="G16" s="449"/>
      <c r="H16" s="449"/>
      <c r="I16" s="449"/>
      <c r="J16" s="449"/>
      <c r="K16" s="449"/>
      <c r="L16" s="449"/>
      <c r="M16" s="449"/>
      <c r="N16" s="449"/>
      <c r="O16" s="449"/>
    </row>
    <row r="17" spans="1:15" s="451" customFormat="1" ht="12" customHeight="1">
      <c r="A17" s="449"/>
      <c r="B17" s="449"/>
      <c r="C17" s="449"/>
      <c r="D17" s="449"/>
      <c r="E17" s="459"/>
      <c r="F17" s="449"/>
      <c r="G17" s="449"/>
      <c r="H17" s="449"/>
      <c r="I17" s="449"/>
      <c r="J17" s="449"/>
      <c r="K17" s="449"/>
      <c r="L17" s="449"/>
      <c r="M17" s="449"/>
      <c r="N17" s="449"/>
      <c r="O17" s="449"/>
    </row>
    <row r="18" spans="1:15" s="451" customFormat="1" ht="16.350000000000001" customHeight="1">
      <c r="A18" s="449" t="s">
        <v>360</v>
      </c>
      <c r="B18" s="450"/>
      <c r="C18" s="1731">
        <v>0.10199999999999999</v>
      </c>
      <c r="D18" s="1732"/>
      <c r="E18" s="1731">
        <v>1E-3</v>
      </c>
      <c r="F18" s="1732"/>
      <c r="G18" s="1731">
        <v>2E-3</v>
      </c>
      <c r="H18" s="1732"/>
      <c r="I18" s="1731">
        <v>0</v>
      </c>
      <c r="J18" s="3161"/>
      <c r="K18" s="1734">
        <f t="shared" ref="K18:K25" si="0">ROUND(SUM(C18)+SUM(E18)-SUM(G18)+SUM(I18),3)</f>
        <v>0.10100000000000001</v>
      </c>
      <c r="L18" s="449"/>
      <c r="M18" s="449"/>
      <c r="N18" s="449"/>
      <c r="O18" s="449"/>
    </row>
    <row r="19" spans="1:15" s="451" customFormat="1" ht="15.75" customHeight="1">
      <c r="A19" s="449" t="s">
        <v>361</v>
      </c>
      <c r="B19" s="449"/>
      <c r="C19" s="1735">
        <v>0.41499999999999998</v>
      </c>
      <c r="D19" s="1732"/>
      <c r="E19" s="1735">
        <v>0.23100000000000001</v>
      </c>
      <c r="F19" s="1732"/>
      <c r="G19" s="1735">
        <v>0.19500000000000001</v>
      </c>
      <c r="H19" s="1732"/>
      <c r="I19" s="1735">
        <v>0</v>
      </c>
      <c r="J19" s="3161"/>
      <c r="K19" s="1736">
        <f>ROUND(SUM(C19)+SUM(E19)-SUM(G19)+SUM(I19),3)</f>
        <v>0.45100000000000001</v>
      </c>
      <c r="L19" s="449"/>
      <c r="M19" s="449"/>
      <c r="N19" s="449"/>
      <c r="O19" s="449"/>
    </row>
    <row r="20" spans="1:15" s="451" customFormat="1" ht="16.350000000000001" customHeight="1">
      <c r="A20" s="449" t="s">
        <v>362</v>
      </c>
      <c r="B20" s="449"/>
      <c r="C20" s="1735">
        <v>3.9809999999999999</v>
      </c>
      <c r="D20" s="1732"/>
      <c r="E20" s="1735">
        <v>2.9729999999999999</v>
      </c>
      <c r="F20" s="1732"/>
      <c r="G20" s="1735">
        <v>3.3530000000000002</v>
      </c>
      <c r="H20" s="1732"/>
      <c r="I20" s="1735">
        <v>0</v>
      </c>
      <c r="J20" s="3161"/>
      <c r="K20" s="1736">
        <f t="shared" si="0"/>
        <v>3.601</v>
      </c>
      <c r="L20" s="449"/>
      <c r="M20" s="449"/>
      <c r="N20" s="449"/>
      <c r="O20" s="449"/>
    </row>
    <row r="21" spans="1:15" s="451" customFormat="1" ht="16.350000000000001" customHeight="1">
      <c r="A21" s="449" t="s">
        <v>1013</v>
      </c>
      <c r="B21" s="449"/>
      <c r="C21" s="1735">
        <v>8.8249999999999993</v>
      </c>
      <c r="D21" s="1732"/>
      <c r="E21" s="1735">
        <v>0.64200000000000002</v>
      </c>
      <c r="F21" s="1732"/>
      <c r="G21" s="1735">
        <v>1.4930000000000001</v>
      </c>
      <c r="H21" s="1732"/>
      <c r="I21" s="1735">
        <v>0</v>
      </c>
      <c r="J21" s="3161"/>
      <c r="K21" s="1736">
        <f t="shared" si="0"/>
        <v>7.9740000000000002</v>
      </c>
      <c r="L21" s="449"/>
      <c r="M21" s="449"/>
      <c r="N21" s="449"/>
      <c r="O21" s="449"/>
    </row>
    <row r="22" spans="1:15" s="451" customFormat="1" ht="16.350000000000001" customHeight="1">
      <c r="A22" s="449" t="s">
        <v>1014</v>
      </c>
      <c r="B22" s="449"/>
      <c r="C22" s="1735">
        <v>2.1859999999999999</v>
      </c>
      <c r="D22" s="1732"/>
      <c r="E22" s="1735">
        <v>4.1000000000000002E-2</v>
      </c>
      <c r="F22" s="1732"/>
      <c r="G22" s="1735">
        <v>1.0999999999999999E-2</v>
      </c>
      <c r="H22" s="1732"/>
      <c r="I22" s="1735">
        <v>0</v>
      </c>
      <c r="J22" s="3161"/>
      <c r="K22" s="1736">
        <f t="shared" si="0"/>
        <v>2.2160000000000002</v>
      </c>
      <c r="L22" s="449"/>
      <c r="M22" s="449"/>
      <c r="N22" s="449"/>
      <c r="O22" s="449"/>
    </row>
    <row r="23" spans="1:15" s="451" customFormat="1" ht="16.350000000000001" customHeight="1">
      <c r="A23" s="449" t="s">
        <v>1015</v>
      </c>
      <c r="B23" s="449"/>
      <c r="C23" s="1735">
        <v>1.635</v>
      </c>
      <c r="D23" s="1732"/>
      <c r="E23" s="1735">
        <v>0.28199999999999997</v>
      </c>
      <c r="F23" s="1732"/>
      <c r="G23" s="1735">
        <v>0.122</v>
      </c>
      <c r="H23" s="1732"/>
      <c r="I23" s="1735">
        <v>0</v>
      </c>
      <c r="J23" s="3161"/>
      <c r="K23" s="1736">
        <f t="shared" si="0"/>
        <v>1.7949999999999999</v>
      </c>
      <c r="L23" s="449"/>
      <c r="M23" s="449"/>
      <c r="N23" s="449"/>
      <c r="O23" s="449"/>
    </row>
    <row r="24" spans="1:15" s="451" customFormat="1" ht="16.350000000000001" customHeight="1">
      <c r="A24" s="449" t="s">
        <v>363</v>
      </c>
      <c r="B24" s="449"/>
      <c r="C24" s="1735">
        <v>4.9720000000000004</v>
      </c>
      <c r="D24" s="1732"/>
      <c r="E24" s="1735">
        <v>9.7000000000000003E-2</v>
      </c>
      <c r="F24" s="1732"/>
      <c r="G24" s="1735">
        <v>0.14099999999999999</v>
      </c>
      <c r="H24" s="1732"/>
      <c r="I24" s="1735">
        <v>0</v>
      </c>
      <c r="J24" s="3161"/>
      <c r="K24" s="1736">
        <f t="shared" si="0"/>
        <v>4.9279999999999999</v>
      </c>
      <c r="L24" s="449"/>
      <c r="M24" s="449"/>
      <c r="N24" s="449"/>
      <c r="O24" s="449"/>
    </row>
    <row r="25" spans="1:15" s="451" customFormat="1" ht="16.350000000000001" customHeight="1">
      <c r="A25" s="3563" t="s">
        <v>1502</v>
      </c>
      <c r="B25" s="449"/>
      <c r="C25" s="1735">
        <v>8.2729999999999997</v>
      </c>
      <c r="D25" s="1732"/>
      <c r="E25" s="1735">
        <v>223.51400000000001</v>
      </c>
      <c r="F25" s="1732"/>
      <c r="G25" s="1735">
        <v>222.98000000000002</v>
      </c>
      <c r="H25" s="1732"/>
      <c r="I25" s="1735">
        <v>0</v>
      </c>
      <c r="J25" s="3161"/>
      <c r="K25" s="1736">
        <f t="shared" si="0"/>
        <v>8.8070000000000004</v>
      </c>
      <c r="L25" s="449"/>
      <c r="M25" s="449"/>
      <c r="N25" s="449"/>
      <c r="O25" s="449"/>
    </row>
    <row r="26" spans="1:15" s="451" customFormat="1" ht="20.100000000000001" customHeight="1">
      <c r="A26" s="455" t="s">
        <v>364</v>
      </c>
      <c r="B26" s="449"/>
      <c r="C26" s="1589">
        <f>ROUND(SUM(C18:C25),3)</f>
        <v>30.388999999999999</v>
      </c>
      <c r="D26" s="1618"/>
      <c r="E26" s="1589">
        <f>ROUND(SUM(E18:E25),3)</f>
        <v>227.78100000000001</v>
      </c>
      <c r="F26" s="1618"/>
      <c r="G26" s="1589">
        <f>ROUND(SUM(G18:G25),3)</f>
        <v>228.297</v>
      </c>
      <c r="H26" s="708"/>
      <c r="I26" s="1589">
        <f>ROUND(SUM(I18:I25),3)</f>
        <v>0</v>
      </c>
      <c r="J26" s="708"/>
      <c r="K26" s="1589">
        <f>ROUND(SUM(K18:K25),3)</f>
        <v>29.873000000000001</v>
      </c>
      <c r="L26" s="3162"/>
      <c r="M26" s="449"/>
      <c r="N26" s="449"/>
      <c r="O26" s="449"/>
    </row>
    <row r="27" spans="1:15" s="451" customFormat="1" ht="15" customHeight="1">
      <c r="A27" s="449"/>
      <c r="B27" s="449"/>
      <c r="C27" s="710"/>
      <c r="D27" s="452"/>
      <c r="E27" s="710"/>
      <c r="F27" s="452"/>
      <c r="G27" s="710"/>
      <c r="H27" s="452"/>
      <c r="I27" s="453"/>
      <c r="J27" s="452"/>
      <c r="K27" s="710"/>
      <c r="L27" s="449"/>
      <c r="M27" s="449"/>
      <c r="N27" s="449"/>
      <c r="O27" s="449"/>
    </row>
    <row r="28" spans="1:15" s="451" customFormat="1" ht="15" customHeight="1">
      <c r="A28" s="449"/>
      <c r="B28" s="449"/>
      <c r="C28" s="452"/>
      <c r="D28" s="3173" t="s">
        <v>234</v>
      </c>
      <c r="E28" s="452"/>
      <c r="F28" s="452"/>
      <c r="G28" s="452"/>
      <c r="H28" s="452"/>
      <c r="I28" s="452"/>
      <c r="J28" s="452"/>
      <c r="K28" s="452"/>
      <c r="L28" s="449"/>
      <c r="M28" s="449"/>
      <c r="N28" s="449"/>
      <c r="O28" s="449"/>
    </row>
    <row r="29" spans="1:15" s="451" customFormat="1" ht="15" customHeight="1">
      <c r="A29" s="449"/>
      <c r="B29" s="449"/>
      <c r="C29" s="452"/>
      <c r="D29" s="452"/>
      <c r="E29" s="452"/>
      <c r="F29" s="452"/>
      <c r="G29" s="452"/>
      <c r="H29" s="452"/>
      <c r="I29" s="452"/>
      <c r="J29" s="452"/>
      <c r="K29" s="452"/>
      <c r="L29" s="449"/>
      <c r="M29" s="449"/>
      <c r="N29" s="449"/>
      <c r="O29" s="449"/>
    </row>
    <row r="30" spans="1:15" s="451" customFormat="1" ht="15" customHeight="1">
      <c r="A30" s="462" t="s">
        <v>222</v>
      </c>
      <c r="B30" s="449"/>
      <c r="C30" s="452"/>
      <c r="D30" s="452"/>
      <c r="E30" s="452"/>
      <c r="F30" s="452"/>
      <c r="G30" s="452"/>
      <c r="H30" s="452"/>
      <c r="I30" s="452"/>
      <c r="J30" s="452"/>
      <c r="K30" s="452"/>
      <c r="L30" s="449"/>
      <c r="M30" s="449"/>
      <c r="N30" s="449"/>
      <c r="O30" s="449"/>
    </row>
    <row r="31" spans="1:15" s="451" customFormat="1" ht="15" customHeight="1">
      <c r="A31" s="462"/>
      <c r="B31" s="449"/>
      <c r="C31" s="452"/>
      <c r="D31" s="452"/>
      <c r="E31" s="452"/>
      <c r="F31" s="452"/>
      <c r="G31" s="452"/>
      <c r="H31" s="452"/>
      <c r="I31" s="452"/>
      <c r="J31" s="452"/>
      <c r="K31" s="452"/>
      <c r="L31" s="449"/>
      <c r="M31" s="449"/>
      <c r="N31" s="449"/>
      <c r="O31" s="449"/>
    </row>
    <row r="32" spans="1:15" s="451" customFormat="1" ht="16.350000000000001" customHeight="1">
      <c r="A32" s="449" t="s">
        <v>1016</v>
      </c>
      <c r="B32" s="449"/>
      <c r="C32" s="1735">
        <v>-83.668000000000006</v>
      </c>
      <c r="D32" s="1732"/>
      <c r="E32" s="1735">
        <v>32.065000000000005</v>
      </c>
      <c r="F32" s="1732"/>
      <c r="G32" s="1735">
        <v>41.905000000000001</v>
      </c>
      <c r="H32" s="1732"/>
      <c r="I32" s="1735">
        <v>3.363</v>
      </c>
      <c r="J32" s="3161"/>
      <c r="K32" s="1736">
        <f t="shared" ref="K32:K39" si="1">ROUND(SUM(C32)+SUM(E32)-SUM(G32)+SUM(I32),3)</f>
        <v>-90.144999999999996</v>
      </c>
      <c r="L32" s="449"/>
      <c r="M32" s="452"/>
      <c r="N32" s="449"/>
      <c r="O32" s="449"/>
    </row>
    <row r="33" spans="1:15" s="451" customFormat="1" ht="16.350000000000001" customHeight="1">
      <c r="A33" s="449" t="s">
        <v>365</v>
      </c>
      <c r="B33" s="449"/>
      <c r="C33" s="1735">
        <v>-100.206</v>
      </c>
      <c r="D33" s="1732"/>
      <c r="E33" s="1735">
        <v>20.539000000000001</v>
      </c>
      <c r="F33" s="1732"/>
      <c r="G33" s="1735">
        <v>32.253</v>
      </c>
      <c r="H33" s="1732"/>
      <c r="I33" s="1735">
        <v>1.419</v>
      </c>
      <c r="J33" s="3161"/>
      <c r="K33" s="1736">
        <f t="shared" si="1"/>
        <v>-110.501</v>
      </c>
      <c r="L33" s="449"/>
      <c r="M33" s="452"/>
      <c r="N33" s="449"/>
      <c r="O33" s="449"/>
    </row>
    <row r="34" spans="1:15" s="451" customFormat="1" ht="16.350000000000001" customHeight="1">
      <c r="A34" s="449" t="s">
        <v>366</v>
      </c>
      <c r="B34" s="449"/>
      <c r="C34" s="1735">
        <v>-6.0000000000000001E-3</v>
      </c>
      <c r="D34" s="1732"/>
      <c r="E34" s="1735">
        <v>5.0999999999999997E-2</v>
      </c>
      <c r="F34" s="1732"/>
      <c r="G34" s="1735">
        <v>5.5E-2</v>
      </c>
      <c r="H34" s="1732"/>
      <c r="I34" s="1735">
        <v>0</v>
      </c>
      <c r="J34" s="3161"/>
      <c r="K34" s="1736">
        <f t="shared" si="1"/>
        <v>-0.01</v>
      </c>
      <c r="L34" s="449"/>
      <c r="M34" s="452"/>
      <c r="N34" s="449"/>
      <c r="O34" s="449"/>
    </row>
    <row r="35" spans="1:15" s="451" customFormat="1" ht="16.350000000000001" customHeight="1">
      <c r="A35" s="449" t="s">
        <v>367</v>
      </c>
      <c r="B35" s="449"/>
      <c r="C35" s="1735">
        <v>0.09</v>
      </c>
      <c r="D35" s="1732"/>
      <c r="E35" s="1735">
        <v>1E-3</v>
      </c>
      <c r="F35" s="1732"/>
      <c r="G35" s="1735">
        <v>6.0000000000000001E-3</v>
      </c>
      <c r="H35" s="1732"/>
      <c r="I35" s="1735">
        <v>0</v>
      </c>
      <c r="J35" s="3161"/>
      <c r="K35" s="1736">
        <f t="shared" si="1"/>
        <v>8.5000000000000006E-2</v>
      </c>
      <c r="L35" s="449"/>
      <c r="M35" s="452"/>
      <c r="N35" s="449"/>
      <c r="O35" s="449"/>
    </row>
    <row r="36" spans="1:15" s="451" customFormat="1" ht="16.350000000000001" customHeight="1">
      <c r="A36" s="449" t="s">
        <v>1017</v>
      </c>
      <c r="B36" s="449"/>
      <c r="C36" s="1735">
        <v>-6.0000000000000001E-3</v>
      </c>
      <c r="D36" s="1732"/>
      <c r="E36" s="1735">
        <v>0.75800000000000001</v>
      </c>
      <c r="F36" s="1732"/>
      <c r="G36" s="1735">
        <v>7.6999999999999999E-2</v>
      </c>
      <c r="H36" s="1732"/>
      <c r="I36" s="1735">
        <v>0</v>
      </c>
      <c r="J36" s="3161"/>
      <c r="K36" s="1736">
        <f t="shared" si="1"/>
        <v>0.67500000000000004</v>
      </c>
      <c r="L36" s="449"/>
      <c r="M36" s="452"/>
      <c r="N36" s="449"/>
      <c r="O36" s="449"/>
    </row>
    <row r="37" spans="1:15" s="451" customFormat="1" ht="16.350000000000001" customHeight="1">
      <c r="A37" s="449" t="s">
        <v>368</v>
      </c>
      <c r="B37" s="449"/>
      <c r="C37" s="1735">
        <v>-32.945</v>
      </c>
      <c r="D37" s="1732"/>
      <c r="E37" s="1735">
        <v>0</v>
      </c>
      <c r="F37" s="1732"/>
      <c r="G37" s="1735">
        <v>2.968</v>
      </c>
      <c r="H37" s="1732"/>
      <c r="I37" s="1735">
        <v>-1.0999999999999999E-2</v>
      </c>
      <c r="J37" s="3161"/>
      <c r="K37" s="1736">
        <f t="shared" si="1"/>
        <v>-35.923999999999999</v>
      </c>
      <c r="L37" s="449"/>
      <c r="M37" s="452"/>
      <c r="N37" s="449"/>
      <c r="O37" s="449"/>
    </row>
    <row r="38" spans="1:15" s="451" customFormat="1" ht="16.350000000000001" customHeight="1">
      <c r="A38" s="449" t="s">
        <v>369</v>
      </c>
      <c r="B38" s="449"/>
      <c r="C38" s="1735">
        <v>-10.68</v>
      </c>
      <c r="D38" s="1732"/>
      <c r="E38" s="1735">
        <v>0.89100000000000001</v>
      </c>
      <c r="F38" s="1732"/>
      <c r="G38" s="1735">
        <v>1.528</v>
      </c>
      <c r="H38" s="1732"/>
      <c r="I38" s="1735">
        <v>0</v>
      </c>
      <c r="J38" s="3161"/>
      <c r="K38" s="1736">
        <f t="shared" si="1"/>
        <v>-11.317</v>
      </c>
      <c r="L38" s="449"/>
      <c r="M38" s="452"/>
      <c r="N38" s="449"/>
      <c r="O38" s="449"/>
    </row>
    <row r="39" spans="1:15" s="451" customFormat="1" ht="16.350000000000001" customHeight="1">
      <c r="A39" s="449" t="s">
        <v>370</v>
      </c>
      <c r="B39" s="449"/>
      <c r="C39" s="1735">
        <v>-36.954000000000001</v>
      </c>
      <c r="D39" s="1732"/>
      <c r="E39" s="1735">
        <v>2.492</v>
      </c>
      <c r="F39" s="1732"/>
      <c r="G39" s="1735">
        <v>4.8970000000000002</v>
      </c>
      <c r="H39" s="1732"/>
      <c r="I39" s="1735">
        <v>0</v>
      </c>
      <c r="J39" s="3161"/>
      <c r="K39" s="1736">
        <f t="shared" si="1"/>
        <v>-39.359000000000002</v>
      </c>
      <c r="L39" s="449"/>
      <c r="M39" s="452"/>
      <c r="N39" s="449"/>
      <c r="O39" s="449"/>
    </row>
    <row r="40" spans="1:15" s="451" customFormat="1" ht="20.100000000000001" customHeight="1">
      <c r="A40" s="455" t="s">
        <v>371</v>
      </c>
      <c r="B40" s="449"/>
      <c r="C40" s="1589">
        <f>ROUND(SUM(C32:C39),3)</f>
        <v>-264.375</v>
      </c>
      <c r="D40" s="711"/>
      <c r="E40" s="1589">
        <f>ROUND(SUM(E32:E39),3)</f>
        <v>56.796999999999997</v>
      </c>
      <c r="F40" s="711"/>
      <c r="G40" s="1589">
        <f>ROUND(SUM(G32:G39),3)</f>
        <v>83.688999999999993</v>
      </c>
      <c r="H40" s="709"/>
      <c r="I40" s="1589">
        <f>ROUND(SUM(I32:I39),3)</f>
        <v>4.7709999999999999</v>
      </c>
      <c r="J40" s="709"/>
      <c r="K40" s="1589">
        <f>ROUND(SUM(K32:K39),3)</f>
        <v>-286.49599999999998</v>
      </c>
      <c r="L40" s="3179"/>
      <c r="M40" s="449"/>
      <c r="N40" s="449"/>
      <c r="O40" s="449"/>
    </row>
    <row r="41" spans="1:15" s="451" customFormat="1" ht="15" customHeight="1">
      <c r="A41" s="455"/>
      <c r="B41" s="449"/>
      <c r="C41" s="3596"/>
      <c r="D41" s="2271"/>
      <c r="E41" s="2270"/>
      <c r="F41" s="2271"/>
      <c r="G41" s="2270"/>
      <c r="H41" s="2271"/>
      <c r="I41" s="3163"/>
      <c r="J41" s="2271"/>
      <c r="K41" s="2270"/>
      <c r="L41" s="449"/>
      <c r="M41" s="449"/>
      <c r="N41" s="449"/>
      <c r="O41" s="449"/>
    </row>
    <row r="42" spans="1:15" s="451" customFormat="1" ht="15" customHeight="1">
      <c r="A42" s="455"/>
      <c r="B42" s="449"/>
      <c r="C42" s="3163"/>
      <c r="D42" s="2271"/>
      <c r="E42" s="2271"/>
      <c r="F42" s="2271"/>
      <c r="G42" s="2271" t="s">
        <v>15</v>
      </c>
      <c r="H42" s="2271"/>
      <c r="I42" s="3180"/>
      <c r="J42" s="2271"/>
      <c r="K42" s="2271"/>
      <c r="L42" s="449"/>
      <c r="M42" s="449"/>
      <c r="N42" s="449"/>
      <c r="O42" s="449"/>
    </row>
    <row r="43" spans="1:15" s="451" customFormat="1" ht="20.100000000000001" customHeight="1" thickBot="1">
      <c r="A43" s="455" t="s">
        <v>65</v>
      </c>
      <c r="B43" s="450"/>
      <c r="C43" s="2272">
        <f>ROUND(SUM(C40)+SUM(C26),3)</f>
        <v>-233.98599999999999</v>
      </c>
      <c r="D43" s="719"/>
      <c r="E43" s="2272">
        <f>ROUND(SUM(E40)+SUM(E26),3)</f>
        <v>284.57799999999997</v>
      </c>
      <c r="F43" s="719"/>
      <c r="G43" s="2272">
        <f>ROUND(SUM(G40)+SUM(G26),3)</f>
        <v>311.98599999999999</v>
      </c>
      <c r="H43" s="719"/>
      <c r="I43" s="2272">
        <f>ROUND(SUM(I40)+SUM(I26),3)</f>
        <v>4.7709999999999999</v>
      </c>
      <c r="J43" s="719"/>
      <c r="K43" s="2272">
        <f>ROUND(SUM(K40)+SUM(K26),3)</f>
        <v>-256.62299999999999</v>
      </c>
      <c r="L43" s="3162"/>
      <c r="M43" s="449"/>
      <c r="N43" s="449"/>
      <c r="O43" s="449"/>
    </row>
    <row r="44" spans="1:15" s="451" customFormat="1" ht="18.75" thickTop="1">
      <c r="A44" s="449"/>
      <c r="B44" s="449"/>
      <c r="C44" s="2273"/>
      <c r="D44" s="2271"/>
      <c r="E44" s="2273"/>
      <c r="F44" s="2271"/>
      <c r="G44" s="2273"/>
      <c r="H44" s="2271"/>
      <c r="I44" s="704"/>
      <c r="J44" s="2271"/>
      <c r="K44" s="2273"/>
      <c r="L44" s="449"/>
      <c r="M44" s="449"/>
      <c r="N44" s="449"/>
      <c r="O44" s="449"/>
    </row>
    <row r="45" spans="1:15" s="451" customFormat="1">
      <c r="A45" s="3181"/>
      <c r="B45" s="2267"/>
      <c r="C45" s="2276"/>
      <c r="D45" s="2276"/>
      <c r="E45" s="2274"/>
      <c r="F45" s="2274"/>
      <c r="G45" s="3182"/>
      <c r="H45" s="2274"/>
      <c r="I45" s="3183"/>
      <c r="J45" s="2276"/>
      <c r="K45" s="3184"/>
      <c r="L45" s="2267"/>
      <c r="M45" s="2267"/>
      <c r="N45" s="2267"/>
      <c r="O45" s="2267"/>
    </row>
    <row r="46" spans="1:15" s="451" customFormat="1">
      <c r="A46" s="2267"/>
      <c r="B46" s="2267"/>
      <c r="C46" s="2276"/>
      <c r="D46" s="2276"/>
      <c r="E46" s="2275"/>
      <c r="F46" s="2275"/>
      <c r="G46" s="2275"/>
      <c r="H46" s="2275"/>
      <c r="I46" s="2275"/>
      <c r="J46" s="2275"/>
      <c r="K46" s="2275"/>
      <c r="L46" s="2267"/>
      <c r="M46" s="2267"/>
      <c r="N46" s="2267"/>
      <c r="O46" s="2267"/>
    </row>
    <row r="47" spans="1:15" s="451" customFormat="1">
      <c r="A47" s="2267"/>
      <c r="B47" s="2267"/>
      <c r="C47" s="2276"/>
      <c r="D47" s="2276"/>
      <c r="E47" s="2276"/>
      <c r="F47" s="2276"/>
      <c r="G47" s="3185"/>
      <c r="H47" s="2267"/>
      <c r="I47" s="3186"/>
      <c r="J47" s="2276"/>
      <c r="K47" s="2276"/>
      <c r="L47" s="2267"/>
      <c r="M47" s="2267"/>
      <c r="N47" s="2267"/>
      <c r="O47" s="2267"/>
    </row>
    <row r="48" spans="1:15" s="451" customFormat="1">
      <c r="A48" s="2267"/>
      <c r="B48" s="2267"/>
      <c r="C48" s="2276"/>
      <c r="D48" s="2276"/>
      <c r="E48" s="2276"/>
      <c r="F48" s="2276"/>
      <c r="G48" s="2276"/>
      <c r="H48" s="2267"/>
      <c r="I48" s="3186"/>
      <c r="J48" s="2276"/>
      <c r="K48" s="2276"/>
      <c r="L48" s="2267"/>
      <c r="M48" s="2267"/>
      <c r="N48" s="2267"/>
      <c r="O48" s="2267"/>
    </row>
    <row r="49" spans="1:15" s="451" customFormat="1">
      <c r="A49" s="2267"/>
      <c r="B49" s="2267"/>
      <c r="C49" s="2276"/>
      <c r="D49" s="2276"/>
      <c r="E49" s="2276"/>
      <c r="F49" s="2276"/>
      <c r="G49" s="2276"/>
      <c r="H49" s="2267"/>
      <c r="I49" s="3186"/>
      <c r="J49" s="2276"/>
      <c r="K49" s="2276"/>
      <c r="L49" s="2267"/>
      <c r="M49" s="2267"/>
      <c r="N49" s="2267"/>
      <c r="O49" s="2267"/>
    </row>
    <row r="50" spans="1:15" s="451" customFormat="1">
      <c r="A50" s="2267"/>
      <c r="B50" s="2267"/>
      <c r="C50" s="2276"/>
      <c r="D50" s="2276"/>
      <c r="E50" s="2276"/>
      <c r="F50" s="2276"/>
      <c r="G50" s="2276"/>
      <c r="H50" s="2267"/>
      <c r="I50" s="3186"/>
      <c r="J50" s="2276"/>
      <c r="K50" s="2276"/>
      <c r="L50" s="2267"/>
      <c r="M50" s="2267"/>
      <c r="N50" s="2267"/>
      <c r="O50" s="2267"/>
    </row>
    <row r="51" spans="1:15" s="451" customFormat="1">
      <c r="A51" s="449"/>
      <c r="B51" s="2267"/>
      <c r="C51" s="2276"/>
      <c r="D51" s="2276"/>
      <c r="E51" s="2276"/>
      <c r="F51" s="2276"/>
      <c r="G51" s="2276"/>
      <c r="H51" s="2267"/>
      <c r="I51" s="2267"/>
      <c r="J51" s="2276"/>
      <c r="K51" s="2276"/>
      <c r="L51" s="2267"/>
      <c r="M51" s="2267"/>
      <c r="N51" s="2267"/>
      <c r="O51" s="2267"/>
    </row>
    <row r="52" spans="1:15" s="451" customFormat="1">
      <c r="A52" s="2267"/>
      <c r="B52" s="2267"/>
      <c r="C52" s="2276"/>
      <c r="D52" s="2276"/>
      <c r="E52" s="2276"/>
      <c r="F52" s="2276"/>
      <c r="G52" s="2276"/>
      <c r="H52" s="2267"/>
      <c r="I52" s="2267"/>
      <c r="J52" s="2276"/>
      <c r="K52" s="2276"/>
      <c r="L52" s="2267"/>
      <c r="M52" s="2267"/>
      <c r="N52" s="2267"/>
      <c r="O52" s="2267"/>
    </row>
    <row r="53" spans="1:15" s="451" customFormat="1">
      <c r="A53" s="2267"/>
      <c r="B53" s="2267"/>
      <c r="C53" s="2276"/>
      <c r="D53" s="2276"/>
      <c r="E53" s="2276"/>
      <c r="F53" s="2276"/>
      <c r="G53" s="2276"/>
      <c r="H53" s="2267"/>
      <c r="I53" s="2267"/>
      <c r="J53" s="2276"/>
      <c r="K53" s="2276"/>
      <c r="L53" s="2267"/>
      <c r="M53" s="2267"/>
      <c r="N53" s="2267"/>
      <c r="O53" s="2267"/>
    </row>
    <row r="54" spans="1:15" s="451" customFormat="1">
      <c r="A54" s="2267"/>
      <c r="B54" s="2267"/>
      <c r="C54" s="2276"/>
      <c r="D54" s="2276"/>
      <c r="E54" s="2276"/>
      <c r="F54" s="2276"/>
      <c r="G54" s="2276"/>
      <c r="H54" s="2267"/>
      <c r="I54" s="2267"/>
      <c r="J54" s="2276"/>
      <c r="K54" s="2276"/>
      <c r="L54" s="2267"/>
      <c r="M54" s="2267"/>
      <c r="N54" s="2267"/>
      <c r="O54" s="2267"/>
    </row>
    <row r="55" spans="1:15" s="451" customFormat="1">
      <c r="A55" s="2267"/>
      <c r="B55" s="2267"/>
      <c r="C55" s="2276"/>
      <c r="D55" s="2276"/>
      <c r="E55" s="2276"/>
      <c r="F55" s="2276"/>
      <c r="G55" s="2276"/>
      <c r="H55" s="2267"/>
      <c r="I55" s="2267"/>
      <c r="J55" s="2276"/>
      <c r="K55" s="2276"/>
      <c r="L55" s="2267"/>
      <c r="M55" s="2267"/>
      <c r="N55" s="2267"/>
      <c r="O55" s="2267"/>
    </row>
    <row r="56" spans="1:15" s="451" customFormat="1">
      <c r="A56" s="2267"/>
      <c r="B56" s="2267"/>
      <c r="C56" s="2276"/>
      <c r="D56" s="2276"/>
      <c r="E56" s="2276"/>
      <c r="F56" s="2276"/>
      <c r="G56" s="2276"/>
      <c r="H56" s="2267"/>
      <c r="I56" s="2267"/>
      <c r="J56" s="2276"/>
      <c r="K56" s="2276"/>
      <c r="L56" s="2267"/>
      <c r="M56" s="2267"/>
      <c r="N56" s="2267"/>
      <c r="O56" s="2267"/>
    </row>
    <row r="57" spans="1:15" s="451" customFormat="1">
      <c r="A57" s="2267"/>
      <c r="B57" s="2267"/>
      <c r="C57" s="2276"/>
      <c r="D57" s="2276"/>
      <c r="E57" s="2276"/>
      <c r="F57" s="2276"/>
      <c r="G57" s="2276"/>
      <c r="H57" s="2267"/>
      <c r="I57" s="2267"/>
      <c r="J57" s="2276"/>
      <c r="K57" s="2276"/>
      <c r="L57" s="2267"/>
      <c r="M57" s="2267"/>
      <c r="N57" s="2267"/>
      <c r="O57" s="2267"/>
    </row>
    <row r="58" spans="1:15" s="451" customFormat="1">
      <c r="A58" s="2267"/>
      <c r="B58" s="2267"/>
      <c r="C58" s="2276"/>
      <c r="D58" s="2276"/>
      <c r="E58" s="2276"/>
      <c r="F58" s="2276"/>
      <c r="G58" s="2276"/>
      <c r="H58" s="2267"/>
      <c r="I58" s="2267"/>
      <c r="J58" s="2276"/>
      <c r="K58" s="2276"/>
      <c r="L58" s="2267"/>
      <c r="M58" s="2267"/>
      <c r="N58" s="2267"/>
      <c r="O58" s="2267"/>
    </row>
    <row r="59" spans="1:15" s="451" customFormat="1">
      <c r="A59" s="2267"/>
      <c r="B59" s="2267"/>
      <c r="C59" s="2276"/>
      <c r="D59" s="2276"/>
      <c r="E59" s="2276"/>
      <c r="F59" s="2276"/>
      <c r="G59" s="2276"/>
      <c r="H59" s="2267"/>
      <c r="I59" s="2267"/>
      <c r="J59" s="2276"/>
      <c r="K59" s="2276"/>
      <c r="L59" s="2267"/>
      <c r="M59" s="2267"/>
      <c r="N59" s="2267"/>
      <c r="O59" s="2267"/>
    </row>
    <row r="60" spans="1:15" s="451" customFormat="1">
      <c r="A60" s="2267"/>
      <c r="B60" s="2267"/>
      <c r="C60" s="2276"/>
      <c r="D60" s="2276"/>
      <c r="E60" s="2276"/>
      <c r="F60" s="2276"/>
      <c r="G60" s="2276"/>
      <c r="H60" s="2267"/>
      <c r="I60" s="2267"/>
      <c r="J60" s="2276"/>
      <c r="K60" s="2276"/>
      <c r="L60" s="2267"/>
      <c r="M60" s="2267"/>
      <c r="N60" s="2267"/>
      <c r="O60" s="2267"/>
    </row>
    <row r="61" spans="1:15" s="451" customFormat="1">
      <c r="A61" s="2267"/>
      <c r="B61" s="2267"/>
      <c r="C61" s="2276"/>
      <c r="D61" s="2276"/>
      <c r="E61" s="2276"/>
      <c r="F61" s="2276"/>
      <c r="G61" s="2276"/>
      <c r="H61" s="2267"/>
      <c r="I61" s="2267"/>
      <c r="J61" s="2276"/>
      <c r="K61" s="2276"/>
      <c r="L61" s="2267"/>
      <c r="M61" s="2267"/>
      <c r="N61" s="2267"/>
      <c r="O61" s="2267"/>
    </row>
    <row r="62" spans="1:15" s="451" customFormat="1">
      <c r="A62" s="2267"/>
      <c r="B62" s="2267"/>
      <c r="C62" s="2276"/>
      <c r="D62" s="2276"/>
      <c r="E62" s="2276"/>
      <c r="F62" s="2276"/>
      <c r="G62" s="2276"/>
      <c r="H62" s="2267"/>
      <c r="I62" s="2267"/>
      <c r="J62" s="2276"/>
      <c r="K62" s="2276"/>
      <c r="L62" s="2267"/>
      <c r="M62" s="2267"/>
      <c r="N62" s="2267"/>
      <c r="O62" s="2267"/>
    </row>
    <row r="63" spans="1:15" s="451" customFormat="1">
      <c r="A63" s="2267"/>
      <c r="B63" s="2267"/>
      <c r="C63" s="2276"/>
      <c r="D63" s="2276"/>
      <c r="E63" s="2276"/>
      <c r="F63" s="2276"/>
      <c r="G63" s="2276"/>
      <c r="H63" s="2267"/>
      <c r="I63" s="2267"/>
      <c r="J63" s="2276"/>
      <c r="K63" s="2276"/>
      <c r="L63" s="2267"/>
      <c r="M63" s="2267"/>
      <c r="N63" s="2267"/>
      <c r="O63" s="2267"/>
    </row>
    <row r="64" spans="1:15" s="451" customFormat="1">
      <c r="A64" s="2267"/>
      <c r="B64" s="2267"/>
      <c r="C64" s="2276"/>
      <c r="D64" s="2276"/>
      <c r="E64" s="2276"/>
      <c r="F64" s="2276"/>
      <c r="G64" s="2276"/>
      <c r="H64" s="2267"/>
      <c r="I64" s="2267"/>
      <c r="J64" s="2276"/>
      <c r="K64" s="2276"/>
      <c r="L64" s="2267"/>
      <c r="M64" s="2267"/>
      <c r="N64" s="2267"/>
      <c r="O64" s="2267"/>
    </row>
    <row r="65" spans="1:15" s="451" customFormat="1">
      <c r="A65" s="2267"/>
      <c r="B65" s="2267"/>
      <c r="C65" s="2276"/>
      <c r="D65" s="2276"/>
      <c r="E65" s="2276"/>
      <c r="F65" s="2276"/>
      <c r="G65" s="2276"/>
      <c r="H65" s="2267"/>
      <c r="I65" s="2267"/>
      <c r="J65" s="2276"/>
      <c r="K65" s="2276"/>
      <c r="L65" s="2267"/>
      <c r="M65" s="2267"/>
      <c r="N65" s="2267"/>
      <c r="O65" s="2267"/>
    </row>
    <row r="66" spans="1:15" s="451" customFormat="1">
      <c r="A66" s="2267"/>
      <c r="B66" s="2267"/>
      <c r="C66" s="2276"/>
      <c r="D66" s="2276"/>
      <c r="E66" s="2276"/>
      <c r="F66" s="2276"/>
      <c r="G66" s="2276"/>
      <c r="H66" s="2267"/>
      <c r="I66" s="2267"/>
      <c r="J66" s="2276"/>
      <c r="K66" s="2276"/>
      <c r="L66" s="2267"/>
      <c r="M66" s="2267"/>
      <c r="N66" s="2267"/>
      <c r="O66" s="2267"/>
    </row>
    <row r="67" spans="1:15" s="451" customFormat="1">
      <c r="A67" s="2267"/>
      <c r="B67" s="2267"/>
      <c r="C67" s="2276"/>
      <c r="D67" s="2276"/>
      <c r="E67" s="2276"/>
      <c r="F67" s="2276"/>
      <c r="G67" s="2276"/>
      <c r="H67" s="2267"/>
      <c r="I67" s="2267"/>
      <c r="J67" s="2276"/>
      <c r="K67" s="2276"/>
      <c r="L67" s="2267"/>
      <c r="M67" s="2267"/>
      <c r="N67" s="2267"/>
      <c r="O67" s="2267"/>
    </row>
    <row r="68" spans="1:15" s="451" customFormat="1">
      <c r="A68" s="2267"/>
      <c r="B68" s="2267"/>
      <c r="C68" s="2276"/>
      <c r="D68" s="2276"/>
      <c r="E68" s="2276"/>
      <c r="F68" s="2276"/>
      <c r="G68" s="2276"/>
      <c r="H68" s="2267"/>
      <c r="I68" s="2267"/>
      <c r="J68" s="2276"/>
      <c r="K68" s="2276"/>
      <c r="L68" s="2267"/>
      <c r="M68" s="2267"/>
      <c r="N68" s="2267"/>
      <c r="O68" s="2267"/>
    </row>
    <row r="69" spans="1:15" s="451" customFormat="1">
      <c r="A69" s="2267"/>
      <c r="B69" s="2267"/>
      <c r="C69" s="2276"/>
      <c r="D69" s="2276"/>
      <c r="E69" s="2276"/>
      <c r="F69" s="2276"/>
      <c r="G69" s="2276"/>
      <c r="H69" s="2267"/>
      <c r="I69" s="2267"/>
      <c r="J69" s="2276"/>
      <c r="K69" s="2276"/>
      <c r="L69" s="2267"/>
      <c r="M69" s="2267"/>
      <c r="N69" s="2267"/>
      <c r="O69" s="2267"/>
    </row>
    <row r="70" spans="1:15" s="451" customFormat="1">
      <c r="A70" s="2267"/>
      <c r="B70" s="2267"/>
      <c r="C70" s="2276"/>
      <c r="D70" s="2276"/>
      <c r="E70" s="2276"/>
      <c r="F70" s="2276"/>
      <c r="G70" s="2276"/>
      <c r="H70" s="2267"/>
      <c r="I70" s="2267"/>
      <c r="J70" s="2276"/>
      <c r="K70" s="2276"/>
      <c r="L70" s="2267"/>
      <c r="M70" s="2267"/>
      <c r="N70" s="2267"/>
      <c r="O70" s="2267"/>
    </row>
    <row r="71" spans="1:15" s="451" customFormat="1">
      <c r="A71" s="2267"/>
      <c r="B71" s="2267"/>
      <c r="C71" s="2276"/>
      <c r="D71" s="2276"/>
      <c r="E71" s="2276"/>
      <c r="F71" s="2276"/>
      <c r="G71" s="2276"/>
      <c r="H71" s="2267"/>
      <c r="I71" s="2267"/>
      <c r="J71" s="2276"/>
      <c r="K71" s="2276"/>
      <c r="L71" s="2267"/>
      <c r="M71" s="2267"/>
      <c r="N71" s="2267"/>
      <c r="O71" s="2267"/>
    </row>
    <row r="72" spans="1:15" s="451" customFormat="1">
      <c r="A72" s="2267"/>
      <c r="B72" s="2267"/>
      <c r="C72" s="2276"/>
      <c r="D72" s="2276"/>
      <c r="E72" s="2276"/>
      <c r="F72" s="2276"/>
      <c r="G72" s="2276"/>
      <c r="H72" s="2267"/>
      <c r="I72" s="2267"/>
      <c r="J72" s="2276"/>
      <c r="K72" s="2276"/>
      <c r="L72" s="2267"/>
      <c r="M72" s="2267"/>
      <c r="N72" s="2267"/>
      <c r="O72" s="2267"/>
    </row>
    <row r="73" spans="1:15" s="451" customFormat="1">
      <c r="A73" s="2267"/>
      <c r="B73" s="2267"/>
      <c r="C73" s="2276"/>
      <c r="D73" s="2276"/>
      <c r="E73" s="2276"/>
      <c r="F73" s="2276"/>
      <c r="G73" s="2276"/>
      <c r="H73" s="2267"/>
      <c r="I73" s="2267"/>
      <c r="J73" s="2276"/>
      <c r="K73" s="2276"/>
      <c r="L73" s="2267"/>
      <c r="M73" s="2267"/>
      <c r="N73" s="2267"/>
      <c r="O73" s="2267"/>
    </row>
    <row r="74" spans="1:15" s="451" customFormat="1">
      <c r="A74" s="2267"/>
      <c r="B74" s="2267"/>
      <c r="C74" s="2276"/>
      <c r="D74" s="2276"/>
      <c r="E74" s="2276"/>
      <c r="F74" s="2276"/>
      <c r="G74" s="2276"/>
      <c r="H74" s="2267"/>
      <c r="I74" s="2267"/>
      <c r="J74" s="2276"/>
      <c r="K74" s="2276"/>
      <c r="L74" s="2267"/>
      <c r="M74" s="2267"/>
      <c r="N74" s="2267"/>
      <c r="O74" s="2267"/>
    </row>
    <row r="75" spans="1:15" s="451" customFormat="1">
      <c r="A75" s="2267"/>
      <c r="B75" s="2267"/>
      <c r="C75" s="2276"/>
      <c r="D75" s="2276"/>
      <c r="E75" s="2276"/>
      <c r="F75" s="2276"/>
      <c r="G75" s="2276"/>
      <c r="H75" s="2267"/>
      <c r="I75" s="2267"/>
      <c r="J75" s="2276"/>
      <c r="K75" s="2276"/>
      <c r="L75" s="2267"/>
      <c r="M75" s="2267"/>
      <c r="N75" s="2267"/>
      <c r="O75" s="2267"/>
    </row>
    <row r="76" spans="1:15" s="451" customFormat="1">
      <c r="A76" s="2267"/>
      <c r="B76" s="2267"/>
      <c r="C76" s="2276"/>
      <c r="D76" s="2276"/>
      <c r="E76" s="2276"/>
      <c r="F76" s="2276"/>
      <c r="G76" s="2276"/>
      <c r="H76" s="2267"/>
      <c r="I76" s="2267"/>
      <c r="J76" s="2276"/>
      <c r="K76" s="2276"/>
      <c r="L76" s="2267"/>
      <c r="M76" s="2267"/>
      <c r="N76" s="2267"/>
      <c r="O76" s="2267"/>
    </row>
    <row r="77" spans="1:15" s="451" customFormat="1">
      <c r="A77" s="2267"/>
      <c r="B77" s="2267"/>
      <c r="C77" s="2276"/>
      <c r="D77" s="2276"/>
      <c r="E77" s="2276"/>
      <c r="F77" s="2276"/>
      <c r="G77" s="2276"/>
      <c r="H77" s="2267"/>
      <c r="I77" s="2267"/>
      <c r="J77" s="2276"/>
      <c r="K77" s="2276"/>
      <c r="L77" s="2267"/>
      <c r="M77" s="2267"/>
      <c r="N77" s="2267"/>
      <c r="O77" s="2267"/>
    </row>
    <row r="78" spans="1:15" s="451" customFormat="1">
      <c r="A78" s="2267"/>
      <c r="B78" s="2267"/>
      <c r="C78" s="2276"/>
      <c r="D78" s="2276"/>
      <c r="E78" s="2276"/>
      <c r="F78" s="2276"/>
      <c r="G78" s="2276"/>
      <c r="H78" s="2267"/>
      <c r="I78" s="2267"/>
      <c r="J78" s="2276"/>
      <c r="K78" s="2276"/>
      <c r="L78" s="2267"/>
      <c r="M78" s="2267"/>
      <c r="N78" s="2267"/>
      <c r="O78" s="2267"/>
    </row>
    <row r="79" spans="1:15" s="451" customFormat="1">
      <c r="A79" s="2267"/>
      <c r="B79" s="2267"/>
      <c r="C79" s="2276"/>
      <c r="D79" s="2276"/>
      <c r="E79" s="2276"/>
      <c r="F79" s="2276"/>
      <c r="G79" s="2276"/>
      <c r="H79" s="2267"/>
      <c r="I79" s="2267"/>
      <c r="J79" s="2276"/>
      <c r="K79" s="2276"/>
      <c r="L79" s="2267"/>
      <c r="M79" s="2267"/>
      <c r="N79" s="2267"/>
      <c r="O79" s="2267"/>
    </row>
    <row r="80" spans="1:15" s="451" customFormat="1">
      <c r="A80" s="2267"/>
      <c r="B80" s="2267"/>
      <c r="C80" s="2276"/>
      <c r="D80" s="2276"/>
      <c r="E80" s="2276"/>
      <c r="F80" s="2276"/>
      <c r="G80" s="2276"/>
      <c r="H80" s="2267"/>
      <c r="I80" s="2267"/>
      <c r="J80" s="2276"/>
      <c r="K80" s="2276"/>
      <c r="L80" s="2267"/>
      <c r="M80" s="2267"/>
      <c r="N80" s="2267"/>
      <c r="O80" s="2267"/>
    </row>
    <row r="81" spans="1:15" s="451" customFormat="1">
      <c r="A81" s="2267"/>
      <c r="B81" s="2267"/>
      <c r="C81" s="2276"/>
      <c r="D81" s="2276"/>
      <c r="E81" s="2276"/>
      <c r="F81" s="2276"/>
      <c r="G81" s="2276"/>
      <c r="H81" s="2267"/>
      <c r="I81" s="2267"/>
      <c r="J81" s="2276"/>
      <c r="K81" s="2276"/>
      <c r="L81" s="2267"/>
      <c r="M81" s="2267"/>
      <c r="N81" s="2267"/>
      <c r="O81" s="2267"/>
    </row>
    <row r="82" spans="1:15" s="451" customFormat="1">
      <c r="A82" s="2267"/>
      <c r="B82" s="2267"/>
      <c r="C82" s="2276"/>
      <c r="D82" s="2276"/>
      <c r="E82" s="2276"/>
      <c r="F82" s="2276"/>
      <c r="G82" s="2276"/>
      <c r="H82" s="2267"/>
      <c r="I82" s="2267"/>
      <c r="J82" s="2276"/>
      <c r="K82" s="2276"/>
      <c r="L82" s="2267"/>
      <c r="M82" s="2267"/>
      <c r="N82" s="2267"/>
      <c r="O82" s="2267"/>
    </row>
    <row r="83" spans="1:15" s="451" customFormat="1">
      <c r="A83" s="2267"/>
      <c r="B83" s="2267"/>
      <c r="C83" s="2276"/>
      <c r="D83" s="2276"/>
      <c r="E83" s="2276"/>
      <c r="F83" s="2276"/>
      <c r="G83" s="2276"/>
      <c r="H83" s="2267"/>
      <c r="I83" s="2267"/>
      <c r="J83" s="2276"/>
      <c r="K83" s="2276"/>
      <c r="L83" s="2267"/>
      <c r="M83" s="2267"/>
      <c r="N83" s="2267"/>
      <c r="O83" s="2267"/>
    </row>
    <row r="84" spans="1:15" s="451" customFormat="1">
      <c r="A84" s="2267"/>
      <c r="B84" s="2267"/>
      <c r="C84" s="2276"/>
      <c r="D84" s="2276"/>
      <c r="E84" s="2276"/>
      <c r="F84" s="2276"/>
      <c r="G84" s="2276"/>
      <c r="H84" s="2267"/>
      <c r="I84" s="2267"/>
      <c r="J84" s="2276"/>
      <c r="K84" s="2276"/>
      <c r="L84" s="2267"/>
      <c r="M84" s="2267"/>
      <c r="N84" s="2267"/>
      <c r="O84" s="2267"/>
    </row>
    <row r="85" spans="1:15" s="451" customFormat="1">
      <c r="A85" s="2267"/>
      <c r="B85" s="2267"/>
      <c r="C85" s="2276"/>
      <c r="D85" s="2276"/>
      <c r="E85" s="2276"/>
      <c r="F85" s="2276"/>
      <c r="G85" s="2276"/>
      <c r="H85" s="2267"/>
      <c r="I85" s="2267"/>
      <c r="J85" s="2276"/>
      <c r="K85" s="2276"/>
      <c r="L85" s="2267"/>
      <c r="M85" s="2267"/>
      <c r="N85" s="2267"/>
      <c r="O85" s="2267"/>
    </row>
    <row r="86" spans="1:15" s="451" customFormat="1">
      <c r="A86" s="2267"/>
      <c r="B86" s="2267"/>
      <c r="C86" s="2276"/>
      <c r="D86" s="2276"/>
      <c r="E86" s="2276"/>
      <c r="F86" s="2276"/>
      <c r="G86" s="2276"/>
      <c r="H86" s="2267"/>
      <c r="I86" s="2267"/>
      <c r="J86" s="2276"/>
      <c r="K86" s="2276"/>
      <c r="L86" s="2267"/>
      <c r="M86" s="2267"/>
      <c r="N86" s="2267"/>
      <c r="O86" s="2267"/>
    </row>
    <row r="87" spans="1:15" s="451" customFormat="1">
      <c r="A87" s="2267"/>
      <c r="B87" s="2267"/>
      <c r="C87" s="2276"/>
      <c r="D87" s="2276"/>
      <c r="E87" s="2276"/>
      <c r="F87" s="2276"/>
      <c r="G87" s="2276"/>
      <c r="H87" s="2267"/>
      <c r="I87" s="2267"/>
      <c r="J87" s="2276"/>
      <c r="K87" s="2276"/>
      <c r="L87" s="2267"/>
      <c r="M87" s="2267"/>
      <c r="N87" s="2267"/>
      <c r="O87" s="2267"/>
    </row>
    <row r="88" spans="1:15" s="451" customFormat="1">
      <c r="A88" s="2267"/>
      <c r="B88" s="2267"/>
      <c r="C88" s="2276"/>
      <c r="D88" s="2276"/>
      <c r="E88" s="2276"/>
      <c r="F88" s="2276"/>
      <c r="G88" s="2276"/>
      <c r="H88" s="2267"/>
      <c r="I88" s="2267"/>
      <c r="J88" s="2276"/>
      <c r="K88" s="2276"/>
      <c r="L88" s="2267"/>
      <c r="M88" s="2267"/>
      <c r="N88" s="2267"/>
      <c r="O88" s="2267"/>
    </row>
    <row r="89" spans="1:15" s="451" customFormat="1">
      <c r="A89" s="2267"/>
      <c r="B89" s="2267"/>
      <c r="C89" s="2276"/>
      <c r="D89" s="2276"/>
      <c r="E89" s="2276"/>
      <c r="F89" s="2276"/>
      <c r="G89" s="2276"/>
      <c r="H89" s="2267"/>
      <c r="I89" s="2267"/>
      <c r="J89" s="2276"/>
      <c r="K89" s="2276"/>
      <c r="L89" s="2267"/>
      <c r="M89" s="2267"/>
      <c r="N89" s="2267"/>
      <c r="O89" s="2267"/>
    </row>
    <row r="90" spans="1:15" s="451" customFormat="1">
      <c r="A90" s="2267"/>
      <c r="B90" s="2267"/>
      <c r="C90" s="2276"/>
      <c r="D90" s="2276"/>
      <c r="E90" s="2276"/>
      <c r="F90" s="2276"/>
      <c r="G90" s="2276"/>
      <c r="H90" s="2267"/>
      <c r="I90" s="2267"/>
      <c r="J90" s="2276"/>
      <c r="K90" s="2276"/>
      <c r="L90" s="2267"/>
      <c r="M90" s="2267"/>
      <c r="N90" s="2267"/>
      <c r="O90" s="2267"/>
    </row>
    <row r="91" spans="1:15" s="451" customFormat="1">
      <c r="A91" s="2267"/>
      <c r="B91" s="2267"/>
      <c r="C91" s="2276"/>
      <c r="D91" s="2276"/>
      <c r="E91" s="2276"/>
      <c r="F91" s="2276"/>
      <c r="G91" s="2276"/>
      <c r="H91" s="2267"/>
      <c r="I91" s="2267"/>
      <c r="J91" s="2276"/>
      <c r="K91" s="2276"/>
      <c r="L91" s="2267"/>
      <c r="M91" s="2267"/>
      <c r="N91" s="2267"/>
      <c r="O91" s="2267"/>
    </row>
    <row r="92" spans="1:15" s="451" customFormat="1">
      <c r="A92" s="2267"/>
      <c r="B92" s="2267"/>
      <c r="C92" s="2276"/>
      <c r="D92" s="2276"/>
      <c r="E92" s="2276"/>
      <c r="F92" s="2276"/>
      <c r="G92" s="2276"/>
      <c r="H92" s="2267"/>
      <c r="I92" s="2267"/>
      <c r="J92" s="2276"/>
      <c r="K92" s="2276"/>
      <c r="L92" s="2267"/>
      <c r="M92" s="2267"/>
      <c r="N92" s="2267"/>
      <c r="O92" s="2267"/>
    </row>
    <row r="93" spans="1:15" s="451" customFormat="1">
      <c r="A93" s="2267"/>
      <c r="B93" s="2267"/>
      <c r="C93" s="2276"/>
      <c r="D93" s="2276"/>
      <c r="E93" s="2276"/>
      <c r="F93" s="2276"/>
      <c r="G93" s="2276"/>
      <c r="H93" s="2267"/>
      <c r="I93" s="2267"/>
      <c r="J93" s="2276"/>
      <c r="K93" s="2276"/>
      <c r="L93" s="2267"/>
      <c r="M93" s="2267"/>
      <c r="N93" s="2267"/>
      <c r="O93" s="2267"/>
    </row>
  </sheetData>
  <pageMargins left="0.75" right="0.5" top="0.5" bottom="0.5" header="0" footer="0.25"/>
  <pageSetup scale="60" firstPageNumber="42"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70" workbookViewId="0"/>
  </sheetViews>
  <sheetFormatPr defaultColWidth="8.88671875" defaultRowHeight="12.75"/>
  <cols>
    <col min="1" max="1" width="56.109375" style="454" customWidth="1"/>
    <col min="2" max="2" width="5.88671875" style="454" customWidth="1"/>
    <col min="3" max="3" width="9.88671875" style="454" customWidth="1"/>
    <col min="4" max="4" width="21.109375" style="454" customWidth="1"/>
    <col min="5" max="5" width="1.88671875" style="454" customWidth="1"/>
    <col min="6" max="6" width="16.88671875" style="454" customWidth="1"/>
    <col min="7" max="7" width="2.109375" style="454" customWidth="1"/>
    <col min="8" max="8" width="19.109375" style="454" customWidth="1"/>
    <col min="9" max="9" width="1.88671875" style="454" customWidth="1"/>
    <col min="10" max="10" width="20.88671875" style="454" customWidth="1"/>
    <col min="11" max="11" width="2.109375" style="454" customWidth="1"/>
    <col min="12" max="12" width="22.44140625" style="454" customWidth="1"/>
    <col min="13" max="13" width="2.44140625" style="454" customWidth="1"/>
    <col min="14" max="14" width="10.88671875" style="454" bestFit="1" customWidth="1"/>
    <col min="15" max="15" width="12.5546875" style="454" bestFit="1" customWidth="1"/>
    <col min="16" max="16384" width="8.88671875" style="454"/>
  </cols>
  <sheetData>
    <row r="1" spans="1:256" ht="15">
      <c r="A1" s="653" t="s">
        <v>979</v>
      </c>
    </row>
    <row r="2" spans="1:256" ht="18" customHeight="1"/>
    <row r="3" spans="1:256" ht="18">
      <c r="A3" s="455" t="s">
        <v>0</v>
      </c>
      <c r="B3" s="456"/>
      <c r="C3" s="456"/>
      <c r="D3" s="457"/>
      <c r="E3" s="457"/>
      <c r="F3" s="456"/>
      <c r="G3" s="456" t="s">
        <v>15</v>
      </c>
      <c r="H3" s="456"/>
      <c r="I3" s="456"/>
      <c r="J3" s="456"/>
      <c r="K3" s="456"/>
      <c r="L3" s="458" t="s">
        <v>372</v>
      </c>
      <c r="M3" s="457"/>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ht="18">
      <c r="A4" s="455" t="s">
        <v>373</v>
      </c>
      <c r="B4" s="456"/>
      <c r="C4" s="456"/>
      <c r="D4" s="457"/>
      <c r="E4" s="457"/>
      <c r="F4" s="456"/>
      <c r="G4" s="456"/>
      <c r="H4" s="456"/>
      <c r="I4" s="456"/>
      <c r="J4" s="456"/>
      <c r="K4" s="456"/>
      <c r="L4" s="460"/>
      <c r="M4" s="457"/>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c r="IK4" s="459"/>
      <c r="IL4" s="459"/>
      <c r="IM4" s="459"/>
      <c r="IN4" s="459"/>
      <c r="IO4" s="459"/>
      <c r="IP4" s="459"/>
      <c r="IQ4" s="459"/>
      <c r="IR4" s="459"/>
      <c r="IS4" s="459"/>
      <c r="IT4" s="459"/>
      <c r="IU4" s="459"/>
      <c r="IV4" s="459"/>
    </row>
    <row r="5" spans="1:256" ht="18">
      <c r="A5" s="461" t="s">
        <v>1303</v>
      </c>
      <c r="B5" s="456"/>
      <c r="C5" s="456"/>
      <c r="D5" s="457"/>
      <c r="E5" s="457"/>
      <c r="F5" s="456"/>
      <c r="G5" s="456"/>
      <c r="H5" s="456"/>
      <c r="I5" s="456"/>
      <c r="J5" s="456"/>
      <c r="K5" s="456"/>
      <c r="L5" s="456"/>
      <c r="M5" s="457"/>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c r="IK5" s="459"/>
      <c r="IL5" s="459"/>
      <c r="IM5" s="459"/>
      <c r="IN5" s="459"/>
      <c r="IO5" s="459"/>
      <c r="IP5" s="459"/>
      <c r="IQ5" s="459"/>
      <c r="IR5" s="459"/>
      <c r="IS5" s="459"/>
      <c r="IT5" s="459"/>
      <c r="IU5" s="459"/>
      <c r="IV5" s="459"/>
    </row>
    <row r="6" spans="1:256" ht="18">
      <c r="A6" s="461" t="s">
        <v>1397</v>
      </c>
      <c r="B6" s="456"/>
      <c r="C6" s="456"/>
      <c r="D6" s="457"/>
      <c r="E6" s="457"/>
      <c r="F6" s="456"/>
      <c r="G6" s="456"/>
      <c r="H6" s="456"/>
      <c r="I6" s="456"/>
      <c r="J6" s="456"/>
      <c r="K6" s="456"/>
      <c r="L6" s="456"/>
      <c r="M6" s="457"/>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c r="IK6" s="459"/>
      <c r="IL6" s="459"/>
      <c r="IM6" s="459"/>
      <c r="IN6" s="459"/>
      <c r="IO6" s="459"/>
      <c r="IP6" s="459"/>
      <c r="IQ6" s="459"/>
      <c r="IR6" s="459"/>
      <c r="IS6" s="459"/>
      <c r="IT6" s="459"/>
      <c r="IU6" s="459"/>
      <c r="IV6" s="459"/>
    </row>
    <row r="7" spans="1:256" ht="18">
      <c r="A7" s="461" t="str">
        <f>'Sch 2 '!A8</f>
        <v>FOR THE MONTH OF FEBRUARY 2020</v>
      </c>
      <c r="B7" s="456"/>
      <c r="C7" s="456"/>
      <c r="D7" s="457"/>
      <c r="E7" s="457"/>
      <c r="F7" s="456"/>
      <c r="G7" s="456"/>
      <c r="H7" s="456"/>
      <c r="I7" s="456"/>
      <c r="J7" s="456"/>
      <c r="K7" s="456"/>
      <c r="L7" s="456"/>
      <c r="M7" s="457"/>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c r="CA7" s="459"/>
      <c r="CB7" s="459"/>
      <c r="CC7" s="459"/>
      <c r="CD7" s="459"/>
      <c r="CE7" s="459"/>
      <c r="CF7" s="459"/>
      <c r="CG7" s="459"/>
      <c r="CH7" s="459"/>
      <c r="CI7" s="459"/>
      <c r="CJ7" s="459"/>
      <c r="CK7" s="459"/>
      <c r="CL7" s="459"/>
      <c r="CM7" s="459"/>
      <c r="CN7" s="459"/>
      <c r="CO7" s="459"/>
      <c r="CP7" s="459"/>
      <c r="CQ7" s="459"/>
      <c r="CR7" s="459"/>
      <c r="CS7" s="459"/>
      <c r="CT7" s="459"/>
      <c r="CU7" s="459"/>
      <c r="CV7" s="459"/>
      <c r="CW7" s="459"/>
      <c r="CX7" s="459"/>
      <c r="CY7" s="459"/>
      <c r="CZ7" s="459"/>
      <c r="DA7" s="459"/>
      <c r="DB7" s="459"/>
      <c r="DC7" s="459"/>
      <c r="DD7" s="459"/>
      <c r="DE7" s="459"/>
      <c r="DF7" s="459"/>
      <c r="DG7" s="459"/>
      <c r="DH7" s="459"/>
      <c r="DI7" s="459"/>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59"/>
      <c r="GJ7" s="459"/>
      <c r="GK7" s="459"/>
      <c r="GL7" s="459"/>
      <c r="GM7" s="459"/>
      <c r="GN7" s="459"/>
      <c r="GO7" s="459"/>
      <c r="GP7" s="459"/>
      <c r="GQ7" s="459"/>
      <c r="GR7" s="459"/>
      <c r="GS7" s="459"/>
      <c r="GT7" s="459"/>
      <c r="GU7" s="459"/>
      <c r="GV7" s="459"/>
      <c r="GW7" s="459"/>
      <c r="GX7" s="459"/>
      <c r="GY7" s="459"/>
      <c r="GZ7" s="459"/>
      <c r="HA7" s="459"/>
      <c r="HB7" s="459"/>
      <c r="HC7" s="459"/>
      <c r="HD7" s="459"/>
      <c r="HE7" s="459"/>
      <c r="HF7" s="459"/>
      <c r="HG7" s="459"/>
      <c r="HH7" s="459"/>
      <c r="HI7" s="459"/>
      <c r="HJ7" s="459"/>
      <c r="HK7" s="459"/>
      <c r="HL7" s="459"/>
      <c r="HM7" s="459"/>
      <c r="HN7" s="459"/>
      <c r="HO7" s="459"/>
      <c r="HP7" s="459"/>
      <c r="HQ7" s="459"/>
      <c r="HR7" s="459"/>
      <c r="HS7" s="459"/>
      <c r="HT7" s="459"/>
      <c r="HU7" s="459"/>
      <c r="HV7" s="459"/>
      <c r="HW7" s="459"/>
      <c r="HX7" s="459"/>
      <c r="HY7" s="459"/>
      <c r="HZ7" s="459"/>
      <c r="IA7" s="459"/>
      <c r="IB7" s="459"/>
      <c r="IC7" s="459"/>
      <c r="ID7" s="459"/>
      <c r="IE7" s="459"/>
      <c r="IF7" s="459"/>
      <c r="IG7" s="459"/>
      <c r="IH7" s="459"/>
      <c r="II7" s="459"/>
      <c r="IJ7" s="459"/>
      <c r="IK7" s="459"/>
      <c r="IL7" s="459"/>
      <c r="IM7" s="459"/>
      <c r="IN7" s="459"/>
      <c r="IO7" s="459"/>
      <c r="IP7" s="459"/>
      <c r="IQ7" s="459"/>
      <c r="IR7" s="459"/>
      <c r="IS7" s="459"/>
      <c r="IT7" s="459"/>
      <c r="IU7" s="459"/>
      <c r="IV7" s="459"/>
    </row>
    <row r="8" spans="1:256" ht="18">
      <c r="A8" s="813" t="s">
        <v>1416</v>
      </c>
      <c r="B8" s="456"/>
      <c r="C8" s="456"/>
      <c r="D8" s="457"/>
      <c r="E8" s="457"/>
      <c r="F8" s="456"/>
      <c r="G8" s="456"/>
      <c r="H8" s="456"/>
      <c r="I8" s="456"/>
      <c r="J8" s="456"/>
      <c r="K8" s="456"/>
      <c r="L8" s="456"/>
      <c r="M8" s="457"/>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c r="CA8" s="459"/>
      <c r="CB8" s="459"/>
      <c r="CC8" s="459"/>
      <c r="CD8" s="459"/>
      <c r="CE8" s="459"/>
      <c r="CF8" s="459"/>
      <c r="CG8" s="459"/>
      <c r="CH8" s="459"/>
      <c r="CI8" s="459"/>
      <c r="CJ8" s="459"/>
      <c r="CK8" s="459"/>
      <c r="CL8" s="459"/>
      <c r="CM8" s="459"/>
      <c r="CN8" s="459"/>
      <c r="CO8" s="459"/>
      <c r="CP8" s="459"/>
      <c r="CQ8" s="459"/>
      <c r="CR8" s="459"/>
      <c r="CS8" s="459"/>
      <c r="CT8" s="459"/>
      <c r="CU8" s="459"/>
      <c r="CV8" s="459"/>
      <c r="CW8" s="459"/>
      <c r="CX8" s="459"/>
      <c r="CY8" s="459"/>
      <c r="CZ8" s="459"/>
      <c r="DA8" s="459"/>
      <c r="DB8" s="459"/>
      <c r="DC8" s="459"/>
      <c r="DD8" s="459"/>
      <c r="DE8" s="459"/>
      <c r="DF8" s="459"/>
      <c r="DG8" s="459"/>
      <c r="DH8" s="459"/>
      <c r="DI8" s="459"/>
      <c r="DJ8" s="459"/>
      <c r="DK8" s="459"/>
      <c r="DL8" s="459"/>
      <c r="DM8" s="459"/>
      <c r="DN8" s="459"/>
      <c r="DO8" s="459"/>
      <c r="DP8" s="459"/>
      <c r="DQ8" s="459"/>
      <c r="DR8" s="459"/>
      <c r="DS8" s="459"/>
      <c r="DT8" s="459"/>
      <c r="DU8" s="459"/>
      <c r="DV8" s="459"/>
      <c r="DW8" s="459"/>
      <c r="DX8" s="459"/>
      <c r="DY8" s="459"/>
      <c r="DZ8" s="459"/>
      <c r="EA8" s="459"/>
      <c r="EB8" s="459"/>
      <c r="EC8" s="459"/>
      <c r="ED8" s="459"/>
      <c r="EE8" s="459"/>
      <c r="EF8" s="459"/>
      <c r="EG8" s="459"/>
      <c r="EH8" s="459"/>
      <c r="EI8" s="459"/>
      <c r="EJ8" s="459"/>
      <c r="EK8" s="459"/>
      <c r="EL8" s="459"/>
      <c r="EM8" s="459"/>
      <c r="EN8" s="459"/>
      <c r="EO8" s="459"/>
      <c r="EP8" s="459"/>
      <c r="EQ8" s="459"/>
      <c r="ER8" s="459"/>
      <c r="ES8" s="459"/>
      <c r="ET8" s="459"/>
      <c r="EU8" s="459"/>
      <c r="EV8" s="459"/>
      <c r="EW8" s="459"/>
      <c r="EX8" s="459"/>
      <c r="EY8" s="459"/>
      <c r="EZ8" s="459"/>
      <c r="FA8" s="459"/>
      <c r="FB8" s="459"/>
      <c r="FC8" s="459"/>
      <c r="FD8" s="459"/>
      <c r="FE8" s="459"/>
      <c r="FF8" s="459"/>
      <c r="FG8" s="459"/>
      <c r="FH8" s="459"/>
      <c r="FI8" s="459"/>
      <c r="FJ8" s="459"/>
      <c r="FK8" s="459"/>
      <c r="FL8" s="459"/>
      <c r="FM8" s="459"/>
      <c r="FN8" s="459"/>
      <c r="FO8" s="459"/>
      <c r="FP8" s="459"/>
      <c r="FQ8" s="459"/>
      <c r="FR8" s="459"/>
      <c r="FS8" s="459"/>
      <c r="FT8" s="459"/>
      <c r="FU8" s="459"/>
      <c r="FV8" s="459"/>
      <c r="FW8" s="459"/>
      <c r="FX8" s="459"/>
      <c r="FY8" s="459"/>
      <c r="FZ8" s="459"/>
      <c r="GA8" s="459"/>
      <c r="GB8" s="459"/>
      <c r="GC8" s="459"/>
      <c r="GD8" s="459"/>
      <c r="GE8" s="459"/>
      <c r="GF8" s="459"/>
      <c r="GG8" s="459"/>
      <c r="GH8" s="459"/>
      <c r="GI8" s="459"/>
      <c r="GJ8" s="459"/>
      <c r="GK8" s="459"/>
      <c r="GL8" s="459"/>
      <c r="GM8" s="459"/>
      <c r="GN8" s="459"/>
      <c r="GO8" s="459"/>
      <c r="GP8" s="459"/>
      <c r="GQ8" s="459"/>
      <c r="GR8" s="459"/>
      <c r="GS8" s="459"/>
      <c r="GT8" s="459"/>
      <c r="GU8" s="459"/>
      <c r="GV8" s="459"/>
      <c r="GW8" s="459"/>
      <c r="GX8" s="459"/>
      <c r="GY8" s="459"/>
      <c r="GZ8" s="459"/>
      <c r="HA8" s="459"/>
      <c r="HB8" s="459"/>
      <c r="HC8" s="459"/>
      <c r="HD8" s="459"/>
      <c r="HE8" s="459"/>
      <c r="HF8" s="459"/>
      <c r="HG8" s="459"/>
      <c r="HH8" s="459"/>
      <c r="HI8" s="459"/>
      <c r="HJ8" s="459"/>
      <c r="HK8" s="459"/>
      <c r="HL8" s="459"/>
      <c r="HM8" s="459"/>
      <c r="HN8" s="459"/>
      <c r="HO8" s="459"/>
      <c r="HP8" s="459"/>
      <c r="HQ8" s="459"/>
      <c r="HR8" s="459"/>
      <c r="HS8" s="459"/>
      <c r="HT8" s="459"/>
      <c r="HU8" s="459"/>
      <c r="HV8" s="459"/>
      <c r="HW8" s="459"/>
      <c r="HX8" s="459"/>
      <c r="HY8" s="459"/>
      <c r="HZ8" s="459"/>
      <c r="IA8" s="459"/>
      <c r="IB8" s="459"/>
      <c r="IC8" s="459"/>
      <c r="ID8" s="459"/>
      <c r="IE8" s="459"/>
      <c r="IF8" s="459"/>
      <c r="IG8" s="459"/>
      <c r="IH8" s="459"/>
      <c r="II8" s="459"/>
      <c r="IJ8" s="459"/>
      <c r="IK8" s="459"/>
      <c r="IL8" s="459"/>
      <c r="IM8" s="459"/>
      <c r="IN8" s="459"/>
      <c r="IO8" s="459"/>
      <c r="IP8" s="459"/>
      <c r="IQ8" s="459"/>
      <c r="IR8" s="459"/>
      <c r="IS8" s="459"/>
      <c r="IT8" s="459"/>
      <c r="IU8" s="459"/>
      <c r="IV8" s="459"/>
    </row>
    <row r="9" spans="1:256" ht="18">
      <c r="A9" s="455"/>
      <c r="B9" s="455"/>
      <c r="C9" s="455"/>
      <c r="D9" s="701"/>
      <c r="E9" s="455"/>
      <c r="F9" s="455"/>
      <c r="G9" s="455"/>
      <c r="H9" s="455"/>
      <c r="I9" s="455"/>
      <c r="J9" s="701" t="s">
        <v>357</v>
      </c>
      <c r="K9" s="455"/>
      <c r="L9" s="701"/>
      <c r="M9" s="457"/>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c r="FZ9" s="459"/>
      <c r="GA9" s="459"/>
      <c r="GB9" s="459"/>
      <c r="GC9" s="459"/>
      <c r="GD9" s="459"/>
      <c r="GE9" s="459"/>
      <c r="GF9" s="459"/>
      <c r="GG9" s="459"/>
      <c r="GH9" s="459"/>
      <c r="GI9" s="459"/>
      <c r="GJ9" s="459"/>
      <c r="GK9" s="459"/>
      <c r="GL9" s="459"/>
      <c r="GM9" s="459"/>
      <c r="GN9" s="459"/>
      <c r="GO9" s="459"/>
      <c r="GP9" s="459"/>
      <c r="GQ9" s="459"/>
      <c r="GR9" s="459"/>
      <c r="GS9" s="459"/>
      <c r="GT9" s="459"/>
      <c r="GU9" s="459"/>
      <c r="GV9" s="459"/>
      <c r="GW9" s="459"/>
      <c r="GX9" s="459"/>
      <c r="GY9" s="459"/>
      <c r="GZ9" s="459"/>
      <c r="HA9" s="459"/>
      <c r="HB9" s="459"/>
      <c r="HC9" s="459"/>
      <c r="HD9" s="459"/>
      <c r="HE9" s="459"/>
      <c r="HF9" s="459"/>
      <c r="HG9" s="459"/>
      <c r="HH9" s="459"/>
      <c r="HI9" s="459"/>
      <c r="HJ9" s="459"/>
      <c r="HK9" s="459"/>
      <c r="HL9" s="459"/>
      <c r="HM9" s="459"/>
      <c r="HN9" s="459"/>
      <c r="HO9" s="459"/>
      <c r="HP9" s="459"/>
      <c r="HQ9" s="459"/>
      <c r="HR9" s="459"/>
      <c r="HS9" s="459"/>
      <c r="HT9" s="459"/>
      <c r="HU9" s="459"/>
      <c r="HV9" s="459"/>
      <c r="HW9" s="459"/>
      <c r="HX9" s="459"/>
      <c r="HY9" s="459"/>
      <c r="HZ9" s="459"/>
      <c r="IA9" s="459"/>
      <c r="IB9" s="459"/>
      <c r="IC9" s="459"/>
      <c r="ID9" s="459"/>
      <c r="IE9" s="459"/>
      <c r="IF9" s="459"/>
      <c r="IG9" s="459"/>
      <c r="IH9" s="459"/>
      <c r="II9" s="459"/>
      <c r="IJ9" s="459"/>
      <c r="IK9" s="459"/>
      <c r="IL9" s="459"/>
      <c r="IM9" s="459"/>
      <c r="IN9" s="459"/>
      <c r="IO9" s="459"/>
      <c r="IP9" s="459"/>
      <c r="IQ9" s="459"/>
      <c r="IR9" s="459"/>
      <c r="IS9" s="459"/>
      <c r="IT9" s="459"/>
      <c r="IU9" s="459"/>
      <c r="IV9" s="459"/>
    </row>
    <row r="10" spans="1:256" ht="18">
      <c r="A10" s="455"/>
      <c r="B10" s="455"/>
      <c r="C10" s="455"/>
      <c r="D10" s="701" t="s">
        <v>235</v>
      </c>
      <c r="E10" s="455"/>
      <c r="F10" s="455"/>
      <c r="G10" s="455"/>
      <c r="H10" s="455"/>
      <c r="I10" s="455"/>
      <c r="J10" s="701" t="s">
        <v>358</v>
      </c>
      <c r="K10" s="455"/>
      <c r="L10" s="701" t="s">
        <v>235</v>
      </c>
      <c r="M10" s="457"/>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59"/>
      <c r="FB10" s="459"/>
      <c r="FC10" s="459"/>
      <c r="FD10" s="459"/>
      <c r="FE10" s="459"/>
      <c r="FF10" s="459"/>
      <c r="FG10" s="459"/>
      <c r="FH10" s="459"/>
      <c r="FI10" s="459"/>
      <c r="FJ10" s="459"/>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59"/>
      <c r="II10" s="459"/>
      <c r="IJ10" s="459"/>
      <c r="IK10" s="459"/>
      <c r="IL10" s="459"/>
      <c r="IM10" s="459"/>
      <c r="IN10" s="459"/>
      <c r="IO10" s="459"/>
      <c r="IP10" s="459"/>
      <c r="IQ10" s="459"/>
      <c r="IR10" s="459"/>
      <c r="IS10" s="459"/>
      <c r="IT10" s="459"/>
      <c r="IU10" s="459"/>
      <c r="IV10" s="459"/>
    </row>
    <row r="11" spans="1:256" ht="18">
      <c r="A11" s="475" t="s">
        <v>359</v>
      </c>
      <c r="B11" s="455"/>
      <c r="C11" s="455"/>
      <c r="D11" s="917" t="str">
        <f>'Sch 1 '!C11</f>
        <v>FEBRUARY 1, 2020</v>
      </c>
      <c r="E11" s="455"/>
      <c r="F11" s="701" t="s">
        <v>237</v>
      </c>
      <c r="G11" s="455"/>
      <c r="H11" s="701" t="s">
        <v>238</v>
      </c>
      <c r="I11" s="455"/>
      <c r="J11" s="701" t="s">
        <v>239</v>
      </c>
      <c r="K11" s="455"/>
      <c r="L11" s="917" t="str">
        <f>'Sch 1 '!K11</f>
        <v>FEBRUARY 29, 2020</v>
      </c>
      <c r="M11" s="457"/>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ht="9.75" customHeight="1">
      <c r="A12" s="455" t="s">
        <v>15</v>
      </c>
      <c r="B12" s="455"/>
      <c r="C12" s="455"/>
      <c r="D12" s="702" t="s">
        <v>15</v>
      </c>
      <c r="E12" s="455"/>
      <c r="F12" s="702" t="s">
        <v>15</v>
      </c>
      <c r="G12" s="455"/>
      <c r="H12" s="702" t="s">
        <v>15</v>
      </c>
      <c r="I12" s="455"/>
      <c r="J12" s="702" t="s">
        <v>15</v>
      </c>
      <c r="K12" s="455" t="s">
        <v>15</v>
      </c>
      <c r="L12" s="702" t="s">
        <v>15</v>
      </c>
      <c r="M12" s="457"/>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c r="CJ12" s="459"/>
      <c r="CK12" s="459"/>
      <c r="CL12" s="459"/>
      <c r="CM12" s="459"/>
      <c r="CN12" s="459"/>
      <c r="CO12" s="459"/>
      <c r="CP12" s="459"/>
      <c r="CQ12" s="459"/>
      <c r="CR12" s="459"/>
      <c r="CS12" s="459"/>
      <c r="CT12" s="459"/>
      <c r="CU12" s="459"/>
      <c r="CV12" s="459"/>
      <c r="CW12" s="459"/>
      <c r="CX12" s="459"/>
      <c r="CY12" s="459"/>
      <c r="CZ12" s="459"/>
      <c r="DA12" s="459"/>
      <c r="DB12" s="459"/>
      <c r="DC12" s="459"/>
      <c r="DD12" s="459"/>
      <c r="DE12" s="459"/>
      <c r="DF12" s="459"/>
      <c r="DG12" s="459"/>
      <c r="DH12" s="459"/>
      <c r="DI12" s="459"/>
      <c r="DJ12" s="459"/>
      <c r="DK12" s="459"/>
      <c r="DL12" s="459"/>
      <c r="DM12" s="459"/>
      <c r="DN12" s="459"/>
      <c r="DO12" s="459"/>
      <c r="DP12" s="459"/>
      <c r="DQ12" s="459"/>
      <c r="DR12" s="459"/>
      <c r="DS12" s="459"/>
      <c r="DT12" s="459"/>
      <c r="DU12" s="459"/>
      <c r="DV12" s="459"/>
      <c r="DW12" s="459"/>
      <c r="DX12" s="459"/>
      <c r="DY12" s="459"/>
      <c r="DZ12" s="459"/>
      <c r="EA12" s="459"/>
      <c r="EB12" s="459"/>
      <c r="EC12" s="459"/>
      <c r="ED12" s="459"/>
      <c r="EE12" s="459"/>
      <c r="EF12" s="459"/>
      <c r="EG12" s="459"/>
      <c r="EH12" s="459"/>
      <c r="EI12" s="459"/>
      <c r="EJ12" s="459"/>
      <c r="EK12" s="459"/>
      <c r="EL12" s="459"/>
      <c r="EM12" s="459"/>
      <c r="EN12" s="459"/>
      <c r="EO12" s="459"/>
      <c r="EP12" s="459"/>
      <c r="EQ12" s="459"/>
      <c r="ER12" s="459"/>
      <c r="ES12" s="459"/>
      <c r="ET12" s="459"/>
      <c r="EU12" s="459"/>
      <c r="EV12" s="459"/>
      <c r="EW12" s="459"/>
      <c r="EX12" s="459"/>
      <c r="EY12" s="459"/>
      <c r="EZ12" s="459"/>
      <c r="FA12" s="459"/>
      <c r="FB12" s="459"/>
      <c r="FC12" s="459"/>
      <c r="FD12" s="459"/>
      <c r="FE12" s="459"/>
      <c r="FF12" s="459"/>
      <c r="FG12" s="459"/>
      <c r="FH12" s="459"/>
      <c r="FI12" s="459"/>
      <c r="FJ12" s="459"/>
      <c r="FK12" s="459"/>
      <c r="FL12" s="459"/>
      <c r="FM12" s="459"/>
      <c r="FN12" s="459"/>
      <c r="FO12" s="459"/>
      <c r="FP12" s="459"/>
      <c r="FQ12" s="459"/>
      <c r="FR12" s="459"/>
      <c r="FS12" s="459"/>
      <c r="FT12" s="459"/>
      <c r="FU12" s="459"/>
      <c r="FV12" s="459"/>
      <c r="FW12" s="459"/>
      <c r="FX12" s="459"/>
      <c r="FY12" s="459"/>
      <c r="FZ12" s="459"/>
      <c r="GA12" s="459"/>
      <c r="GB12" s="459"/>
      <c r="GC12" s="459"/>
      <c r="GD12" s="459"/>
      <c r="GE12" s="459"/>
      <c r="GF12" s="459"/>
      <c r="GG12" s="459"/>
      <c r="GH12" s="459"/>
      <c r="GI12" s="459"/>
      <c r="GJ12" s="459"/>
      <c r="GK12" s="459"/>
      <c r="GL12" s="459"/>
      <c r="GM12" s="459"/>
      <c r="GN12" s="459"/>
      <c r="GO12" s="459"/>
      <c r="GP12" s="459"/>
      <c r="GQ12" s="459"/>
      <c r="GR12" s="459"/>
      <c r="GS12" s="459"/>
      <c r="GT12" s="459"/>
      <c r="GU12" s="459"/>
      <c r="GV12" s="459"/>
      <c r="GW12" s="459"/>
      <c r="GX12" s="459"/>
      <c r="GY12" s="459"/>
      <c r="GZ12" s="459"/>
      <c r="HA12" s="459"/>
      <c r="HB12" s="459"/>
      <c r="HC12" s="459"/>
      <c r="HD12" s="459"/>
      <c r="HE12" s="459"/>
      <c r="HF12" s="459"/>
      <c r="HG12" s="459"/>
      <c r="HH12" s="459"/>
      <c r="HI12" s="459"/>
      <c r="HJ12" s="459"/>
      <c r="HK12" s="459"/>
      <c r="HL12" s="459"/>
      <c r="HM12" s="459"/>
      <c r="HN12" s="459"/>
      <c r="HO12" s="459"/>
      <c r="HP12" s="459"/>
      <c r="HQ12" s="459"/>
      <c r="HR12" s="459"/>
      <c r="HS12" s="459"/>
      <c r="HT12" s="459"/>
      <c r="HU12" s="459"/>
      <c r="HV12" s="459"/>
      <c r="HW12" s="459"/>
      <c r="HX12" s="459"/>
      <c r="HY12" s="459"/>
      <c r="HZ12" s="459"/>
      <c r="IA12" s="459"/>
      <c r="IB12" s="459"/>
      <c r="IC12" s="459"/>
      <c r="ID12" s="459"/>
      <c r="IE12" s="459"/>
      <c r="IF12" s="459"/>
      <c r="IG12" s="459"/>
      <c r="IH12" s="459"/>
      <c r="II12" s="459"/>
      <c r="IJ12" s="459"/>
      <c r="IK12" s="459"/>
      <c r="IL12" s="459"/>
      <c r="IM12" s="459"/>
      <c r="IN12" s="459"/>
      <c r="IO12" s="459"/>
      <c r="IP12" s="459"/>
      <c r="IQ12" s="459"/>
      <c r="IR12" s="459"/>
      <c r="IS12" s="459"/>
      <c r="IT12" s="459"/>
      <c r="IU12" s="459"/>
      <c r="IV12" s="459"/>
    </row>
    <row r="13" spans="1:256" ht="18" customHeight="1">
      <c r="A13" s="462" t="s">
        <v>225</v>
      </c>
      <c r="B13" s="459"/>
      <c r="C13" s="459"/>
      <c r="D13" s="703"/>
      <c r="E13" s="703"/>
      <c r="F13" s="478"/>
      <c r="G13" s="449"/>
      <c r="H13" s="478"/>
      <c r="I13" s="703"/>
      <c r="J13" s="703"/>
      <c r="K13" s="703"/>
      <c r="L13" s="703"/>
      <c r="M13" s="463"/>
      <c r="N13" s="464"/>
      <c r="O13" s="465"/>
      <c r="P13" s="465"/>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row>
    <row r="14" spans="1:256" ht="7.5" customHeight="1">
      <c r="A14" s="455"/>
      <c r="B14" s="459"/>
      <c r="C14" s="459"/>
      <c r="D14" s="703"/>
      <c r="E14" s="703"/>
      <c r="F14" s="703"/>
      <c r="G14" s="703"/>
      <c r="H14" s="703"/>
      <c r="I14" s="703"/>
      <c r="J14" s="703"/>
      <c r="K14" s="703"/>
      <c r="L14" s="703"/>
      <c r="M14" s="463"/>
      <c r="N14" s="464"/>
      <c r="O14" s="465"/>
      <c r="P14" s="465"/>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459"/>
      <c r="GQ14" s="459"/>
      <c r="GR14" s="459"/>
      <c r="GS14" s="459"/>
      <c r="GT14" s="459"/>
      <c r="GU14" s="459"/>
      <c r="GV14" s="459"/>
      <c r="GW14" s="459"/>
      <c r="GX14" s="459"/>
      <c r="GY14" s="459"/>
      <c r="GZ14" s="459"/>
      <c r="HA14" s="459"/>
      <c r="HB14" s="459"/>
      <c r="HC14" s="459"/>
      <c r="HD14" s="459"/>
      <c r="HE14" s="459"/>
      <c r="HF14" s="459"/>
      <c r="HG14" s="459"/>
      <c r="HH14" s="459"/>
      <c r="HI14" s="459"/>
      <c r="HJ14" s="459"/>
      <c r="HK14" s="459"/>
      <c r="HL14" s="459"/>
      <c r="HM14" s="459"/>
      <c r="HN14" s="459"/>
      <c r="HO14" s="459"/>
      <c r="HP14" s="459"/>
      <c r="HQ14" s="459"/>
      <c r="HR14" s="459"/>
      <c r="HS14" s="459"/>
      <c r="HT14" s="459"/>
      <c r="HU14" s="459"/>
      <c r="HV14" s="459"/>
      <c r="HW14" s="459"/>
      <c r="HX14" s="459"/>
      <c r="HY14" s="459"/>
      <c r="HZ14" s="459"/>
      <c r="IA14" s="459"/>
      <c r="IB14" s="459"/>
      <c r="IC14" s="459"/>
      <c r="ID14" s="459"/>
      <c r="IE14" s="459"/>
      <c r="IF14" s="459"/>
      <c r="IG14" s="459"/>
      <c r="IH14" s="459"/>
      <c r="II14" s="459"/>
      <c r="IJ14" s="459"/>
      <c r="IK14" s="459"/>
      <c r="IL14" s="459"/>
      <c r="IM14" s="459"/>
      <c r="IN14" s="459"/>
      <c r="IO14" s="459"/>
      <c r="IP14" s="459"/>
      <c r="IQ14" s="459"/>
      <c r="IR14" s="459"/>
      <c r="IS14" s="459"/>
      <c r="IT14" s="459"/>
      <c r="IU14" s="459"/>
      <c r="IV14" s="459"/>
    </row>
    <row r="15" spans="1:256" ht="15.75" customHeight="1">
      <c r="A15" s="459" t="s">
        <v>1018</v>
      </c>
      <c r="B15" s="459"/>
      <c r="C15" s="459"/>
      <c r="D15" s="3592">
        <v>-6.1360000000000001</v>
      </c>
      <c r="E15" s="1732"/>
      <c r="F15" s="1731">
        <v>5.3659999999999997</v>
      </c>
      <c r="G15" s="1732"/>
      <c r="H15" s="1731">
        <v>9.7720000000000002</v>
      </c>
      <c r="I15" s="1732"/>
      <c r="J15" s="1731">
        <v>0</v>
      </c>
      <c r="K15" s="1733"/>
      <c r="L15" s="1734">
        <f>ROUND(SUM(D15)+SUM(F15)-SUM(H15)+SUM(J15),3)</f>
        <v>-10.542</v>
      </c>
      <c r="M15" s="463"/>
      <c r="N15" s="464"/>
      <c r="O15" s="465"/>
      <c r="P15" s="465"/>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c r="CJ15" s="459"/>
      <c r="CK15" s="459"/>
      <c r="CL15" s="459"/>
      <c r="CM15" s="459"/>
      <c r="CN15" s="459"/>
      <c r="CO15" s="459"/>
      <c r="CP15" s="459"/>
      <c r="CQ15" s="459"/>
      <c r="CR15" s="459"/>
      <c r="CS15" s="459"/>
      <c r="CT15" s="459"/>
      <c r="CU15" s="459"/>
      <c r="CV15" s="459"/>
      <c r="CW15" s="459"/>
      <c r="CX15" s="459"/>
      <c r="CY15" s="459"/>
      <c r="CZ15" s="459"/>
      <c r="DA15" s="459"/>
      <c r="DB15" s="459"/>
      <c r="DC15" s="459"/>
      <c r="DD15" s="459"/>
      <c r="DE15" s="459"/>
      <c r="DF15" s="459"/>
      <c r="DG15" s="459"/>
      <c r="DH15" s="459"/>
      <c r="DI15" s="459"/>
      <c r="DJ15" s="459"/>
      <c r="DK15" s="459"/>
      <c r="DL15" s="459"/>
      <c r="DM15" s="459"/>
      <c r="DN15" s="459"/>
      <c r="DO15" s="459"/>
      <c r="DP15" s="459"/>
      <c r="DQ15" s="459"/>
      <c r="DR15" s="459"/>
      <c r="DS15" s="459"/>
      <c r="DT15" s="459"/>
      <c r="DU15" s="459"/>
      <c r="DV15" s="459"/>
      <c r="DW15" s="459"/>
      <c r="DX15" s="459"/>
      <c r="DY15" s="459"/>
      <c r="DZ15" s="459"/>
      <c r="EA15" s="459"/>
      <c r="EB15" s="459"/>
      <c r="EC15" s="459"/>
      <c r="ED15" s="459"/>
      <c r="EE15" s="459"/>
      <c r="EF15" s="459"/>
      <c r="EG15" s="459"/>
      <c r="EH15" s="459"/>
      <c r="EI15" s="459"/>
      <c r="EJ15" s="459"/>
      <c r="EK15" s="459"/>
      <c r="EL15" s="459"/>
      <c r="EM15" s="459"/>
      <c r="EN15" s="459"/>
      <c r="EO15" s="459"/>
      <c r="EP15" s="459"/>
      <c r="EQ15" s="459"/>
      <c r="ER15" s="459"/>
      <c r="ES15" s="459"/>
      <c r="ET15" s="459"/>
      <c r="EU15" s="459"/>
      <c r="EV15" s="459"/>
      <c r="EW15" s="459"/>
      <c r="EX15" s="459"/>
      <c r="EY15" s="459"/>
      <c r="EZ15" s="459"/>
      <c r="FA15" s="459"/>
      <c r="FB15" s="459"/>
      <c r="FC15" s="459"/>
      <c r="FD15" s="459"/>
      <c r="FE15" s="459"/>
      <c r="FF15" s="459"/>
      <c r="FG15" s="459"/>
      <c r="FH15" s="459"/>
      <c r="FI15" s="459"/>
      <c r="FJ15" s="459"/>
      <c r="FK15" s="459"/>
      <c r="FL15" s="459"/>
      <c r="FM15" s="459"/>
      <c r="FN15" s="459"/>
      <c r="FO15" s="459"/>
      <c r="FP15" s="459"/>
      <c r="FQ15" s="459"/>
      <c r="FR15" s="459"/>
      <c r="FS15" s="459"/>
      <c r="FT15" s="459"/>
      <c r="FU15" s="459"/>
      <c r="FV15" s="459"/>
      <c r="FW15" s="459"/>
      <c r="FX15" s="459"/>
      <c r="FY15" s="459"/>
      <c r="FZ15" s="459"/>
      <c r="GA15" s="459"/>
      <c r="GB15" s="459"/>
      <c r="GC15" s="459"/>
      <c r="GD15" s="459"/>
      <c r="GE15" s="459"/>
      <c r="GF15" s="459"/>
      <c r="GG15" s="459"/>
      <c r="GH15" s="459"/>
      <c r="GI15" s="459"/>
      <c r="GJ15" s="459"/>
      <c r="GK15" s="459"/>
      <c r="GL15" s="459"/>
      <c r="GM15" s="459"/>
      <c r="GN15" s="459"/>
      <c r="GO15" s="459"/>
      <c r="GP15" s="459"/>
      <c r="GQ15" s="459"/>
      <c r="GR15" s="459"/>
      <c r="GS15" s="459"/>
      <c r="GT15" s="459"/>
      <c r="GU15" s="459"/>
      <c r="GV15" s="459"/>
      <c r="GW15" s="459"/>
      <c r="GX15" s="459"/>
      <c r="GY15" s="459"/>
      <c r="GZ15" s="459"/>
      <c r="HA15" s="459"/>
      <c r="HB15" s="459"/>
      <c r="HC15" s="459"/>
      <c r="HD15" s="459"/>
      <c r="HE15" s="459"/>
      <c r="HF15" s="459"/>
      <c r="HG15" s="459"/>
      <c r="HH15" s="459"/>
      <c r="HI15" s="459"/>
      <c r="HJ15" s="459"/>
      <c r="HK15" s="459"/>
      <c r="HL15" s="459"/>
      <c r="HM15" s="459"/>
      <c r="HN15" s="459"/>
      <c r="HO15" s="459"/>
      <c r="HP15" s="459"/>
      <c r="HQ15" s="459"/>
      <c r="HR15" s="459"/>
      <c r="HS15" s="459"/>
      <c r="HT15" s="459"/>
      <c r="HU15" s="459"/>
      <c r="HV15" s="459"/>
      <c r="HW15" s="459"/>
      <c r="HX15" s="459"/>
      <c r="HY15" s="459"/>
      <c r="HZ15" s="459"/>
      <c r="IA15" s="459"/>
      <c r="IB15" s="459"/>
      <c r="IC15" s="459"/>
      <c r="ID15" s="459"/>
      <c r="IE15" s="459"/>
      <c r="IF15" s="459"/>
      <c r="IG15" s="459"/>
      <c r="IH15" s="459"/>
      <c r="II15" s="459"/>
      <c r="IJ15" s="459"/>
      <c r="IK15" s="459"/>
      <c r="IL15" s="459"/>
      <c r="IM15" s="459"/>
      <c r="IN15" s="459"/>
      <c r="IO15" s="459"/>
      <c r="IP15" s="459"/>
      <c r="IQ15" s="459"/>
      <c r="IR15" s="459"/>
      <c r="IS15" s="459"/>
      <c r="IT15" s="459"/>
      <c r="IU15" s="459"/>
      <c r="IV15" s="459"/>
    </row>
    <row r="16" spans="1:256" ht="6.75" customHeight="1">
      <c r="A16" s="455"/>
      <c r="B16" s="459"/>
      <c r="C16" s="459"/>
      <c r="D16" s="3593" t="s">
        <v>15</v>
      </c>
      <c r="E16" s="704"/>
      <c r="F16" s="705" t="s">
        <v>15</v>
      </c>
      <c r="G16" s="704"/>
      <c r="H16" s="705" t="s">
        <v>15</v>
      </c>
      <c r="I16" s="704"/>
      <c r="J16" s="706" t="s">
        <v>15</v>
      </c>
      <c r="K16" s="704"/>
      <c r="L16" s="707" t="s">
        <v>15</v>
      </c>
      <c r="M16" s="466"/>
      <c r="N16" s="459"/>
      <c r="O16" s="465"/>
      <c r="P16" s="465"/>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c r="CJ16" s="459"/>
      <c r="CK16" s="459"/>
      <c r="CL16" s="459"/>
      <c r="CM16" s="459"/>
      <c r="CN16" s="459"/>
      <c r="CO16" s="459"/>
      <c r="CP16" s="459"/>
      <c r="CQ16" s="459"/>
      <c r="CR16" s="459"/>
      <c r="CS16" s="459"/>
      <c r="CT16" s="459"/>
      <c r="CU16" s="459"/>
      <c r="CV16" s="459"/>
      <c r="CW16" s="459"/>
      <c r="CX16" s="459"/>
      <c r="CY16" s="459"/>
      <c r="CZ16" s="459"/>
      <c r="DA16" s="459"/>
      <c r="DB16" s="459"/>
      <c r="DC16" s="459"/>
      <c r="DD16" s="459"/>
      <c r="DE16" s="459"/>
      <c r="DF16" s="459"/>
      <c r="DG16" s="459"/>
      <c r="DH16" s="459"/>
      <c r="DI16" s="459"/>
      <c r="DJ16" s="459"/>
      <c r="DK16" s="459"/>
      <c r="DL16" s="459"/>
      <c r="DM16" s="459"/>
      <c r="DN16" s="459"/>
      <c r="DO16" s="459"/>
      <c r="DP16" s="459"/>
      <c r="DQ16" s="459"/>
      <c r="DR16" s="459"/>
      <c r="DS16" s="459"/>
      <c r="DT16" s="459"/>
      <c r="DU16" s="459"/>
      <c r="DV16" s="459"/>
      <c r="DW16" s="459"/>
      <c r="DX16" s="459"/>
      <c r="DY16" s="459"/>
      <c r="DZ16" s="459"/>
      <c r="EA16" s="459"/>
      <c r="EB16" s="459"/>
      <c r="EC16" s="459"/>
      <c r="ED16" s="459"/>
      <c r="EE16" s="459"/>
      <c r="EF16" s="459"/>
      <c r="EG16" s="459"/>
      <c r="EH16" s="459"/>
      <c r="EI16" s="459"/>
      <c r="EJ16" s="459"/>
      <c r="EK16" s="459"/>
      <c r="EL16" s="459"/>
      <c r="EM16" s="459"/>
      <c r="EN16" s="459"/>
      <c r="EO16" s="459"/>
      <c r="EP16" s="459"/>
      <c r="EQ16" s="459"/>
      <c r="ER16" s="459"/>
      <c r="ES16" s="459"/>
      <c r="ET16" s="459"/>
      <c r="EU16" s="459"/>
      <c r="EV16" s="459"/>
      <c r="EW16" s="459"/>
      <c r="EX16" s="459"/>
      <c r="EY16" s="459"/>
      <c r="EZ16" s="459"/>
      <c r="FA16" s="459"/>
      <c r="FB16" s="459"/>
      <c r="FC16" s="459"/>
      <c r="FD16" s="459"/>
      <c r="FE16" s="459"/>
      <c r="FF16" s="459"/>
      <c r="FG16" s="459"/>
      <c r="FH16" s="459"/>
      <c r="FI16" s="459"/>
      <c r="FJ16" s="459"/>
      <c r="FK16" s="459"/>
      <c r="FL16" s="459"/>
      <c r="FM16" s="459"/>
      <c r="FN16" s="459"/>
      <c r="FO16" s="459"/>
      <c r="FP16" s="459"/>
      <c r="FQ16" s="459"/>
      <c r="FR16" s="459"/>
      <c r="FS16" s="459"/>
      <c r="FT16" s="459"/>
      <c r="FU16" s="459"/>
      <c r="FV16" s="459"/>
      <c r="FW16" s="459"/>
      <c r="FX16" s="459"/>
      <c r="FY16" s="459"/>
      <c r="FZ16" s="459"/>
      <c r="GA16" s="459"/>
      <c r="GB16" s="459"/>
      <c r="GC16" s="459"/>
      <c r="GD16" s="459"/>
      <c r="GE16" s="459"/>
      <c r="GF16" s="459"/>
      <c r="GG16" s="459"/>
      <c r="GH16" s="459"/>
      <c r="GI16" s="459"/>
      <c r="GJ16" s="459"/>
      <c r="GK16" s="459"/>
      <c r="GL16" s="459"/>
      <c r="GM16" s="459"/>
      <c r="GN16" s="459"/>
      <c r="GO16" s="459"/>
      <c r="GP16" s="459"/>
      <c r="GQ16" s="459"/>
      <c r="GR16" s="459"/>
      <c r="GS16" s="459"/>
      <c r="GT16" s="459"/>
      <c r="GU16" s="459"/>
      <c r="GV16" s="459"/>
      <c r="GW16" s="459"/>
      <c r="GX16" s="459"/>
      <c r="GY16" s="459"/>
      <c r="GZ16" s="459"/>
      <c r="HA16" s="459"/>
      <c r="HB16" s="459"/>
      <c r="HC16" s="459"/>
      <c r="HD16" s="459"/>
      <c r="HE16" s="459"/>
      <c r="HF16" s="459"/>
      <c r="HG16" s="459"/>
      <c r="HH16" s="459"/>
      <c r="HI16" s="459"/>
      <c r="HJ16" s="459"/>
      <c r="HK16" s="459"/>
      <c r="HL16" s="459"/>
      <c r="HM16" s="459"/>
      <c r="HN16" s="459"/>
      <c r="HO16" s="459"/>
      <c r="HP16" s="459"/>
      <c r="HQ16" s="459"/>
      <c r="HR16" s="459"/>
      <c r="HS16" s="459"/>
      <c r="HT16" s="459"/>
      <c r="HU16" s="459"/>
      <c r="HV16" s="459"/>
      <c r="HW16" s="459"/>
      <c r="HX16" s="459"/>
      <c r="HY16" s="459"/>
      <c r="HZ16" s="459"/>
      <c r="IA16" s="459"/>
      <c r="IB16" s="459"/>
      <c r="IC16" s="459"/>
      <c r="ID16" s="459"/>
      <c r="IE16" s="459"/>
      <c r="IF16" s="459"/>
      <c r="IG16" s="459"/>
      <c r="IH16" s="459"/>
      <c r="II16" s="459"/>
      <c r="IJ16" s="459"/>
      <c r="IK16" s="459"/>
      <c r="IL16" s="459"/>
      <c r="IM16" s="459"/>
      <c r="IN16" s="459"/>
      <c r="IO16" s="459"/>
      <c r="IP16" s="459"/>
      <c r="IQ16" s="459"/>
      <c r="IR16" s="459"/>
      <c r="IS16" s="459"/>
      <c r="IT16" s="459"/>
      <c r="IU16" s="459"/>
      <c r="IV16" s="459"/>
    </row>
    <row r="17" spans="1:256" ht="17.25" customHeight="1">
      <c r="A17" s="455" t="s">
        <v>374</v>
      </c>
      <c r="B17" s="459"/>
      <c r="C17" s="459"/>
      <c r="D17" s="708">
        <f>ROUND(SUM(D15),3)</f>
        <v>-6.1360000000000001</v>
      </c>
      <c r="E17" s="709"/>
      <c r="F17" s="708">
        <f>ROUND(SUM(F15),3)</f>
        <v>5.3659999999999997</v>
      </c>
      <c r="G17" s="709"/>
      <c r="H17" s="708">
        <f>ROUND(SUM(H15),3)</f>
        <v>9.7720000000000002</v>
      </c>
      <c r="I17" s="709"/>
      <c r="J17" s="909">
        <f>ROUND(SUM(J15),3)</f>
        <v>0</v>
      </c>
      <c r="K17" s="709"/>
      <c r="L17" s="708">
        <f>ROUND(SUM(L15),3)</f>
        <v>-10.542</v>
      </c>
      <c r="M17" s="467"/>
      <c r="N17" s="459"/>
      <c r="O17" s="465"/>
      <c r="P17" s="465"/>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59"/>
      <c r="DU17" s="459"/>
      <c r="DV17" s="459"/>
      <c r="DW17" s="459"/>
      <c r="DX17" s="459"/>
      <c r="DY17" s="459"/>
      <c r="DZ17" s="459"/>
      <c r="EA17" s="459"/>
      <c r="EB17" s="459"/>
      <c r="EC17" s="459"/>
      <c r="ED17" s="459"/>
      <c r="EE17" s="459"/>
      <c r="EF17" s="459"/>
      <c r="EG17" s="459"/>
      <c r="EH17" s="459"/>
      <c r="EI17" s="459"/>
      <c r="EJ17" s="459"/>
      <c r="EK17" s="459"/>
      <c r="EL17" s="459"/>
      <c r="EM17" s="459"/>
      <c r="EN17" s="459"/>
      <c r="EO17" s="459"/>
      <c r="EP17" s="459"/>
      <c r="EQ17" s="459"/>
      <c r="ER17" s="459"/>
      <c r="ES17" s="459"/>
      <c r="ET17" s="459"/>
      <c r="EU17" s="459"/>
      <c r="EV17" s="459"/>
      <c r="EW17" s="459"/>
      <c r="EX17" s="459"/>
      <c r="EY17" s="459"/>
      <c r="EZ17" s="459"/>
      <c r="FA17" s="459"/>
      <c r="FB17" s="459"/>
      <c r="FC17" s="459"/>
      <c r="FD17" s="459"/>
      <c r="FE17" s="459"/>
      <c r="FF17" s="459"/>
      <c r="FG17" s="459"/>
      <c r="FH17" s="459"/>
      <c r="FI17" s="459"/>
      <c r="FJ17" s="459"/>
      <c r="FK17" s="459"/>
      <c r="FL17" s="459"/>
      <c r="FM17" s="459"/>
      <c r="FN17" s="459"/>
      <c r="FO17" s="459"/>
      <c r="FP17" s="459"/>
      <c r="FQ17" s="459"/>
      <c r="FR17" s="459"/>
      <c r="FS17" s="459"/>
      <c r="FT17" s="459"/>
      <c r="FU17" s="459"/>
      <c r="FV17" s="459"/>
      <c r="FW17" s="459"/>
      <c r="FX17" s="459"/>
      <c r="FY17" s="459"/>
      <c r="FZ17" s="459"/>
      <c r="GA17" s="459"/>
      <c r="GB17" s="459"/>
      <c r="GC17" s="459"/>
      <c r="GD17" s="459"/>
      <c r="GE17" s="459"/>
      <c r="GF17" s="459"/>
      <c r="GG17" s="459"/>
      <c r="GH17" s="459"/>
      <c r="GI17" s="459"/>
      <c r="GJ17" s="459"/>
      <c r="GK17" s="459"/>
      <c r="GL17" s="459"/>
      <c r="GM17" s="459"/>
      <c r="GN17" s="459"/>
      <c r="GO17" s="459"/>
      <c r="GP17" s="459"/>
      <c r="GQ17" s="459"/>
      <c r="GR17" s="459"/>
      <c r="GS17" s="459"/>
      <c r="GT17" s="459"/>
      <c r="GU17" s="459"/>
      <c r="GV17" s="459"/>
      <c r="GW17" s="459"/>
      <c r="GX17" s="459"/>
      <c r="GY17" s="459"/>
      <c r="GZ17" s="459"/>
      <c r="HA17" s="459"/>
      <c r="HB17" s="459"/>
      <c r="HC17" s="459"/>
      <c r="HD17" s="459"/>
      <c r="HE17" s="459"/>
      <c r="HF17" s="459"/>
      <c r="HG17" s="459"/>
      <c r="HH17" s="459"/>
      <c r="HI17" s="459"/>
      <c r="HJ17" s="459"/>
      <c r="HK17" s="459"/>
      <c r="HL17" s="459"/>
      <c r="HM17" s="459"/>
      <c r="HN17" s="459"/>
      <c r="HO17" s="459"/>
      <c r="HP17" s="459"/>
      <c r="HQ17" s="459"/>
      <c r="HR17" s="459"/>
      <c r="HS17" s="459"/>
      <c r="HT17" s="459"/>
      <c r="HU17" s="459"/>
      <c r="HV17" s="459"/>
      <c r="HW17" s="459"/>
      <c r="HX17" s="459"/>
      <c r="HY17" s="459"/>
      <c r="HZ17" s="459"/>
      <c r="IA17" s="459"/>
      <c r="IB17" s="459"/>
      <c r="IC17" s="459"/>
      <c r="ID17" s="459"/>
      <c r="IE17" s="459"/>
      <c r="IF17" s="459"/>
      <c r="IG17" s="459"/>
      <c r="IH17" s="459"/>
      <c r="II17" s="459"/>
      <c r="IJ17" s="459"/>
      <c r="IK17" s="459"/>
      <c r="IL17" s="459"/>
      <c r="IM17" s="459"/>
      <c r="IN17" s="459"/>
      <c r="IO17" s="459"/>
      <c r="IP17" s="459"/>
      <c r="IQ17" s="459"/>
      <c r="IR17" s="459"/>
      <c r="IS17" s="459"/>
      <c r="IT17" s="459"/>
      <c r="IU17" s="459"/>
      <c r="IV17" s="459"/>
    </row>
    <row r="18" spans="1:256" ht="12" customHeight="1">
      <c r="A18" s="455"/>
      <c r="B18" s="459"/>
      <c r="C18" s="459"/>
      <c r="D18" s="710"/>
      <c r="E18" s="452"/>
      <c r="F18" s="710"/>
      <c r="G18" s="452"/>
      <c r="H18" s="710"/>
      <c r="I18" s="452"/>
      <c r="J18" s="453"/>
      <c r="K18" s="452"/>
      <c r="L18" s="710"/>
      <c r="M18" s="466"/>
      <c r="N18" s="459"/>
      <c r="O18" s="465"/>
      <c r="P18" s="465"/>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459"/>
      <c r="GQ18" s="459"/>
      <c r="GR18" s="459"/>
      <c r="GS18" s="459"/>
      <c r="GT18" s="459"/>
      <c r="GU18" s="459"/>
      <c r="GV18" s="459"/>
      <c r="GW18" s="459"/>
      <c r="GX18" s="459"/>
      <c r="GY18" s="459"/>
      <c r="GZ18" s="459"/>
      <c r="HA18" s="459"/>
      <c r="HB18" s="459"/>
      <c r="HC18" s="459"/>
      <c r="HD18" s="459"/>
      <c r="HE18" s="459"/>
      <c r="HF18" s="459"/>
      <c r="HG18" s="459"/>
      <c r="HH18" s="459"/>
      <c r="HI18" s="459"/>
      <c r="HJ18" s="459"/>
      <c r="HK18" s="459"/>
      <c r="HL18" s="459"/>
      <c r="HM18" s="459"/>
      <c r="HN18" s="459"/>
      <c r="HO18" s="459"/>
      <c r="HP18" s="459"/>
      <c r="HQ18" s="459"/>
      <c r="HR18" s="459"/>
      <c r="HS18" s="459"/>
      <c r="HT18" s="459"/>
      <c r="HU18" s="459"/>
      <c r="HV18" s="459"/>
      <c r="HW18" s="459"/>
      <c r="HX18" s="459"/>
      <c r="HY18" s="459"/>
      <c r="HZ18" s="459"/>
      <c r="IA18" s="459"/>
      <c r="IB18" s="459"/>
      <c r="IC18" s="459"/>
      <c r="ID18" s="459"/>
      <c r="IE18" s="459"/>
      <c r="IF18" s="459"/>
      <c r="IG18" s="459"/>
      <c r="IH18" s="459"/>
      <c r="II18" s="459"/>
      <c r="IJ18" s="459"/>
      <c r="IK18" s="459"/>
      <c r="IL18" s="459"/>
      <c r="IM18" s="459"/>
      <c r="IN18" s="459"/>
      <c r="IO18" s="459"/>
      <c r="IP18" s="459"/>
      <c r="IQ18" s="459"/>
      <c r="IR18" s="459"/>
      <c r="IS18" s="459"/>
      <c r="IT18" s="459"/>
      <c r="IU18" s="459"/>
      <c r="IV18" s="459"/>
    </row>
    <row r="19" spans="1:256" ht="18" customHeight="1">
      <c r="A19" s="468" t="s">
        <v>229</v>
      </c>
      <c r="B19" s="455"/>
      <c r="C19" s="455"/>
      <c r="D19" s="711"/>
      <c r="E19" s="711"/>
      <c r="F19" s="711"/>
      <c r="G19" s="711"/>
      <c r="H19" s="711"/>
      <c r="I19" s="711"/>
      <c r="J19" s="711"/>
      <c r="K19" s="711"/>
      <c r="L19" s="711"/>
      <c r="M19" s="457"/>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c r="CJ19" s="459"/>
      <c r="CK19" s="459"/>
      <c r="CL19" s="459"/>
      <c r="CM19" s="459"/>
      <c r="CN19" s="459"/>
      <c r="CO19" s="459"/>
      <c r="CP19" s="459"/>
      <c r="CQ19" s="459"/>
      <c r="CR19" s="459"/>
      <c r="CS19" s="459"/>
      <c r="CT19" s="459"/>
      <c r="CU19" s="459"/>
      <c r="CV19" s="459"/>
      <c r="CW19" s="459"/>
      <c r="CX19" s="459"/>
      <c r="CY19" s="459"/>
      <c r="CZ19" s="459"/>
      <c r="DA19" s="459"/>
      <c r="DB19" s="459"/>
      <c r="DC19" s="459"/>
      <c r="DD19" s="459"/>
      <c r="DE19" s="459"/>
      <c r="DF19" s="459"/>
      <c r="DG19" s="459"/>
      <c r="DH19" s="459"/>
      <c r="DI19" s="459"/>
      <c r="DJ19" s="459"/>
      <c r="DK19" s="459"/>
      <c r="DL19" s="459"/>
      <c r="DM19" s="459"/>
      <c r="DN19" s="459"/>
      <c r="DO19" s="459"/>
      <c r="DP19" s="459"/>
      <c r="DQ19" s="459"/>
      <c r="DR19" s="459"/>
      <c r="DS19" s="459"/>
      <c r="DT19" s="459"/>
      <c r="DU19" s="459"/>
      <c r="DV19" s="459"/>
      <c r="DW19" s="459"/>
      <c r="DX19" s="459"/>
      <c r="DY19" s="459"/>
      <c r="DZ19" s="459"/>
      <c r="EA19" s="459"/>
      <c r="EB19" s="459"/>
      <c r="EC19" s="459"/>
      <c r="ED19" s="459"/>
      <c r="EE19" s="459"/>
      <c r="EF19" s="459"/>
      <c r="EG19" s="459"/>
      <c r="EH19" s="459"/>
      <c r="EI19" s="459"/>
      <c r="EJ19" s="459"/>
      <c r="EK19" s="459"/>
      <c r="EL19" s="459"/>
      <c r="EM19" s="459"/>
      <c r="EN19" s="459"/>
      <c r="EO19" s="459"/>
      <c r="EP19" s="459"/>
      <c r="EQ19" s="459"/>
      <c r="ER19" s="459"/>
      <c r="ES19" s="459"/>
      <c r="ET19" s="459"/>
      <c r="EU19" s="459"/>
      <c r="EV19" s="459"/>
      <c r="EW19" s="459"/>
      <c r="EX19" s="459"/>
      <c r="EY19" s="459"/>
      <c r="EZ19" s="459"/>
      <c r="FA19" s="459"/>
      <c r="FB19" s="459"/>
      <c r="FC19" s="459"/>
      <c r="FD19" s="459"/>
      <c r="FE19" s="459"/>
      <c r="FF19" s="459"/>
      <c r="FG19" s="459"/>
      <c r="FH19" s="459"/>
      <c r="FI19" s="459"/>
      <c r="FJ19" s="459"/>
      <c r="FK19" s="459"/>
      <c r="FL19" s="459"/>
      <c r="FM19" s="459"/>
      <c r="FN19" s="459"/>
      <c r="FO19" s="459"/>
      <c r="FP19" s="459"/>
      <c r="FQ19" s="459"/>
      <c r="FR19" s="459"/>
      <c r="FS19" s="459"/>
      <c r="FT19" s="459"/>
      <c r="FU19" s="459"/>
      <c r="FV19" s="459"/>
      <c r="FW19" s="459"/>
      <c r="FX19" s="459"/>
      <c r="FY19" s="459"/>
      <c r="FZ19" s="459"/>
      <c r="GA19" s="459"/>
      <c r="GB19" s="459"/>
      <c r="GC19" s="459"/>
      <c r="GD19" s="459"/>
      <c r="GE19" s="459"/>
      <c r="GF19" s="459"/>
      <c r="GG19" s="459"/>
      <c r="GH19" s="459"/>
      <c r="GI19" s="459"/>
      <c r="GJ19" s="459"/>
      <c r="GK19" s="459"/>
      <c r="GL19" s="459"/>
      <c r="GM19" s="459"/>
      <c r="GN19" s="459"/>
      <c r="GO19" s="459"/>
      <c r="GP19" s="459"/>
      <c r="GQ19" s="459"/>
      <c r="GR19" s="459"/>
      <c r="GS19" s="459"/>
      <c r="GT19" s="459"/>
      <c r="GU19" s="459"/>
      <c r="GV19" s="459"/>
      <c r="GW19" s="459"/>
      <c r="GX19" s="459"/>
      <c r="GY19" s="459"/>
      <c r="GZ19" s="459"/>
      <c r="HA19" s="459"/>
      <c r="HB19" s="459"/>
      <c r="HC19" s="459"/>
      <c r="HD19" s="459"/>
      <c r="HE19" s="459"/>
      <c r="HF19" s="459"/>
      <c r="HG19" s="459"/>
      <c r="HH19" s="459"/>
      <c r="HI19" s="459"/>
      <c r="HJ19" s="459"/>
      <c r="HK19" s="459"/>
      <c r="HL19" s="459"/>
      <c r="HM19" s="459"/>
      <c r="HN19" s="459"/>
      <c r="HO19" s="459"/>
      <c r="HP19" s="459"/>
      <c r="HQ19" s="459"/>
      <c r="HR19" s="459"/>
      <c r="HS19" s="459"/>
      <c r="HT19" s="459"/>
      <c r="HU19" s="459"/>
      <c r="HV19" s="459"/>
      <c r="HW19" s="459"/>
      <c r="HX19" s="459"/>
      <c r="HY19" s="459"/>
      <c r="HZ19" s="459"/>
      <c r="IA19" s="459"/>
      <c r="IB19" s="459"/>
      <c r="IC19" s="459"/>
      <c r="ID19" s="459"/>
      <c r="IE19" s="459"/>
      <c r="IF19" s="459"/>
      <c r="IG19" s="459"/>
      <c r="IH19" s="459"/>
      <c r="II19" s="459"/>
      <c r="IJ19" s="459"/>
      <c r="IK19" s="459"/>
      <c r="IL19" s="459"/>
      <c r="IM19" s="459"/>
      <c r="IN19" s="459"/>
      <c r="IO19" s="459"/>
      <c r="IP19" s="459"/>
      <c r="IQ19" s="459"/>
      <c r="IR19" s="459"/>
      <c r="IS19" s="459"/>
      <c r="IT19" s="459"/>
      <c r="IU19" s="459"/>
      <c r="IV19" s="459"/>
    </row>
    <row r="20" spans="1:256" ht="7.5" customHeight="1">
      <c r="A20" s="455"/>
      <c r="B20" s="455"/>
      <c r="C20" s="455"/>
      <c r="D20" s="711"/>
      <c r="E20" s="711"/>
      <c r="F20" s="711"/>
      <c r="G20" s="711"/>
      <c r="H20" s="711"/>
      <c r="I20" s="711"/>
      <c r="J20" s="711"/>
      <c r="K20" s="711"/>
      <c r="L20" s="452"/>
      <c r="M20" s="457"/>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c r="IH20" s="459"/>
      <c r="II20" s="459"/>
      <c r="IJ20" s="459"/>
      <c r="IK20" s="459"/>
      <c r="IL20" s="459"/>
      <c r="IM20" s="459"/>
      <c r="IN20" s="459"/>
      <c r="IO20" s="459"/>
      <c r="IP20" s="459"/>
      <c r="IQ20" s="459"/>
      <c r="IR20" s="459"/>
      <c r="IS20" s="459"/>
      <c r="IT20" s="459"/>
      <c r="IU20" s="459"/>
      <c r="IV20" s="459"/>
    </row>
    <row r="21" spans="1:256" ht="16.5" customHeight="1">
      <c r="A21" s="712" t="s">
        <v>375</v>
      </c>
      <c r="B21" s="455"/>
      <c r="C21" s="477"/>
      <c r="D21" s="1735">
        <v>2.9489999999999998</v>
      </c>
      <c r="E21" s="1732"/>
      <c r="F21" s="1735">
        <v>4.0000000000000001E-3</v>
      </c>
      <c r="G21" s="1732"/>
      <c r="H21" s="1735">
        <v>1.6E-2</v>
      </c>
      <c r="I21" s="1732"/>
      <c r="J21" s="1735">
        <v>0</v>
      </c>
      <c r="K21" s="1733"/>
      <c r="L21" s="1736">
        <f>ROUND(SUM(D21)+SUM(F21)-SUM(H21)+SUM(J21),3)</f>
        <v>2.9369999999999998</v>
      </c>
      <c r="M21" s="457"/>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c r="CJ21" s="459"/>
      <c r="CK21" s="459"/>
      <c r="CL21" s="459"/>
      <c r="CM21" s="459"/>
      <c r="CN21" s="459"/>
      <c r="CO21" s="459"/>
      <c r="CP21" s="459"/>
      <c r="CQ21" s="459"/>
      <c r="CR21" s="459"/>
      <c r="CS21" s="459"/>
      <c r="CT21" s="459"/>
      <c r="CU21" s="459"/>
      <c r="CV21" s="459"/>
      <c r="CW21" s="459"/>
      <c r="CX21" s="459"/>
      <c r="CY21" s="459"/>
      <c r="CZ21" s="459"/>
      <c r="DA21" s="459"/>
      <c r="DB21" s="459"/>
      <c r="DC21" s="459"/>
      <c r="DD21" s="459"/>
      <c r="DE21" s="459"/>
      <c r="DF21" s="459"/>
      <c r="DG21" s="459"/>
      <c r="DH21" s="459"/>
      <c r="DI21" s="459"/>
      <c r="DJ21" s="459"/>
      <c r="DK21" s="459"/>
      <c r="DL21" s="459"/>
      <c r="DM21" s="459"/>
      <c r="DN21" s="459"/>
      <c r="DO21" s="459"/>
      <c r="DP21" s="459"/>
      <c r="DQ21" s="459"/>
      <c r="DR21" s="459"/>
      <c r="DS21" s="459"/>
      <c r="DT21" s="459"/>
      <c r="DU21" s="459"/>
      <c r="DV21" s="459"/>
      <c r="DW21" s="459"/>
      <c r="DX21" s="459"/>
      <c r="DY21" s="459"/>
      <c r="DZ21" s="459"/>
      <c r="EA21" s="459"/>
      <c r="EB21" s="459"/>
      <c r="EC21" s="459"/>
      <c r="ED21" s="459"/>
      <c r="EE21" s="459"/>
      <c r="EF21" s="459"/>
      <c r="EG21" s="459"/>
      <c r="EH21" s="459"/>
      <c r="EI21" s="459"/>
      <c r="EJ21" s="459"/>
      <c r="EK21" s="459"/>
      <c r="EL21" s="459"/>
      <c r="EM21" s="459"/>
      <c r="EN21" s="459"/>
      <c r="EO21" s="459"/>
      <c r="EP21" s="459"/>
      <c r="EQ21" s="459"/>
      <c r="ER21" s="459"/>
      <c r="ES21" s="459"/>
      <c r="ET21" s="459"/>
      <c r="EU21" s="459"/>
      <c r="EV21" s="459"/>
      <c r="EW21" s="459"/>
      <c r="EX21" s="459"/>
      <c r="EY21" s="459"/>
      <c r="EZ21" s="459"/>
      <c r="FA21" s="459"/>
      <c r="FB21" s="459"/>
      <c r="FC21" s="459"/>
      <c r="FD21" s="459"/>
      <c r="FE21" s="459"/>
      <c r="FF21" s="459"/>
      <c r="FG21" s="459"/>
      <c r="FH21" s="459"/>
      <c r="FI21" s="459"/>
      <c r="FJ21" s="459"/>
      <c r="FK21" s="459"/>
      <c r="FL21" s="459"/>
      <c r="FM21" s="459"/>
      <c r="FN21" s="459"/>
      <c r="FO21" s="459"/>
      <c r="FP21" s="459"/>
      <c r="FQ21" s="459"/>
      <c r="FR21" s="459"/>
      <c r="FS21" s="459"/>
      <c r="FT21" s="459"/>
      <c r="FU21" s="459"/>
      <c r="FV21" s="459"/>
      <c r="FW21" s="459"/>
      <c r="FX21" s="459"/>
      <c r="FY21" s="459"/>
      <c r="FZ21" s="459"/>
      <c r="GA21" s="459"/>
      <c r="GB21" s="459"/>
      <c r="GC21" s="459"/>
      <c r="GD21" s="459"/>
      <c r="GE21" s="459"/>
      <c r="GF21" s="459"/>
      <c r="GG21" s="459"/>
      <c r="GH21" s="459"/>
      <c r="GI21" s="459"/>
      <c r="GJ21" s="459"/>
      <c r="GK21" s="459"/>
      <c r="GL21" s="459"/>
      <c r="GM21" s="459"/>
      <c r="GN21" s="459"/>
      <c r="GO21" s="459"/>
      <c r="GP21" s="459"/>
      <c r="GQ21" s="459"/>
      <c r="GR21" s="459"/>
      <c r="GS21" s="459"/>
      <c r="GT21" s="459"/>
      <c r="GU21" s="459"/>
      <c r="GV21" s="459"/>
      <c r="GW21" s="459"/>
      <c r="GX21" s="459"/>
      <c r="GY21" s="459"/>
      <c r="GZ21" s="459"/>
      <c r="HA21" s="459"/>
      <c r="HB21" s="459"/>
      <c r="HC21" s="459"/>
      <c r="HD21" s="459"/>
      <c r="HE21" s="459"/>
      <c r="HF21" s="459"/>
      <c r="HG21" s="459"/>
      <c r="HH21" s="459"/>
      <c r="HI21" s="459"/>
      <c r="HJ21" s="459"/>
      <c r="HK21" s="459"/>
      <c r="HL21" s="459"/>
      <c r="HM21" s="459"/>
      <c r="HN21" s="459"/>
      <c r="HO21" s="459"/>
      <c r="HP21" s="459"/>
      <c r="HQ21" s="459"/>
      <c r="HR21" s="459"/>
      <c r="HS21" s="459"/>
      <c r="HT21" s="459"/>
      <c r="HU21" s="459"/>
      <c r="HV21" s="459"/>
      <c r="HW21" s="459"/>
      <c r="HX21" s="459"/>
      <c r="HY21" s="459"/>
      <c r="HZ21" s="459"/>
      <c r="IA21" s="459"/>
      <c r="IB21" s="459"/>
      <c r="IC21" s="459"/>
      <c r="ID21" s="459"/>
      <c r="IE21" s="459"/>
      <c r="IF21" s="459"/>
      <c r="IG21" s="459"/>
      <c r="IH21" s="459"/>
      <c r="II21" s="459"/>
      <c r="IJ21" s="459"/>
      <c r="IK21" s="459"/>
      <c r="IL21" s="459"/>
      <c r="IM21" s="459"/>
      <c r="IN21" s="459"/>
      <c r="IO21" s="459"/>
      <c r="IP21" s="459"/>
      <c r="IQ21" s="459"/>
      <c r="IR21" s="459"/>
      <c r="IS21" s="459"/>
      <c r="IT21" s="459"/>
      <c r="IU21" s="459"/>
      <c r="IV21" s="459"/>
    </row>
    <row r="22" spans="1:256" ht="15.75" customHeight="1">
      <c r="A22" s="712" t="s">
        <v>376</v>
      </c>
      <c r="B22" s="455"/>
      <c r="C22" s="455"/>
      <c r="D22" s="1737">
        <v>11.167999999999999</v>
      </c>
      <c r="E22" s="1732"/>
      <c r="F22" s="1737">
        <v>9.7000000000000003E-2</v>
      </c>
      <c r="G22" s="1732"/>
      <c r="H22" s="1737">
        <v>0.02</v>
      </c>
      <c r="I22" s="1732"/>
      <c r="J22" s="1737">
        <v>0</v>
      </c>
      <c r="K22" s="1733"/>
      <c r="L22" s="1738">
        <f>ROUND(SUM(D22)+SUM(F22)-SUM(H22)+SUM(J22),3)</f>
        <v>11.244999999999999</v>
      </c>
      <c r="M22" s="457"/>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c r="CJ22" s="459"/>
      <c r="CK22" s="459"/>
      <c r="CL22" s="459"/>
      <c r="CM22" s="459"/>
      <c r="CN22" s="459"/>
      <c r="CO22" s="459"/>
      <c r="CP22" s="459"/>
      <c r="CQ22" s="459"/>
      <c r="CR22" s="459"/>
      <c r="CS22" s="459"/>
      <c r="CT22" s="459"/>
      <c r="CU22" s="459"/>
      <c r="CV22" s="459"/>
      <c r="CW22" s="459"/>
      <c r="CX22" s="459"/>
      <c r="CY22" s="459"/>
      <c r="CZ22" s="459"/>
      <c r="DA22" s="459"/>
      <c r="DB22" s="459"/>
      <c r="DC22" s="459"/>
      <c r="DD22" s="459"/>
      <c r="DE22" s="459"/>
      <c r="DF22" s="459"/>
      <c r="DG22" s="459"/>
      <c r="DH22" s="459"/>
      <c r="DI22" s="459"/>
      <c r="DJ22" s="459"/>
      <c r="DK22" s="459"/>
      <c r="DL22" s="459"/>
      <c r="DM22" s="459"/>
      <c r="DN22" s="459"/>
      <c r="DO22" s="459"/>
      <c r="DP22" s="459"/>
      <c r="DQ22" s="459"/>
      <c r="DR22" s="459"/>
      <c r="DS22" s="459"/>
      <c r="DT22" s="459"/>
      <c r="DU22" s="459"/>
      <c r="DV22" s="459"/>
      <c r="DW22" s="459"/>
      <c r="DX22" s="459"/>
      <c r="DY22" s="459"/>
      <c r="DZ22" s="459"/>
      <c r="EA22" s="459"/>
      <c r="EB22" s="459"/>
      <c r="EC22" s="459"/>
      <c r="ED22" s="459"/>
      <c r="EE22" s="459"/>
      <c r="EF22" s="459"/>
      <c r="EG22" s="459"/>
      <c r="EH22" s="459"/>
      <c r="EI22" s="459"/>
      <c r="EJ22" s="459"/>
      <c r="EK22" s="459"/>
      <c r="EL22" s="459"/>
      <c r="EM22" s="459"/>
      <c r="EN22" s="459"/>
      <c r="EO22" s="459"/>
      <c r="EP22" s="459"/>
      <c r="EQ22" s="459"/>
      <c r="ER22" s="459"/>
      <c r="ES22" s="459"/>
      <c r="ET22" s="459"/>
      <c r="EU22" s="459"/>
      <c r="EV22" s="459"/>
      <c r="EW22" s="459"/>
      <c r="EX22" s="459"/>
      <c r="EY22" s="459"/>
      <c r="EZ22" s="459"/>
      <c r="FA22" s="459"/>
      <c r="FB22" s="459"/>
      <c r="FC22" s="459"/>
      <c r="FD22" s="459"/>
      <c r="FE22" s="459"/>
      <c r="FF22" s="459"/>
      <c r="FG22" s="459"/>
      <c r="FH22" s="459"/>
      <c r="FI22" s="459"/>
      <c r="FJ22" s="459"/>
      <c r="FK22" s="459"/>
      <c r="FL22" s="459"/>
      <c r="FM22" s="459"/>
      <c r="FN22" s="459"/>
      <c r="FO22" s="459"/>
      <c r="FP22" s="459"/>
      <c r="FQ22" s="459"/>
      <c r="FR22" s="459"/>
      <c r="FS22" s="459"/>
      <c r="FT22" s="459"/>
      <c r="FU22" s="459"/>
      <c r="FV22" s="459"/>
      <c r="FW22" s="459"/>
      <c r="FX22" s="459"/>
      <c r="FY22" s="459"/>
      <c r="FZ22" s="459"/>
      <c r="GA22" s="459"/>
      <c r="GB22" s="459"/>
      <c r="GC22" s="459"/>
      <c r="GD22" s="459"/>
      <c r="GE22" s="459"/>
      <c r="GF22" s="459"/>
      <c r="GG22" s="459"/>
      <c r="GH22" s="459"/>
      <c r="GI22" s="459"/>
      <c r="GJ22" s="459"/>
      <c r="GK22" s="459"/>
      <c r="GL22" s="459"/>
      <c r="GM22" s="459"/>
      <c r="GN22" s="459"/>
      <c r="GO22" s="459"/>
      <c r="GP22" s="459"/>
      <c r="GQ22" s="459"/>
      <c r="GR22" s="459"/>
      <c r="GS22" s="459"/>
      <c r="GT22" s="459"/>
      <c r="GU22" s="459"/>
      <c r="GV22" s="459"/>
      <c r="GW22" s="459"/>
      <c r="GX22" s="459"/>
      <c r="GY22" s="459"/>
      <c r="GZ22" s="459"/>
      <c r="HA22" s="459"/>
      <c r="HB22" s="459"/>
      <c r="HC22" s="459"/>
      <c r="HD22" s="459"/>
      <c r="HE22" s="459"/>
      <c r="HF22" s="459"/>
      <c r="HG22" s="459"/>
      <c r="HH22" s="459"/>
      <c r="HI22" s="459"/>
      <c r="HJ22" s="459"/>
      <c r="HK22" s="459"/>
      <c r="HL22" s="459"/>
      <c r="HM22" s="459"/>
      <c r="HN22" s="459"/>
      <c r="HO22" s="459"/>
      <c r="HP22" s="459"/>
      <c r="HQ22" s="459"/>
      <c r="HR22" s="459"/>
      <c r="HS22" s="459"/>
      <c r="HT22" s="459"/>
      <c r="HU22" s="459"/>
      <c r="HV22" s="459"/>
      <c r="HW22" s="459"/>
      <c r="HX22" s="459"/>
      <c r="HY22" s="459"/>
      <c r="HZ22" s="459"/>
      <c r="IA22" s="459"/>
      <c r="IB22" s="459"/>
      <c r="IC22" s="459"/>
      <c r="ID22" s="459"/>
      <c r="IE22" s="459"/>
      <c r="IF22" s="459"/>
      <c r="IG22" s="459"/>
      <c r="IH22" s="459"/>
      <c r="II22" s="459"/>
      <c r="IJ22" s="459"/>
      <c r="IK22" s="459"/>
      <c r="IL22" s="459"/>
      <c r="IM22" s="459"/>
      <c r="IN22" s="459"/>
      <c r="IO22" s="459"/>
      <c r="IP22" s="459"/>
      <c r="IQ22" s="459"/>
      <c r="IR22" s="459"/>
      <c r="IS22" s="459"/>
      <c r="IT22" s="459"/>
      <c r="IU22" s="459"/>
      <c r="IV22" s="459"/>
    </row>
    <row r="23" spans="1:256" ht="6.75" customHeight="1">
      <c r="A23" s="712"/>
      <c r="B23" s="455"/>
      <c r="C23" s="455"/>
      <c r="D23" s="453"/>
      <c r="E23" s="452"/>
      <c r="F23" s="453" t="s">
        <v>15</v>
      </c>
      <c r="G23" s="452"/>
      <c r="H23" s="713"/>
      <c r="I23" s="452"/>
      <c r="J23" s="714"/>
      <c r="K23" s="452"/>
      <c r="L23" s="453"/>
      <c r="M23" s="457"/>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59"/>
      <c r="CS23" s="459"/>
      <c r="CT23" s="459"/>
      <c r="CU23" s="459"/>
      <c r="CV23" s="459"/>
      <c r="CW23" s="459"/>
      <c r="CX23" s="459"/>
      <c r="CY23" s="459"/>
      <c r="CZ23" s="459"/>
      <c r="DA23" s="459"/>
      <c r="DB23" s="459"/>
      <c r="DC23" s="459"/>
      <c r="DD23" s="459"/>
      <c r="DE23" s="459"/>
      <c r="DF23" s="459"/>
      <c r="DG23" s="459"/>
      <c r="DH23" s="459"/>
      <c r="DI23" s="459"/>
      <c r="DJ23" s="459"/>
      <c r="DK23" s="459"/>
      <c r="DL23" s="459"/>
      <c r="DM23" s="459"/>
      <c r="DN23" s="459"/>
      <c r="DO23" s="459"/>
      <c r="DP23" s="459"/>
      <c r="DQ23" s="459"/>
      <c r="DR23" s="459"/>
      <c r="DS23" s="459"/>
      <c r="DT23" s="459"/>
      <c r="DU23" s="459"/>
      <c r="DV23" s="459"/>
      <c r="DW23" s="459"/>
      <c r="DX23" s="459"/>
      <c r="DY23" s="459"/>
      <c r="DZ23" s="459"/>
      <c r="EA23" s="459"/>
      <c r="EB23" s="459"/>
      <c r="EC23" s="459"/>
      <c r="ED23" s="459"/>
      <c r="EE23" s="459"/>
      <c r="EF23" s="459"/>
      <c r="EG23" s="459"/>
      <c r="EH23" s="459"/>
      <c r="EI23" s="459"/>
      <c r="EJ23" s="459"/>
      <c r="EK23" s="459"/>
      <c r="EL23" s="459"/>
      <c r="EM23" s="459"/>
      <c r="EN23" s="459"/>
      <c r="EO23" s="459"/>
      <c r="EP23" s="459"/>
      <c r="EQ23" s="459"/>
      <c r="ER23" s="459"/>
      <c r="ES23" s="459"/>
      <c r="ET23" s="459"/>
      <c r="EU23" s="459"/>
      <c r="EV23" s="459"/>
      <c r="EW23" s="459"/>
      <c r="EX23" s="459"/>
      <c r="EY23" s="459"/>
      <c r="EZ23" s="459"/>
      <c r="FA23" s="459"/>
      <c r="FB23" s="459"/>
      <c r="FC23" s="459"/>
      <c r="FD23" s="459"/>
      <c r="FE23" s="459"/>
      <c r="FF23" s="459"/>
      <c r="FG23" s="459"/>
      <c r="FH23" s="459"/>
      <c r="FI23" s="459"/>
      <c r="FJ23" s="459"/>
      <c r="FK23" s="459"/>
      <c r="FL23" s="459"/>
      <c r="FM23" s="459"/>
      <c r="FN23" s="459"/>
      <c r="FO23" s="459"/>
      <c r="FP23" s="459"/>
      <c r="FQ23" s="459"/>
      <c r="FR23" s="459"/>
      <c r="FS23" s="459"/>
      <c r="FT23" s="459"/>
      <c r="FU23" s="459"/>
      <c r="FV23" s="459"/>
      <c r="FW23" s="459"/>
      <c r="FX23" s="459"/>
      <c r="FY23" s="459"/>
      <c r="FZ23" s="459"/>
      <c r="GA23" s="459"/>
      <c r="GB23" s="459"/>
      <c r="GC23" s="459"/>
      <c r="GD23" s="459"/>
      <c r="GE23" s="459"/>
      <c r="GF23" s="459"/>
      <c r="GG23" s="459"/>
      <c r="GH23" s="459"/>
      <c r="GI23" s="459"/>
      <c r="GJ23" s="459"/>
      <c r="GK23" s="459"/>
      <c r="GL23" s="459"/>
      <c r="GM23" s="459"/>
      <c r="GN23" s="459"/>
      <c r="GO23" s="459"/>
      <c r="GP23" s="459"/>
      <c r="GQ23" s="459"/>
      <c r="GR23" s="459"/>
      <c r="GS23" s="459"/>
      <c r="GT23" s="459"/>
      <c r="GU23" s="459"/>
      <c r="GV23" s="459"/>
      <c r="GW23" s="459"/>
      <c r="GX23" s="459"/>
      <c r="GY23" s="459"/>
      <c r="GZ23" s="459"/>
      <c r="HA23" s="459"/>
      <c r="HB23" s="459"/>
      <c r="HC23" s="459"/>
      <c r="HD23" s="459"/>
      <c r="HE23" s="459"/>
      <c r="HF23" s="459"/>
      <c r="HG23" s="459"/>
      <c r="HH23" s="459"/>
      <c r="HI23" s="459"/>
      <c r="HJ23" s="459"/>
      <c r="HK23" s="459"/>
      <c r="HL23" s="459"/>
      <c r="HM23" s="459"/>
      <c r="HN23" s="459"/>
      <c r="HO23" s="459"/>
      <c r="HP23" s="459"/>
      <c r="HQ23" s="459"/>
      <c r="HR23" s="459"/>
      <c r="HS23" s="459"/>
      <c r="HT23" s="459"/>
      <c r="HU23" s="459"/>
      <c r="HV23" s="459"/>
      <c r="HW23" s="459"/>
      <c r="HX23" s="459"/>
      <c r="HY23" s="459"/>
      <c r="HZ23" s="459"/>
      <c r="IA23" s="459"/>
      <c r="IB23" s="459"/>
      <c r="IC23" s="459"/>
      <c r="ID23" s="459"/>
      <c r="IE23" s="459"/>
      <c r="IF23" s="459"/>
      <c r="IG23" s="459"/>
      <c r="IH23" s="459"/>
      <c r="II23" s="459"/>
      <c r="IJ23" s="459"/>
      <c r="IK23" s="459"/>
      <c r="IL23" s="459"/>
      <c r="IM23" s="459"/>
      <c r="IN23" s="459"/>
      <c r="IO23" s="459"/>
      <c r="IP23" s="459"/>
      <c r="IQ23" s="459"/>
      <c r="IR23" s="459"/>
      <c r="IS23" s="459"/>
      <c r="IT23" s="459"/>
      <c r="IU23" s="459"/>
      <c r="IV23" s="459"/>
    </row>
    <row r="24" spans="1:256" ht="17.25" customHeight="1">
      <c r="A24" s="461" t="s">
        <v>1226</v>
      </c>
      <c r="B24" s="455"/>
      <c r="C24" s="477"/>
      <c r="D24" s="715">
        <f>ROUND(SUM(D21:D22),3)</f>
        <v>14.117000000000001</v>
      </c>
      <c r="E24" s="711"/>
      <c r="F24" s="715">
        <f>ROUND(SUM(F21:F22),3)</f>
        <v>0.10100000000000001</v>
      </c>
      <c r="G24" s="711"/>
      <c r="H24" s="715">
        <f>ROUND(SUM(H21:H22),3)</f>
        <v>3.5999999999999997E-2</v>
      </c>
      <c r="I24" s="711"/>
      <c r="J24" s="715">
        <f>ROUND(SUM(J21:J22),3)</f>
        <v>0</v>
      </c>
      <c r="K24" s="711"/>
      <c r="L24" s="715">
        <f>ROUND(SUM(L21:L22),3)</f>
        <v>14.182</v>
      </c>
      <c r="M24" s="469"/>
      <c r="N24" s="470"/>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59"/>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c r="CJ24" s="459"/>
      <c r="CK24" s="459"/>
      <c r="CL24" s="459"/>
      <c r="CM24" s="459"/>
      <c r="CN24" s="459"/>
      <c r="CO24" s="459"/>
      <c r="CP24" s="459"/>
      <c r="CQ24" s="459"/>
      <c r="CR24" s="459"/>
      <c r="CS24" s="459"/>
      <c r="CT24" s="459"/>
      <c r="CU24" s="459"/>
      <c r="CV24" s="459"/>
      <c r="CW24" s="459"/>
      <c r="CX24" s="459"/>
      <c r="CY24" s="459"/>
      <c r="CZ24" s="459"/>
      <c r="DA24" s="459"/>
      <c r="DB24" s="459"/>
      <c r="DC24" s="459"/>
      <c r="DD24" s="459"/>
      <c r="DE24" s="459"/>
      <c r="DF24" s="459"/>
      <c r="DG24" s="459"/>
      <c r="DH24" s="459"/>
      <c r="DI24" s="459"/>
      <c r="DJ24" s="459"/>
      <c r="DK24" s="459"/>
      <c r="DL24" s="459"/>
      <c r="DM24" s="459"/>
      <c r="DN24" s="459"/>
      <c r="DO24" s="459"/>
      <c r="DP24" s="459"/>
      <c r="DQ24" s="459"/>
      <c r="DR24" s="459"/>
      <c r="DS24" s="459"/>
      <c r="DT24" s="459"/>
      <c r="DU24" s="459"/>
      <c r="DV24" s="459"/>
      <c r="DW24" s="459"/>
      <c r="DX24" s="459"/>
      <c r="DY24" s="459"/>
      <c r="DZ24" s="459"/>
      <c r="EA24" s="459"/>
      <c r="EB24" s="459"/>
      <c r="EC24" s="459"/>
      <c r="ED24" s="459"/>
      <c r="EE24" s="459"/>
      <c r="EF24" s="459"/>
      <c r="EG24" s="459"/>
      <c r="EH24" s="459"/>
      <c r="EI24" s="459"/>
      <c r="EJ24" s="459"/>
      <c r="EK24" s="459"/>
      <c r="EL24" s="459"/>
      <c r="EM24" s="459"/>
      <c r="EN24" s="459"/>
      <c r="EO24" s="459"/>
      <c r="EP24" s="459"/>
      <c r="EQ24" s="459"/>
      <c r="ER24" s="459"/>
      <c r="ES24" s="459"/>
      <c r="ET24" s="459"/>
      <c r="EU24" s="459"/>
      <c r="EV24" s="459"/>
      <c r="EW24" s="459"/>
      <c r="EX24" s="459"/>
      <c r="EY24" s="459"/>
      <c r="EZ24" s="459"/>
      <c r="FA24" s="459"/>
      <c r="FB24" s="459"/>
      <c r="FC24" s="459"/>
      <c r="FD24" s="459"/>
      <c r="FE24" s="459"/>
      <c r="FF24" s="459"/>
      <c r="FG24" s="459"/>
      <c r="FH24" s="459"/>
      <c r="FI24" s="459"/>
      <c r="FJ24" s="459"/>
      <c r="FK24" s="459"/>
      <c r="FL24" s="459"/>
      <c r="FM24" s="459"/>
      <c r="FN24" s="459"/>
      <c r="FO24" s="459"/>
      <c r="FP24" s="459"/>
      <c r="FQ24" s="459"/>
      <c r="FR24" s="459"/>
      <c r="FS24" s="459"/>
      <c r="FT24" s="459"/>
      <c r="FU24" s="459"/>
      <c r="FV24" s="459"/>
      <c r="FW24" s="459"/>
      <c r="FX24" s="459"/>
      <c r="FY24" s="459"/>
      <c r="FZ24" s="459"/>
      <c r="GA24" s="459"/>
      <c r="GB24" s="459"/>
      <c r="GC24" s="459"/>
      <c r="GD24" s="459"/>
      <c r="GE24" s="459"/>
      <c r="GF24" s="459"/>
      <c r="GG24" s="459"/>
      <c r="GH24" s="459"/>
      <c r="GI24" s="459"/>
      <c r="GJ24" s="459"/>
      <c r="GK24" s="459"/>
      <c r="GL24" s="459"/>
      <c r="GM24" s="459"/>
      <c r="GN24" s="459"/>
      <c r="GO24" s="459"/>
      <c r="GP24" s="459"/>
      <c r="GQ24" s="459"/>
      <c r="GR24" s="459"/>
      <c r="GS24" s="459"/>
      <c r="GT24" s="459"/>
      <c r="GU24" s="459"/>
      <c r="GV24" s="459"/>
      <c r="GW24" s="459"/>
      <c r="GX24" s="459"/>
      <c r="GY24" s="459"/>
      <c r="GZ24" s="459"/>
      <c r="HA24" s="459"/>
      <c r="HB24" s="459"/>
      <c r="HC24" s="459"/>
      <c r="HD24" s="459"/>
      <c r="HE24" s="459"/>
      <c r="HF24" s="459"/>
      <c r="HG24" s="459"/>
      <c r="HH24" s="459"/>
      <c r="HI24" s="459"/>
      <c r="HJ24" s="459"/>
      <c r="HK24" s="459"/>
      <c r="HL24" s="459"/>
      <c r="HM24" s="459"/>
      <c r="HN24" s="459"/>
      <c r="HO24" s="459"/>
      <c r="HP24" s="459"/>
      <c r="HQ24" s="459"/>
      <c r="HR24" s="459"/>
      <c r="HS24" s="459"/>
      <c r="HT24" s="459"/>
      <c r="HU24" s="459"/>
      <c r="HV24" s="459"/>
      <c r="HW24" s="459"/>
      <c r="HX24" s="459"/>
      <c r="HY24" s="459"/>
      <c r="HZ24" s="459"/>
      <c r="IA24" s="459"/>
      <c r="IB24" s="459"/>
      <c r="IC24" s="459"/>
      <c r="ID24" s="459"/>
      <c r="IE24" s="459"/>
      <c r="IF24" s="459"/>
      <c r="IG24" s="459"/>
      <c r="IH24" s="459"/>
      <c r="II24" s="459"/>
      <c r="IJ24" s="459"/>
      <c r="IK24" s="459"/>
      <c r="IL24" s="459"/>
      <c r="IM24" s="459"/>
      <c r="IN24" s="459"/>
      <c r="IO24" s="459"/>
      <c r="IP24" s="459"/>
      <c r="IQ24" s="459"/>
      <c r="IR24" s="459"/>
      <c r="IS24" s="459"/>
      <c r="IT24" s="459"/>
      <c r="IU24" s="459"/>
      <c r="IV24" s="459"/>
    </row>
    <row r="25" spans="1:256" ht="12" customHeight="1">
      <c r="A25" s="455"/>
      <c r="B25" s="455"/>
      <c r="C25" s="455"/>
      <c r="D25" s="711"/>
      <c r="E25" s="709"/>
      <c r="F25" s="711"/>
      <c r="G25" s="709"/>
      <c r="H25" s="711"/>
      <c r="I25" s="709"/>
      <c r="J25" s="711"/>
      <c r="K25" s="709"/>
      <c r="L25" s="711"/>
      <c r="M25" s="457"/>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c r="CJ25" s="459"/>
      <c r="CK25" s="459"/>
      <c r="CL25" s="459"/>
      <c r="CM25" s="459"/>
      <c r="CN25" s="459"/>
      <c r="CO25" s="459"/>
      <c r="CP25" s="459"/>
      <c r="CQ25" s="459"/>
      <c r="CR25" s="459"/>
      <c r="CS25" s="459"/>
      <c r="CT25" s="459"/>
      <c r="CU25" s="459"/>
      <c r="CV25" s="459"/>
      <c r="CW25" s="459"/>
      <c r="CX25" s="459"/>
      <c r="CY25" s="459"/>
      <c r="CZ25" s="459"/>
      <c r="DA25" s="459"/>
      <c r="DB25" s="459"/>
      <c r="DC25" s="459"/>
      <c r="DD25" s="459"/>
      <c r="DE25" s="459"/>
      <c r="DF25" s="459"/>
      <c r="DG25" s="459"/>
      <c r="DH25" s="459"/>
      <c r="DI25" s="459"/>
      <c r="DJ25" s="459"/>
      <c r="DK25" s="459"/>
      <c r="DL25" s="459"/>
      <c r="DM25" s="459"/>
      <c r="DN25" s="459"/>
      <c r="DO25" s="459"/>
      <c r="DP25" s="459"/>
      <c r="DQ25" s="459"/>
      <c r="DR25" s="459"/>
      <c r="DS25" s="459"/>
      <c r="DT25" s="459"/>
      <c r="DU25" s="459"/>
      <c r="DV25" s="459"/>
      <c r="DW25" s="459"/>
      <c r="DX25" s="459"/>
      <c r="DY25" s="459"/>
      <c r="DZ25" s="459"/>
      <c r="EA25" s="459"/>
      <c r="EB25" s="459"/>
      <c r="EC25" s="459"/>
      <c r="ED25" s="459"/>
      <c r="EE25" s="459"/>
      <c r="EF25" s="459"/>
      <c r="EG25" s="459"/>
      <c r="EH25" s="459"/>
      <c r="EI25" s="459"/>
      <c r="EJ25" s="459"/>
      <c r="EK25" s="459"/>
      <c r="EL25" s="459"/>
      <c r="EM25" s="459"/>
      <c r="EN25" s="459"/>
      <c r="EO25" s="459"/>
      <c r="EP25" s="459"/>
      <c r="EQ25" s="459"/>
      <c r="ER25" s="459"/>
      <c r="ES25" s="459"/>
      <c r="ET25" s="459"/>
      <c r="EU25" s="459"/>
      <c r="EV25" s="459"/>
      <c r="EW25" s="459"/>
      <c r="EX25" s="459"/>
      <c r="EY25" s="459"/>
      <c r="EZ25" s="459"/>
      <c r="FA25" s="459"/>
      <c r="FB25" s="459"/>
      <c r="FC25" s="459"/>
      <c r="FD25" s="459"/>
      <c r="FE25" s="459"/>
      <c r="FF25" s="459"/>
      <c r="FG25" s="459"/>
      <c r="FH25" s="459"/>
      <c r="FI25" s="459"/>
      <c r="FJ25" s="459"/>
      <c r="FK25" s="459"/>
      <c r="FL25" s="459"/>
      <c r="FM25" s="459"/>
      <c r="FN25" s="459"/>
      <c r="FO25" s="459"/>
      <c r="FP25" s="459"/>
      <c r="FQ25" s="459"/>
      <c r="FR25" s="459"/>
      <c r="FS25" s="459"/>
      <c r="FT25" s="459"/>
      <c r="FU25" s="459"/>
      <c r="FV25" s="459"/>
      <c r="FW25" s="459"/>
      <c r="FX25" s="459"/>
      <c r="FY25" s="459"/>
      <c r="FZ25" s="459"/>
      <c r="GA25" s="459"/>
      <c r="GB25" s="459"/>
      <c r="GC25" s="459"/>
      <c r="GD25" s="459"/>
      <c r="GE25" s="459"/>
      <c r="GF25" s="459"/>
      <c r="GG25" s="459"/>
      <c r="GH25" s="459"/>
      <c r="GI25" s="459"/>
      <c r="GJ25" s="459"/>
      <c r="GK25" s="459"/>
      <c r="GL25" s="459"/>
      <c r="GM25" s="459"/>
      <c r="GN25" s="459"/>
      <c r="GO25" s="459"/>
      <c r="GP25" s="459"/>
      <c r="GQ25" s="459"/>
      <c r="GR25" s="459"/>
      <c r="GS25" s="459"/>
      <c r="GT25" s="459"/>
      <c r="GU25" s="459"/>
      <c r="GV25" s="459"/>
      <c r="GW25" s="459"/>
      <c r="GX25" s="459"/>
      <c r="GY25" s="459"/>
      <c r="GZ25" s="459"/>
      <c r="HA25" s="459"/>
      <c r="HB25" s="459"/>
      <c r="HC25" s="459"/>
      <c r="HD25" s="459"/>
      <c r="HE25" s="459"/>
      <c r="HF25" s="459"/>
      <c r="HG25" s="459"/>
      <c r="HH25" s="459"/>
      <c r="HI25" s="459"/>
      <c r="HJ25" s="459"/>
      <c r="HK25" s="459"/>
      <c r="HL25" s="459"/>
      <c r="HM25" s="459"/>
      <c r="HN25" s="459"/>
      <c r="HO25" s="459"/>
      <c r="HP25" s="459"/>
      <c r="HQ25" s="459"/>
      <c r="HR25" s="459"/>
      <c r="HS25" s="459"/>
      <c r="HT25" s="459"/>
      <c r="HU25" s="459"/>
      <c r="HV25" s="459"/>
      <c r="HW25" s="459"/>
      <c r="HX25" s="459"/>
      <c r="HY25" s="459"/>
      <c r="HZ25" s="459"/>
      <c r="IA25" s="459"/>
      <c r="IB25" s="459"/>
      <c r="IC25" s="459"/>
      <c r="ID25" s="459"/>
      <c r="IE25" s="459"/>
      <c r="IF25" s="459"/>
      <c r="IG25" s="459"/>
      <c r="IH25" s="459"/>
      <c r="II25" s="459"/>
      <c r="IJ25" s="459"/>
      <c r="IK25" s="459"/>
      <c r="IL25" s="459"/>
      <c r="IM25" s="459"/>
      <c r="IN25" s="459"/>
      <c r="IO25" s="459"/>
      <c r="IP25" s="459"/>
      <c r="IQ25" s="459"/>
      <c r="IR25" s="459"/>
      <c r="IS25" s="459"/>
      <c r="IT25" s="459"/>
      <c r="IU25" s="459"/>
      <c r="IV25" s="459"/>
    </row>
    <row r="26" spans="1:256" ht="18">
      <c r="A26" s="462" t="s">
        <v>377</v>
      </c>
      <c r="B26" s="455"/>
      <c r="C26" s="455"/>
      <c r="D26" s="709"/>
      <c r="E26" s="709"/>
      <c r="F26" s="709"/>
      <c r="G26" s="709"/>
      <c r="H26" s="709"/>
      <c r="I26" s="709"/>
      <c r="J26" s="709"/>
      <c r="K26" s="709"/>
      <c r="L26" s="709"/>
      <c r="M26" s="457"/>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c r="CV26" s="459"/>
      <c r="CW26" s="459"/>
      <c r="CX26" s="459"/>
      <c r="CY26" s="459"/>
      <c r="CZ26" s="459"/>
      <c r="DA26" s="459"/>
      <c r="DB26" s="459"/>
      <c r="DC26" s="459"/>
      <c r="DD26" s="459"/>
      <c r="DE26" s="459"/>
      <c r="DF26" s="459"/>
      <c r="DG26" s="459"/>
      <c r="DH26" s="459"/>
      <c r="DI26" s="459"/>
      <c r="DJ26" s="459"/>
      <c r="DK26" s="459"/>
      <c r="DL26" s="459"/>
      <c r="DM26" s="459"/>
      <c r="DN26" s="459"/>
      <c r="DO26" s="459"/>
      <c r="DP26" s="459"/>
      <c r="DQ26" s="459"/>
      <c r="DR26" s="459"/>
      <c r="DS26" s="459"/>
      <c r="DT26" s="459"/>
      <c r="DU26" s="459"/>
      <c r="DV26" s="459"/>
      <c r="DW26" s="459"/>
      <c r="DX26" s="459"/>
      <c r="DY26" s="459"/>
      <c r="DZ26" s="459"/>
      <c r="EA26" s="459"/>
      <c r="EB26" s="459"/>
      <c r="EC26" s="459"/>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59"/>
      <c r="GL26" s="459"/>
      <c r="GM26" s="459"/>
      <c r="GN26" s="459"/>
      <c r="GO26" s="459"/>
      <c r="GP26" s="459"/>
      <c r="GQ26" s="459"/>
      <c r="GR26" s="459"/>
      <c r="GS26" s="459"/>
      <c r="GT26" s="459"/>
      <c r="GU26" s="459"/>
      <c r="GV26" s="459"/>
      <c r="GW26" s="459"/>
      <c r="GX26" s="459"/>
      <c r="GY26" s="459"/>
      <c r="GZ26" s="459"/>
      <c r="HA26" s="459"/>
      <c r="HB26" s="459"/>
      <c r="HC26" s="459"/>
      <c r="HD26" s="459"/>
      <c r="HE26" s="459"/>
      <c r="HF26" s="459"/>
      <c r="HG26" s="459"/>
      <c r="HH26" s="459"/>
      <c r="HI26" s="459"/>
      <c r="HJ26" s="459"/>
      <c r="HK26" s="459"/>
      <c r="HL26" s="459"/>
      <c r="HM26" s="459"/>
      <c r="HN26" s="459"/>
      <c r="HO26" s="459"/>
      <c r="HP26" s="459"/>
      <c r="HQ26" s="459"/>
      <c r="HR26" s="459"/>
      <c r="HS26" s="459"/>
      <c r="HT26" s="459"/>
      <c r="HU26" s="459"/>
      <c r="HV26" s="459"/>
      <c r="HW26" s="459"/>
      <c r="HX26" s="459"/>
      <c r="HY26" s="459"/>
      <c r="HZ26" s="459"/>
      <c r="IA26" s="459"/>
      <c r="IB26" s="459"/>
      <c r="IC26" s="459"/>
      <c r="ID26" s="459"/>
      <c r="IE26" s="459"/>
      <c r="IF26" s="459"/>
      <c r="IG26" s="459"/>
      <c r="IH26" s="459"/>
      <c r="II26" s="459"/>
      <c r="IJ26" s="459"/>
      <c r="IK26" s="459"/>
      <c r="IL26" s="459"/>
      <c r="IM26" s="459"/>
      <c r="IN26" s="459"/>
      <c r="IO26" s="459"/>
      <c r="IP26" s="459"/>
      <c r="IQ26" s="459"/>
      <c r="IR26" s="459"/>
      <c r="IS26" s="459"/>
      <c r="IT26" s="459"/>
      <c r="IU26" s="459"/>
      <c r="IV26" s="459"/>
    </row>
    <row r="27" spans="1:256" ht="7.5" customHeight="1">
      <c r="A27" s="459" t="s">
        <v>15</v>
      </c>
      <c r="B27" s="459"/>
      <c r="C27" s="459"/>
      <c r="D27" s="452"/>
      <c r="E27" s="452"/>
      <c r="F27" s="452"/>
      <c r="G27" s="452"/>
      <c r="H27" s="452"/>
      <c r="I27" s="452"/>
      <c r="J27" s="452"/>
      <c r="K27" s="452"/>
      <c r="L27" s="452"/>
      <c r="M27" s="457"/>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c r="CV27" s="459"/>
      <c r="CW27" s="459"/>
      <c r="CX27" s="459"/>
      <c r="CY27" s="459"/>
      <c r="CZ27" s="459"/>
      <c r="DA27" s="459"/>
      <c r="DB27" s="459"/>
      <c r="DC27" s="459"/>
      <c r="DD27" s="459"/>
      <c r="DE27" s="459"/>
      <c r="DF27" s="459"/>
      <c r="DG27" s="459"/>
      <c r="DH27" s="459"/>
      <c r="DI27" s="459"/>
      <c r="DJ27" s="459"/>
      <c r="DK27" s="459"/>
      <c r="DL27" s="459"/>
      <c r="DM27" s="459"/>
      <c r="DN27" s="459"/>
      <c r="DO27" s="459"/>
      <c r="DP27" s="459"/>
      <c r="DQ27" s="459"/>
      <c r="DR27" s="459"/>
      <c r="DS27" s="459"/>
      <c r="DT27" s="459"/>
      <c r="DU27" s="459"/>
      <c r="DV27" s="459"/>
      <c r="DW27" s="459"/>
      <c r="DX27" s="459"/>
      <c r="DY27" s="459"/>
      <c r="DZ27" s="459"/>
      <c r="EA27" s="459"/>
      <c r="EB27" s="459"/>
      <c r="EC27" s="459"/>
      <c r="ED27" s="459"/>
      <c r="EE27" s="459"/>
      <c r="EF27" s="459"/>
      <c r="EG27" s="459"/>
      <c r="EH27" s="459"/>
      <c r="EI27" s="459"/>
      <c r="EJ27" s="459"/>
      <c r="EK27" s="459"/>
      <c r="EL27" s="459"/>
      <c r="EM27" s="459"/>
      <c r="EN27" s="459"/>
      <c r="EO27" s="459"/>
      <c r="EP27" s="459"/>
      <c r="EQ27" s="459"/>
      <c r="ER27" s="459"/>
      <c r="ES27" s="459"/>
      <c r="ET27" s="459"/>
      <c r="EU27" s="459"/>
      <c r="EV27" s="459"/>
      <c r="EW27" s="459"/>
      <c r="EX27" s="459"/>
      <c r="EY27" s="459"/>
      <c r="EZ27" s="459"/>
      <c r="FA27" s="459"/>
      <c r="FB27" s="459"/>
      <c r="FC27" s="459"/>
      <c r="FD27" s="459"/>
      <c r="FE27" s="459"/>
      <c r="FF27" s="459"/>
      <c r="FG27" s="459"/>
      <c r="FH27" s="459"/>
      <c r="FI27" s="459"/>
      <c r="FJ27" s="459"/>
      <c r="FK27" s="459"/>
      <c r="FL27" s="459"/>
      <c r="FM27" s="459"/>
      <c r="FN27" s="459"/>
      <c r="FO27" s="459"/>
      <c r="FP27" s="459"/>
      <c r="FQ27" s="459"/>
      <c r="FR27" s="459"/>
      <c r="FS27" s="459"/>
      <c r="FT27" s="459"/>
      <c r="FU27" s="459"/>
      <c r="FV27" s="459"/>
      <c r="FW27" s="459"/>
      <c r="FX27" s="459"/>
      <c r="FY27" s="459"/>
      <c r="FZ27" s="459"/>
      <c r="GA27" s="459"/>
      <c r="GB27" s="459"/>
      <c r="GC27" s="459"/>
      <c r="GD27" s="459"/>
      <c r="GE27" s="459"/>
      <c r="GF27" s="459"/>
      <c r="GG27" s="459"/>
      <c r="GH27" s="459"/>
      <c r="GI27" s="459"/>
      <c r="GJ27" s="459"/>
      <c r="GK27" s="459"/>
      <c r="GL27" s="459"/>
      <c r="GM27" s="459"/>
      <c r="GN27" s="459"/>
      <c r="GO27" s="459"/>
      <c r="GP27" s="459"/>
      <c r="GQ27" s="459"/>
      <c r="GR27" s="459"/>
      <c r="GS27" s="459"/>
      <c r="GT27" s="459"/>
      <c r="GU27" s="459"/>
      <c r="GV27" s="459"/>
      <c r="GW27" s="459"/>
      <c r="GX27" s="459"/>
      <c r="GY27" s="459"/>
      <c r="GZ27" s="459"/>
      <c r="HA27" s="459"/>
      <c r="HB27" s="459"/>
      <c r="HC27" s="459"/>
      <c r="HD27" s="459"/>
      <c r="HE27" s="459"/>
      <c r="HF27" s="459"/>
      <c r="HG27" s="459"/>
      <c r="HH27" s="459"/>
      <c r="HI27" s="459"/>
      <c r="HJ27" s="459"/>
      <c r="HK27" s="459"/>
      <c r="HL27" s="459"/>
      <c r="HM27" s="459"/>
      <c r="HN27" s="459"/>
      <c r="HO27" s="459"/>
      <c r="HP27" s="459"/>
      <c r="HQ27" s="459"/>
      <c r="HR27" s="459"/>
      <c r="HS27" s="459"/>
      <c r="HT27" s="459"/>
      <c r="HU27" s="459"/>
      <c r="HV27" s="459"/>
      <c r="HW27" s="459"/>
      <c r="HX27" s="459"/>
      <c r="HY27" s="459"/>
      <c r="HZ27" s="459"/>
      <c r="IA27" s="459"/>
      <c r="IB27" s="459"/>
      <c r="IC27" s="459"/>
      <c r="ID27" s="459"/>
      <c r="IE27" s="459"/>
      <c r="IF27" s="459"/>
      <c r="IG27" s="459"/>
      <c r="IH27" s="459"/>
      <c r="II27" s="459"/>
      <c r="IJ27" s="459"/>
      <c r="IK27" s="459"/>
      <c r="IL27" s="459"/>
      <c r="IM27" s="459"/>
      <c r="IN27" s="459"/>
      <c r="IO27" s="459"/>
      <c r="IP27" s="459"/>
      <c r="IQ27" s="459"/>
      <c r="IR27" s="459"/>
      <c r="IS27" s="459"/>
      <c r="IT27" s="459"/>
      <c r="IU27" s="459"/>
      <c r="IV27" s="459"/>
    </row>
    <row r="28" spans="1:256" ht="16.5" customHeight="1">
      <c r="A28" s="459" t="s">
        <v>1009</v>
      </c>
      <c r="B28" s="459"/>
      <c r="C28" s="459" t="s">
        <v>15</v>
      </c>
      <c r="D28" s="1735">
        <v>24.341999999999999</v>
      </c>
      <c r="E28" s="1732"/>
      <c r="F28" s="1735">
        <v>0.35099999999999998</v>
      </c>
      <c r="G28" s="1732"/>
      <c r="H28" s="1735">
        <v>0</v>
      </c>
      <c r="I28" s="1732"/>
      <c r="J28" s="1735">
        <v>0</v>
      </c>
      <c r="K28" s="1733"/>
      <c r="L28" s="1736">
        <f t="shared" ref="L28:L44" si="0">ROUND(SUM(D28)+SUM(F28)-SUM(H28)+SUM(J28),3)</f>
        <v>24.693000000000001</v>
      </c>
      <c r="M28" s="466"/>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59"/>
      <c r="DU28" s="459"/>
      <c r="DV28" s="459"/>
      <c r="DW28" s="459"/>
      <c r="DX28" s="459"/>
      <c r="DY28" s="459"/>
      <c r="DZ28" s="459"/>
      <c r="EA28" s="459"/>
      <c r="EB28" s="459"/>
      <c r="EC28" s="459"/>
      <c r="ED28" s="459"/>
      <c r="EE28" s="459"/>
      <c r="EF28" s="459"/>
      <c r="EG28" s="459"/>
      <c r="EH28" s="459"/>
      <c r="EI28" s="459"/>
      <c r="EJ28" s="459"/>
      <c r="EK28" s="459"/>
      <c r="EL28" s="459"/>
      <c r="EM28" s="459"/>
      <c r="EN28" s="459"/>
      <c r="EO28" s="459"/>
      <c r="EP28" s="459"/>
      <c r="EQ28" s="459"/>
      <c r="ER28" s="459"/>
      <c r="ES28" s="459"/>
      <c r="ET28" s="459"/>
      <c r="EU28" s="459"/>
      <c r="EV28" s="459"/>
      <c r="EW28" s="459"/>
      <c r="EX28" s="459"/>
      <c r="EY28" s="459"/>
      <c r="EZ28" s="459"/>
      <c r="FA28" s="459"/>
      <c r="FB28" s="459"/>
      <c r="FC28" s="459"/>
      <c r="FD28" s="459"/>
      <c r="FE28" s="459"/>
      <c r="FF28" s="459"/>
      <c r="FG28" s="459"/>
      <c r="FH28" s="459"/>
      <c r="FI28" s="459"/>
      <c r="FJ28" s="459"/>
      <c r="FK28" s="459"/>
      <c r="FL28" s="459"/>
      <c r="FM28" s="459"/>
      <c r="FN28" s="459"/>
      <c r="FO28" s="459"/>
      <c r="FP28" s="459"/>
      <c r="FQ28" s="459"/>
      <c r="FR28" s="459"/>
      <c r="FS28" s="459"/>
      <c r="FT28" s="459"/>
      <c r="FU28" s="459"/>
      <c r="FV28" s="459"/>
      <c r="FW28" s="459"/>
      <c r="FX28" s="459"/>
      <c r="FY28" s="459"/>
      <c r="FZ28" s="459"/>
      <c r="GA28" s="459"/>
      <c r="GB28" s="459"/>
      <c r="GC28" s="459"/>
      <c r="GD28" s="459"/>
      <c r="GE28" s="459"/>
      <c r="GF28" s="459"/>
      <c r="GG28" s="459"/>
      <c r="GH28" s="459"/>
      <c r="GI28" s="459"/>
      <c r="GJ28" s="459"/>
      <c r="GK28" s="459"/>
      <c r="GL28" s="459"/>
      <c r="GM28" s="459"/>
      <c r="GN28" s="459"/>
      <c r="GO28" s="459"/>
      <c r="GP28" s="459"/>
      <c r="GQ28" s="459"/>
      <c r="GR28" s="459"/>
      <c r="GS28" s="459"/>
      <c r="GT28" s="459"/>
      <c r="GU28" s="459"/>
      <c r="GV28" s="459"/>
      <c r="GW28" s="459"/>
      <c r="GX28" s="459"/>
      <c r="GY28" s="459"/>
      <c r="GZ28" s="459"/>
      <c r="HA28" s="459"/>
      <c r="HB28" s="459"/>
      <c r="HC28" s="459"/>
      <c r="HD28" s="459"/>
      <c r="HE28" s="459"/>
      <c r="HF28" s="459"/>
      <c r="HG28" s="459"/>
      <c r="HH28" s="459"/>
      <c r="HI28" s="459"/>
      <c r="HJ28" s="459"/>
      <c r="HK28" s="459"/>
      <c r="HL28" s="459"/>
      <c r="HM28" s="459"/>
      <c r="HN28" s="459"/>
      <c r="HO28" s="459"/>
      <c r="HP28" s="459"/>
      <c r="HQ28" s="459"/>
      <c r="HR28" s="459"/>
      <c r="HS28" s="459"/>
      <c r="HT28" s="459"/>
      <c r="HU28" s="459"/>
      <c r="HV28" s="459"/>
      <c r="HW28" s="459"/>
      <c r="HX28" s="459"/>
      <c r="HY28" s="459"/>
      <c r="HZ28" s="459"/>
      <c r="IA28" s="459"/>
      <c r="IB28" s="459"/>
      <c r="IC28" s="459"/>
      <c r="ID28" s="459"/>
      <c r="IE28" s="459"/>
      <c r="IF28" s="459"/>
      <c r="IG28" s="459"/>
      <c r="IH28" s="459"/>
      <c r="II28" s="459"/>
      <c r="IJ28" s="459"/>
      <c r="IK28" s="459"/>
      <c r="IL28" s="459"/>
      <c r="IM28" s="459"/>
      <c r="IN28" s="459"/>
      <c r="IO28" s="459"/>
      <c r="IP28" s="459"/>
      <c r="IQ28" s="459"/>
      <c r="IR28" s="459"/>
      <c r="IS28" s="459"/>
      <c r="IT28" s="459"/>
      <c r="IU28" s="459"/>
      <c r="IV28" s="459"/>
    </row>
    <row r="29" spans="1:256" ht="15.75" customHeight="1">
      <c r="A29" s="712" t="s">
        <v>378</v>
      </c>
      <c r="B29" s="459"/>
      <c r="C29" s="459"/>
      <c r="D29" s="1735">
        <v>0.52800000000000002</v>
      </c>
      <c r="E29" s="1732"/>
      <c r="F29" s="1735">
        <v>1E-3</v>
      </c>
      <c r="G29" s="1732"/>
      <c r="H29" s="1735">
        <v>0</v>
      </c>
      <c r="I29" s="1732"/>
      <c r="J29" s="1735">
        <v>0</v>
      </c>
      <c r="K29" s="1733"/>
      <c r="L29" s="1736">
        <f t="shared" si="0"/>
        <v>0.52900000000000003</v>
      </c>
      <c r="M29" s="466"/>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c r="CJ29" s="459"/>
      <c r="CK29" s="459"/>
      <c r="CL29" s="459"/>
      <c r="CM29" s="459"/>
      <c r="CN29" s="459"/>
      <c r="CO29" s="459"/>
      <c r="CP29" s="459"/>
      <c r="CQ29" s="459"/>
      <c r="CR29" s="459"/>
      <c r="CS29" s="459"/>
      <c r="CT29" s="459"/>
      <c r="CU29" s="459"/>
      <c r="CV29" s="459"/>
      <c r="CW29" s="459"/>
      <c r="CX29" s="459"/>
      <c r="CY29" s="459"/>
      <c r="CZ29" s="459"/>
      <c r="DA29" s="459"/>
      <c r="DB29" s="459"/>
      <c r="DC29" s="459"/>
      <c r="DD29" s="459"/>
      <c r="DE29" s="459"/>
      <c r="DF29" s="459"/>
      <c r="DG29" s="459"/>
      <c r="DH29" s="459"/>
      <c r="DI29" s="459"/>
      <c r="DJ29" s="459"/>
      <c r="DK29" s="459"/>
      <c r="DL29" s="459"/>
      <c r="DM29" s="459"/>
      <c r="DN29" s="459"/>
      <c r="DO29" s="459"/>
      <c r="DP29" s="459"/>
      <c r="DQ29" s="459"/>
      <c r="DR29" s="459"/>
      <c r="DS29" s="459"/>
      <c r="DT29" s="459"/>
      <c r="DU29" s="459"/>
      <c r="DV29" s="459"/>
      <c r="DW29" s="459"/>
      <c r="DX29" s="459"/>
      <c r="DY29" s="459"/>
      <c r="DZ29" s="459"/>
      <c r="EA29" s="459"/>
      <c r="EB29" s="459"/>
      <c r="EC29" s="459"/>
      <c r="ED29" s="459"/>
      <c r="EE29" s="459"/>
      <c r="EF29" s="459"/>
      <c r="EG29" s="459"/>
      <c r="EH29" s="459"/>
      <c r="EI29" s="459"/>
      <c r="EJ29" s="459"/>
      <c r="EK29" s="459"/>
      <c r="EL29" s="459"/>
      <c r="EM29" s="459"/>
      <c r="EN29" s="459"/>
      <c r="EO29" s="459"/>
      <c r="EP29" s="459"/>
      <c r="EQ29" s="459"/>
      <c r="ER29" s="459"/>
      <c r="ES29" s="459"/>
      <c r="ET29" s="459"/>
      <c r="EU29" s="459"/>
      <c r="EV29" s="459"/>
      <c r="EW29" s="459"/>
      <c r="EX29" s="459"/>
      <c r="EY29" s="459"/>
      <c r="EZ29" s="459"/>
      <c r="FA29" s="459"/>
      <c r="FB29" s="459"/>
      <c r="FC29" s="459"/>
      <c r="FD29" s="459"/>
      <c r="FE29" s="459"/>
      <c r="FF29" s="459"/>
      <c r="FG29" s="459"/>
      <c r="FH29" s="459"/>
      <c r="FI29" s="459"/>
      <c r="FJ29" s="459"/>
      <c r="FK29" s="459"/>
      <c r="FL29" s="459"/>
      <c r="FM29" s="459"/>
      <c r="FN29" s="459"/>
      <c r="FO29" s="459"/>
      <c r="FP29" s="459"/>
      <c r="FQ29" s="459"/>
      <c r="FR29" s="459"/>
      <c r="FS29" s="459"/>
      <c r="FT29" s="459"/>
      <c r="FU29" s="459"/>
      <c r="FV29" s="459"/>
      <c r="FW29" s="459"/>
      <c r="FX29" s="459"/>
      <c r="FY29" s="459"/>
      <c r="FZ29" s="459"/>
      <c r="GA29" s="459"/>
      <c r="GB29" s="459"/>
      <c r="GC29" s="459"/>
      <c r="GD29" s="459"/>
      <c r="GE29" s="459"/>
      <c r="GF29" s="459"/>
      <c r="GG29" s="459"/>
      <c r="GH29" s="459"/>
      <c r="GI29" s="459"/>
      <c r="GJ29" s="459"/>
      <c r="GK29" s="459"/>
      <c r="GL29" s="459"/>
      <c r="GM29" s="459"/>
      <c r="GN29" s="459"/>
      <c r="GO29" s="459"/>
      <c r="GP29" s="459"/>
      <c r="GQ29" s="459"/>
      <c r="GR29" s="459"/>
      <c r="GS29" s="459"/>
      <c r="GT29" s="459"/>
      <c r="GU29" s="459"/>
      <c r="GV29" s="459"/>
      <c r="GW29" s="459"/>
      <c r="GX29" s="459"/>
      <c r="GY29" s="459"/>
      <c r="GZ29" s="459"/>
      <c r="HA29" s="459"/>
      <c r="HB29" s="459"/>
      <c r="HC29" s="459"/>
      <c r="HD29" s="459"/>
      <c r="HE29" s="459"/>
      <c r="HF29" s="459"/>
      <c r="HG29" s="459"/>
      <c r="HH29" s="459"/>
      <c r="HI29" s="459"/>
      <c r="HJ29" s="459"/>
      <c r="HK29" s="459"/>
      <c r="HL29" s="459"/>
      <c r="HM29" s="459"/>
      <c r="HN29" s="459"/>
      <c r="HO29" s="459"/>
      <c r="HP29" s="459"/>
      <c r="HQ29" s="459"/>
      <c r="HR29" s="459"/>
      <c r="HS29" s="459"/>
      <c r="HT29" s="459"/>
      <c r="HU29" s="459"/>
      <c r="HV29" s="459"/>
      <c r="HW29" s="459"/>
      <c r="HX29" s="459"/>
      <c r="HY29" s="459"/>
      <c r="HZ29" s="459"/>
      <c r="IA29" s="459"/>
      <c r="IB29" s="459"/>
      <c r="IC29" s="459"/>
      <c r="ID29" s="459"/>
      <c r="IE29" s="459"/>
      <c r="IF29" s="459"/>
      <c r="IG29" s="459"/>
      <c r="IH29" s="459"/>
      <c r="II29" s="459"/>
      <c r="IJ29" s="459"/>
      <c r="IK29" s="459"/>
      <c r="IL29" s="459"/>
      <c r="IM29" s="459"/>
      <c r="IN29" s="459"/>
      <c r="IO29" s="459"/>
      <c r="IP29" s="459"/>
      <c r="IQ29" s="459"/>
      <c r="IR29" s="459"/>
      <c r="IS29" s="459"/>
      <c r="IT29" s="459"/>
      <c r="IU29" s="459"/>
      <c r="IV29" s="459"/>
    </row>
    <row r="30" spans="1:256" ht="16.5" customHeight="1">
      <c r="A30" s="459" t="s">
        <v>379</v>
      </c>
      <c r="B30" s="459"/>
      <c r="C30" s="459"/>
      <c r="D30" s="1735">
        <v>1105.92</v>
      </c>
      <c r="E30" s="1732"/>
      <c r="F30" s="1735">
        <v>790.76499999999999</v>
      </c>
      <c r="G30" s="1732"/>
      <c r="H30" s="1735">
        <v>930.77300000000002</v>
      </c>
      <c r="I30" s="1732"/>
      <c r="J30" s="1735">
        <v>0</v>
      </c>
      <c r="K30" s="1733"/>
      <c r="L30" s="1736">
        <f t="shared" si="0"/>
        <v>965.91200000000003</v>
      </c>
      <c r="M30" s="466"/>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c r="CZ30" s="459"/>
      <c r="DA30" s="459"/>
      <c r="DB30" s="459"/>
      <c r="DC30" s="459"/>
      <c r="DD30" s="459"/>
      <c r="DE30" s="459"/>
      <c r="DF30" s="459"/>
      <c r="DG30" s="459"/>
      <c r="DH30" s="459"/>
      <c r="DI30" s="459"/>
      <c r="DJ30" s="459"/>
      <c r="DK30" s="459"/>
      <c r="DL30" s="459"/>
      <c r="DM30" s="459"/>
      <c r="DN30" s="459"/>
      <c r="DO30" s="459"/>
      <c r="DP30" s="459"/>
      <c r="DQ30" s="459"/>
      <c r="DR30" s="459"/>
      <c r="DS30" s="459"/>
      <c r="DT30" s="459"/>
      <c r="DU30" s="459"/>
      <c r="DV30" s="459"/>
      <c r="DW30" s="459"/>
      <c r="DX30" s="459"/>
      <c r="DY30" s="459"/>
      <c r="DZ30" s="459"/>
      <c r="EA30" s="459"/>
      <c r="EB30" s="459"/>
      <c r="EC30" s="459"/>
      <c r="ED30" s="459"/>
      <c r="EE30" s="459"/>
      <c r="EF30" s="459"/>
      <c r="EG30" s="459"/>
      <c r="EH30" s="459"/>
      <c r="EI30" s="459"/>
      <c r="EJ30" s="459"/>
      <c r="EK30" s="459"/>
      <c r="EL30" s="459"/>
      <c r="EM30" s="459"/>
      <c r="EN30" s="459"/>
      <c r="EO30" s="459"/>
      <c r="EP30" s="459"/>
      <c r="EQ30" s="459"/>
      <c r="ER30" s="459"/>
      <c r="ES30" s="459"/>
      <c r="ET30" s="459"/>
      <c r="EU30" s="459"/>
      <c r="EV30" s="459"/>
      <c r="EW30" s="459"/>
      <c r="EX30" s="459"/>
      <c r="EY30" s="459"/>
      <c r="EZ30" s="459"/>
      <c r="FA30" s="459"/>
      <c r="FB30" s="459"/>
      <c r="FC30" s="459"/>
      <c r="FD30" s="459"/>
      <c r="FE30" s="459"/>
      <c r="FF30" s="459"/>
      <c r="FG30" s="459"/>
      <c r="FH30" s="459"/>
      <c r="FI30" s="459"/>
      <c r="FJ30" s="459"/>
      <c r="FK30" s="459"/>
      <c r="FL30" s="459"/>
      <c r="FM30" s="459"/>
      <c r="FN30" s="459"/>
      <c r="FO30" s="459"/>
      <c r="FP30" s="459"/>
      <c r="FQ30" s="459"/>
      <c r="FR30" s="459"/>
      <c r="FS30" s="459"/>
      <c r="FT30" s="459"/>
      <c r="FU30" s="459"/>
      <c r="FV30" s="459"/>
      <c r="FW30" s="459"/>
      <c r="FX30" s="459"/>
      <c r="FY30" s="459"/>
      <c r="FZ30" s="459"/>
      <c r="GA30" s="459"/>
      <c r="GB30" s="459"/>
      <c r="GC30" s="459"/>
      <c r="GD30" s="459"/>
      <c r="GE30" s="459"/>
      <c r="GF30" s="459"/>
      <c r="GG30" s="459"/>
      <c r="GH30" s="459"/>
      <c r="GI30" s="459"/>
      <c r="GJ30" s="459"/>
      <c r="GK30" s="459"/>
      <c r="GL30" s="459"/>
      <c r="GM30" s="459"/>
      <c r="GN30" s="459"/>
      <c r="GO30" s="459"/>
      <c r="GP30" s="459"/>
      <c r="GQ30" s="459"/>
      <c r="GR30" s="459"/>
      <c r="GS30" s="459"/>
      <c r="GT30" s="459"/>
      <c r="GU30" s="459"/>
      <c r="GV30" s="459"/>
      <c r="GW30" s="459"/>
      <c r="GX30" s="459"/>
      <c r="GY30" s="459"/>
      <c r="GZ30" s="459"/>
      <c r="HA30" s="459"/>
      <c r="HB30" s="459"/>
      <c r="HC30" s="459"/>
      <c r="HD30" s="459"/>
      <c r="HE30" s="459"/>
      <c r="HF30" s="459"/>
      <c r="HG30" s="459"/>
      <c r="HH30" s="459"/>
      <c r="HI30" s="459"/>
      <c r="HJ30" s="459"/>
      <c r="HK30" s="459"/>
      <c r="HL30" s="459"/>
      <c r="HM30" s="459"/>
      <c r="HN30" s="459"/>
      <c r="HO30" s="459"/>
      <c r="HP30" s="459"/>
      <c r="HQ30" s="459"/>
      <c r="HR30" s="459"/>
      <c r="HS30" s="459"/>
      <c r="HT30" s="459"/>
      <c r="HU30" s="459"/>
      <c r="HV30" s="459"/>
      <c r="HW30" s="459"/>
      <c r="HX30" s="459"/>
      <c r="HY30" s="459"/>
      <c r="HZ30" s="459"/>
      <c r="IA30" s="459"/>
      <c r="IB30" s="459"/>
      <c r="IC30" s="459"/>
      <c r="ID30" s="459"/>
      <c r="IE30" s="459"/>
      <c r="IF30" s="459"/>
      <c r="IG30" s="459"/>
      <c r="IH30" s="459"/>
      <c r="II30" s="459"/>
      <c r="IJ30" s="459"/>
      <c r="IK30" s="459"/>
      <c r="IL30" s="459"/>
      <c r="IM30" s="459"/>
      <c r="IN30" s="459"/>
      <c r="IO30" s="459"/>
      <c r="IP30" s="459"/>
      <c r="IQ30" s="459"/>
      <c r="IR30" s="459"/>
      <c r="IS30" s="459"/>
      <c r="IT30" s="459"/>
      <c r="IU30" s="459"/>
      <c r="IV30" s="459"/>
    </row>
    <row r="31" spans="1:256" ht="16.5" customHeight="1">
      <c r="A31" s="459" t="s">
        <v>380</v>
      </c>
      <c r="B31" s="459"/>
      <c r="C31" s="459" t="s">
        <v>15</v>
      </c>
      <c r="D31" s="1735">
        <v>15.029</v>
      </c>
      <c r="E31" s="1732"/>
      <c r="F31" s="1735">
        <v>99.757000000000005</v>
      </c>
      <c r="G31" s="1732"/>
      <c r="H31" s="1735">
        <v>99.730999999999995</v>
      </c>
      <c r="I31" s="1732"/>
      <c r="J31" s="1735">
        <v>0</v>
      </c>
      <c r="K31" s="1733"/>
      <c r="L31" s="1736">
        <f>ROUND(SUM(D31)+SUM(F31)-SUM(H31)+SUM(J31),3)</f>
        <v>15.055</v>
      </c>
      <c r="M31" s="466"/>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c r="CJ31" s="459"/>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59"/>
      <c r="DX31" s="459"/>
      <c r="DY31" s="459"/>
      <c r="DZ31" s="459"/>
      <c r="EA31" s="459"/>
      <c r="EB31" s="459"/>
      <c r="EC31" s="459"/>
      <c r="ED31" s="459"/>
      <c r="EE31" s="459"/>
      <c r="EF31" s="459"/>
      <c r="EG31" s="459"/>
      <c r="EH31" s="459"/>
      <c r="EI31" s="459"/>
      <c r="EJ31" s="459"/>
      <c r="EK31" s="459"/>
      <c r="EL31" s="459"/>
      <c r="EM31" s="459"/>
      <c r="EN31" s="459"/>
      <c r="EO31" s="459"/>
      <c r="EP31" s="459"/>
      <c r="EQ31" s="459"/>
      <c r="ER31" s="459"/>
      <c r="ES31" s="459"/>
      <c r="ET31" s="459"/>
      <c r="EU31" s="459"/>
      <c r="EV31" s="459"/>
      <c r="EW31" s="459"/>
      <c r="EX31" s="459"/>
      <c r="EY31" s="459"/>
      <c r="EZ31" s="459"/>
      <c r="FA31" s="459"/>
      <c r="FB31" s="459"/>
      <c r="FC31" s="459"/>
      <c r="FD31" s="459"/>
      <c r="FE31" s="459"/>
      <c r="FF31" s="459"/>
      <c r="FG31" s="459"/>
      <c r="FH31" s="459"/>
      <c r="FI31" s="459"/>
      <c r="FJ31" s="459"/>
      <c r="FK31" s="459"/>
      <c r="FL31" s="459"/>
      <c r="FM31" s="459"/>
      <c r="FN31" s="459"/>
      <c r="FO31" s="459"/>
      <c r="FP31" s="459"/>
      <c r="FQ31" s="459"/>
      <c r="FR31" s="459"/>
      <c r="FS31" s="459"/>
      <c r="FT31" s="459"/>
      <c r="FU31" s="459"/>
      <c r="FV31" s="459"/>
      <c r="FW31" s="459"/>
      <c r="FX31" s="459"/>
      <c r="FY31" s="459"/>
      <c r="FZ31" s="459"/>
      <c r="GA31" s="459"/>
      <c r="GB31" s="459"/>
      <c r="GC31" s="459"/>
      <c r="GD31" s="459"/>
      <c r="GE31" s="459"/>
      <c r="GF31" s="459"/>
      <c r="GG31" s="459"/>
      <c r="GH31" s="459"/>
      <c r="GI31" s="459"/>
      <c r="GJ31" s="459"/>
      <c r="GK31" s="459"/>
      <c r="GL31" s="459"/>
      <c r="GM31" s="459"/>
      <c r="GN31" s="459"/>
      <c r="GO31" s="459"/>
      <c r="GP31" s="459"/>
      <c r="GQ31" s="459"/>
      <c r="GR31" s="459"/>
      <c r="GS31" s="459"/>
      <c r="GT31" s="459"/>
      <c r="GU31" s="459"/>
      <c r="GV31" s="459"/>
      <c r="GW31" s="459"/>
      <c r="GX31" s="459"/>
      <c r="GY31" s="459"/>
      <c r="GZ31" s="459"/>
      <c r="HA31" s="459"/>
      <c r="HB31" s="459"/>
      <c r="HC31" s="459"/>
      <c r="HD31" s="459"/>
      <c r="HE31" s="459"/>
      <c r="HF31" s="459"/>
      <c r="HG31" s="459"/>
      <c r="HH31" s="459"/>
      <c r="HI31" s="459"/>
      <c r="HJ31" s="459"/>
      <c r="HK31" s="459"/>
      <c r="HL31" s="459"/>
      <c r="HM31" s="459"/>
      <c r="HN31" s="459"/>
      <c r="HO31" s="459"/>
      <c r="HP31" s="459"/>
      <c r="HQ31" s="459"/>
      <c r="HR31" s="459"/>
      <c r="HS31" s="459"/>
      <c r="HT31" s="459"/>
      <c r="HU31" s="459"/>
      <c r="HV31" s="459"/>
      <c r="HW31" s="459"/>
      <c r="HX31" s="459"/>
      <c r="HY31" s="459"/>
      <c r="HZ31" s="459"/>
      <c r="IA31" s="459"/>
      <c r="IB31" s="459"/>
      <c r="IC31" s="459"/>
      <c r="ID31" s="459"/>
      <c r="IE31" s="459"/>
      <c r="IF31" s="459"/>
      <c r="IG31" s="459"/>
      <c r="IH31" s="459"/>
      <c r="II31" s="459"/>
      <c r="IJ31" s="459"/>
      <c r="IK31" s="459"/>
      <c r="IL31" s="459"/>
      <c r="IM31" s="459"/>
      <c r="IN31" s="459"/>
      <c r="IO31" s="459"/>
      <c r="IP31" s="459"/>
      <c r="IQ31" s="459"/>
      <c r="IR31" s="459"/>
      <c r="IS31" s="459"/>
      <c r="IT31" s="459"/>
      <c r="IU31" s="459"/>
      <c r="IV31" s="459"/>
    </row>
    <row r="32" spans="1:256" ht="16.5" customHeight="1">
      <c r="A32" s="459" t="s">
        <v>1021</v>
      </c>
      <c r="B32" s="459"/>
      <c r="C32" s="459"/>
      <c r="D32" s="1735">
        <v>41.151000000000003</v>
      </c>
      <c r="E32" s="1732"/>
      <c r="F32" s="1735">
        <v>362.23099999999999</v>
      </c>
      <c r="G32" s="1732"/>
      <c r="H32" s="1735">
        <v>362.96800000000002</v>
      </c>
      <c r="I32" s="1732"/>
      <c r="J32" s="1735">
        <v>0</v>
      </c>
      <c r="K32" s="1733"/>
      <c r="L32" s="1736">
        <f t="shared" si="0"/>
        <v>40.414000000000001</v>
      </c>
      <c r="M32" s="466"/>
      <c r="N32" s="404"/>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row>
    <row r="33" spans="1:256" ht="16.5" customHeight="1">
      <c r="A33" s="459" t="s">
        <v>381</v>
      </c>
      <c r="B33" s="459"/>
      <c r="C33" s="459" t="s">
        <v>15</v>
      </c>
      <c r="D33" s="1735">
        <v>27.177</v>
      </c>
      <c r="E33" s="1732"/>
      <c r="F33" s="1735">
        <v>4.2329999999999997</v>
      </c>
      <c r="G33" s="1732"/>
      <c r="H33" s="1735">
        <v>5.8639999999999999</v>
      </c>
      <c r="I33" s="1732"/>
      <c r="J33" s="1735">
        <v>0</v>
      </c>
      <c r="K33" s="1733"/>
      <c r="L33" s="1736">
        <f t="shared" si="0"/>
        <v>25.545999999999999</v>
      </c>
      <c r="M33" s="466"/>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459"/>
      <c r="CO33" s="459"/>
      <c r="CP33" s="459"/>
      <c r="CQ33" s="459"/>
      <c r="CR33" s="459"/>
      <c r="CS33" s="459"/>
      <c r="CT33" s="459"/>
      <c r="CU33" s="459"/>
      <c r="CV33" s="459"/>
      <c r="CW33" s="459"/>
      <c r="CX33" s="459"/>
      <c r="CY33" s="459"/>
      <c r="CZ33" s="459"/>
      <c r="DA33" s="459"/>
      <c r="DB33" s="459"/>
      <c r="DC33" s="459"/>
      <c r="DD33" s="459"/>
      <c r="DE33" s="459"/>
      <c r="DF33" s="459"/>
      <c r="DG33" s="459"/>
      <c r="DH33" s="459"/>
      <c r="DI33" s="459"/>
      <c r="DJ33" s="459"/>
      <c r="DK33" s="459"/>
      <c r="DL33" s="459"/>
      <c r="DM33" s="459"/>
      <c r="DN33" s="459"/>
      <c r="DO33" s="459"/>
      <c r="DP33" s="459"/>
      <c r="DQ33" s="459"/>
      <c r="DR33" s="459"/>
      <c r="DS33" s="459"/>
      <c r="DT33" s="459"/>
      <c r="DU33" s="459"/>
      <c r="DV33" s="459"/>
      <c r="DW33" s="459"/>
      <c r="DX33" s="459"/>
      <c r="DY33" s="459"/>
      <c r="DZ33" s="459"/>
      <c r="EA33" s="459"/>
      <c r="EB33" s="459"/>
      <c r="EC33" s="459"/>
      <c r="ED33" s="459"/>
      <c r="EE33" s="459"/>
      <c r="EF33" s="459"/>
      <c r="EG33" s="459"/>
      <c r="EH33" s="459"/>
      <c r="EI33" s="459"/>
      <c r="EJ33" s="459"/>
      <c r="EK33" s="459"/>
      <c r="EL33" s="459"/>
      <c r="EM33" s="459"/>
      <c r="EN33" s="459"/>
      <c r="EO33" s="459"/>
      <c r="EP33" s="459"/>
      <c r="EQ33" s="459"/>
      <c r="ER33" s="459"/>
      <c r="ES33" s="459"/>
      <c r="ET33" s="459"/>
      <c r="EU33" s="459"/>
      <c r="EV33" s="459"/>
      <c r="EW33" s="459"/>
      <c r="EX33" s="459"/>
      <c r="EY33" s="459"/>
      <c r="EZ33" s="459"/>
      <c r="FA33" s="459"/>
      <c r="FB33" s="459"/>
      <c r="FC33" s="459"/>
      <c r="FD33" s="459"/>
      <c r="FE33" s="459"/>
      <c r="FF33" s="459"/>
      <c r="FG33" s="459"/>
      <c r="FH33" s="459"/>
      <c r="FI33" s="459"/>
      <c r="FJ33" s="459"/>
      <c r="FK33" s="459"/>
      <c r="FL33" s="459"/>
      <c r="FM33" s="459"/>
      <c r="FN33" s="459"/>
      <c r="FO33" s="459"/>
      <c r="FP33" s="459"/>
      <c r="FQ33" s="459"/>
      <c r="FR33" s="459"/>
      <c r="FS33" s="459"/>
      <c r="FT33" s="459"/>
      <c r="FU33" s="459"/>
      <c r="FV33" s="459"/>
      <c r="FW33" s="459"/>
      <c r="FX33" s="459"/>
      <c r="FY33" s="459"/>
      <c r="FZ33" s="459"/>
      <c r="GA33" s="459"/>
      <c r="GB33" s="459"/>
      <c r="GC33" s="459"/>
      <c r="GD33" s="459"/>
      <c r="GE33" s="459"/>
      <c r="GF33" s="459"/>
      <c r="GG33" s="459"/>
      <c r="GH33" s="459"/>
      <c r="GI33" s="459"/>
      <c r="GJ33" s="459"/>
      <c r="GK33" s="459"/>
      <c r="GL33" s="459"/>
      <c r="GM33" s="459"/>
      <c r="GN33" s="459"/>
      <c r="GO33" s="459"/>
      <c r="GP33" s="459"/>
      <c r="GQ33" s="459"/>
      <c r="GR33" s="459"/>
      <c r="GS33" s="459"/>
      <c r="GT33" s="459"/>
      <c r="GU33" s="459"/>
      <c r="GV33" s="459"/>
      <c r="GW33" s="459"/>
      <c r="GX33" s="459"/>
      <c r="GY33" s="459"/>
      <c r="GZ33" s="459"/>
      <c r="HA33" s="459"/>
      <c r="HB33" s="459"/>
      <c r="HC33" s="459"/>
      <c r="HD33" s="459"/>
      <c r="HE33" s="459"/>
      <c r="HF33" s="459"/>
      <c r="HG33" s="459"/>
      <c r="HH33" s="459"/>
      <c r="HI33" s="459"/>
      <c r="HJ33" s="459"/>
      <c r="HK33" s="459"/>
      <c r="HL33" s="459"/>
      <c r="HM33" s="459"/>
      <c r="HN33" s="459"/>
      <c r="HO33" s="459"/>
      <c r="HP33" s="459"/>
      <c r="HQ33" s="459"/>
      <c r="HR33" s="459"/>
      <c r="HS33" s="459"/>
      <c r="HT33" s="459"/>
      <c r="HU33" s="459"/>
      <c r="HV33" s="459"/>
      <c r="HW33" s="459"/>
      <c r="HX33" s="459"/>
      <c r="HY33" s="459"/>
      <c r="HZ33" s="459"/>
      <c r="IA33" s="459"/>
      <c r="IB33" s="459"/>
      <c r="IC33" s="459"/>
      <c r="ID33" s="459"/>
      <c r="IE33" s="459"/>
      <c r="IF33" s="459"/>
      <c r="IG33" s="459"/>
      <c r="IH33" s="459"/>
      <c r="II33" s="459"/>
      <c r="IJ33" s="459"/>
      <c r="IK33" s="459"/>
      <c r="IL33" s="459"/>
      <c r="IM33" s="459"/>
      <c r="IN33" s="459"/>
      <c r="IO33" s="459"/>
      <c r="IP33" s="459"/>
      <c r="IQ33" s="459"/>
      <c r="IR33" s="459"/>
      <c r="IS33" s="459"/>
      <c r="IT33" s="459"/>
      <c r="IU33" s="459"/>
      <c r="IV33" s="459"/>
    </row>
    <row r="34" spans="1:256" ht="15.75" customHeight="1">
      <c r="A34" s="459" t="s">
        <v>382</v>
      </c>
      <c r="B34" s="459"/>
      <c r="C34" s="459"/>
      <c r="D34" s="1735">
        <v>0.54700000000000004</v>
      </c>
      <c r="E34" s="1732"/>
      <c r="F34" s="1735">
        <v>0.64700000000000002</v>
      </c>
      <c r="G34" s="1732"/>
      <c r="H34" s="1735">
        <v>0.71699999999999997</v>
      </c>
      <c r="I34" s="1732"/>
      <c r="J34" s="1735">
        <v>0</v>
      </c>
      <c r="K34" s="1733"/>
      <c r="L34" s="1736">
        <f t="shared" si="0"/>
        <v>0.47699999999999998</v>
      </c>
      <c r="M34" s="466"/>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59"/>
      <c r="ED34" s="459"/>
      <c r="EE34" s="459"/>
      <c r="EF34" s="459"/>
      <c r="EG34" s="459"/>
      <c r="EH34" s="459"/>
      <c r="EI34" s="459"/>
      <c r="EJ34" s="459"/>
      <c r="EK34" s="459"/>
      <c r="EL34" s="459"/>
      <c r="EM34" s="459"/>
      <c r="EN34" s="459"/>
      <c r="EO34" s="459"/>
      <c r="EP34" s="459"/>
      <c r="EQ34" s="459"/>
      <c r="ER34" s="459"/>
      <c r="ES34" s="459"/>
      <c r="ET34" s="459"/>
      <c r="EU34" s="459"/>
      <c r="EV34" s="459"/>
      <c r="EW34" s="459"/>
      <c r="EX34" s="459"/>
      <c r="EY34" s="459"/>
      <c r="EZ34" s="459"/>
      <c r="FA34" s="459"/>
      <c r="FB34" s="459"/>
      <c r="FC34" s="459"/>
      <c r="FD34" s="459"/>
      <c r="FE34" s="459"/>
      <c r="FF34" s="459"/>
      <c r="FG34" s="459"/>
      <c r="FH34" s="459"/>
      <c r="FI34" s="459"/>
      <c r="FJ34" s="459"/>
      <c r="FK34" s="459"/>
      <c r="FL34" s="459"/>
      <c r="FM34" s="459"/>
      <c r="FN34" s="459"/>
      <c r="FO34" s="459"/>
      <c r="FP34" s="459"/>
      <c r="FQ34" s="459"/>
      <c r="FR34" s="459"/>
      <c r="FS34" s="459"/>
      <c r="FT34" s="459"/>
      <c r="FU34" s="459"/>
      <c r="FV34" s="459"/>
      <c r="FW34" s="459"/>
      <c r="FX34" s="459"/>
      <c r="FY34" s="459"/>
      <c r="FZ34" s="459"/>
      <c r="GA34" s="459"/>
      <c r="GB34" s="459"/>
      <c r="GC34" s="459"/>
      <c r="GD34" s="459"/>
      <c r="GE34" s="459"/>
      <c r="GF34" s="459"/>
      <c r="GG34" s="459"/>
      <c r="GH34" s="459"/>
      <c r="GI34" s="459"/>
      <c r="GJ34" s="459"/>
      <c r="GK34" s="459"/>
      <c r="GL34" s="459"/>
      <c r="GM34" s="459"/>
      <c r="GN34" s="459"/>
      <c r="GO34" s="459"/>
      <c r="GP34" s="459"/>
      <c r="GQ34" s="459"/>
      <c r="GR34" s="459"/>
      <c r="GS34" s="459"/>
      <c r="GT34" s="459"/>
      <c r="GU34" s="459"/>
      <c r="GV34" s="459"/>
      <c r="GW34" s="459"/>
      <c r="GX34" s="459"/>
      <c r="GY34" s="459"/>
      <c r="GZ34" s="459"/>
      <c r="HA34" s="459"/>
      <c r="HB34" s="459"/>
      <c r="HC34" s="459"/>
      <c r="HD34" s="459"/>
      <c r="HE34" s="459"/>
      <c r="HF34" s="459"/>
      <c r="HG34" s="459"/>
      <c r="HH34" s="459"/>
      <c r="HI34" s="459"/>
      <c r="HJ34" s="459"/>
      <c r="HK34" s="459"/>
      <c r="HL34" s="459"/>
      <c r="HM34" s="459"/>
      <c r="HN34" s="459"/>
      <c r="HO34" s="459"/>
      <c r="HP34" s="459"/>
      <c r="HQ34" s="459"/>
      <c r="HR34" s="459"/>
      <c r="HS34" s="459"/>
      <c r="HT34" s="459"/>
      <c r="HU34" s="459"/>
      <c r="HV34" s="459"/>
      <c r="HW34" s="459"/>
      <c r="HX34" s="459"/>
      <c r="HY34" s="459"/>
      <c r="HZ34" s="459"/>
      <c r="IA34" s="459"/>
      <c r="IB34" s="459"/>
      <c r="IC34" s="459"/>
      <c r="ID34" s="459"/>
      <c r="IE34" s="459"/>
      <c r="IF34" s="459"/>
      <c r="IG34" s="459"/>
      <c r="IH34" s="459"/>
      <c r="II34" s="459"/>
      <c r="IJ34" s="459"/>
      <c r="IK34" s="459"/>
      <c r="IL34" s="459"/>
      <c r="IM34" s="459"/>
      <c r="IN34" s="459"/>
      <c r="IO34" s="459"/>
      <c r="IP34" s="459"/>
      <c r="IQ34" s="459"/>
      <c r="IR34" s="459"/>
      <c r="IS34" s="459"/>
      <c r="IT34" s="459"/>
      <c r="IU34" s="459"/>
      <c r="IV34" s="459"/>
    </row>
    <row r="35" spans="1:256" ht="15.75" customHeight="1">
      <c r="A35" s="459" t="s">
        <v>383</v>
      </c>
      <c r="B35" s="459"/>
      <c r="C35" s="459"/>
      <c r="D35" s="1735">
        <v>596.91800000000001</v>
      </c>
      <c r="E35" s="1732"/>
      <c r="F35" s="1735">
        <v>131.58600000000001</v>
      </c>
      <c r="G35" s="1732"/>
      <c r="H35" s="1735">
        <v>76.391000000000005</v>
      </c>
      <c r="I35" s="1732"/>
      <c r="J35" s="1735">
        <v>0</v>
      </c>
      <c r="K35" s="1733"/>
      <c r="L35" s="1736">
        <f t="shared" si="0"/>
        <v>652.11300000000006</v>
      </c>
      <c r="M35" s="471"/>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59"/>
      <c r="DU35" s="459"/>
      <c r="DV35" s="459"/>
      <c r="DW35" s="459"/>
      <c r="DX35" s="459"/>
      <c r="DY35" s="459"/>
      <c r="DZ35" s="459"/>
      <c r="EA35" s="459"/>
      <c r="EB35" s="459"/>
      <c r="EC35" s="459"/>
      <c r="ED35" s="459"/>
      <c r="EE35" s="459"/>
      <c r="EF35" s="459"/>
      <c r="EG35" s="459"/>
      <c r="EH35" s="459"/>
      <c r="EI35" s="459"/>
      <c r="EJ35" s="459"/>
      <c r="EK35" s="459"/>
      <c r="EL35" s="459"/>
      <c r="EM35" s="459"/>
      <c r="EN35" s="459"/>
      <c r="EO35" s="459"/>
      <c r="EP35" s="459"/>
      <c r="EQ35" s="459"/>
      <c r="ER35" s="459"/>
      <c r="ES35" s="459"/>
      <c r="ET35" s="459"/>
      <c r="EU35" s="459"/>
      <c r="EV35" s="459"/>
      <c r="EW35" s="459"/>
      <c r="EX35" s="459"/>
      <c r="EY35" s="459"/>
      <c r="EZ35" s="459"/>
      <c r="FA35" s="459"/>
      <c r="FB35" s="459"/>
      <c r="FC35" s="459"/>
      <c r="FD35" s="459"/>
      <c r="FE35" s="459"/>
      <c r="FF35" s="459"/>
      <c r="FG35" s="459"/>
      <c r="FH35" s="459"/>
      <c r="FI35" s="459"/>
      <c r="FJ35" s="459"/>
      <c r="FK35" s="459"/>
      <c r="FL35" s="459"/>
      <c r="FM35" s="459"/>
      <c r="FN35" s="459"/>
      <c r="FO35" s="459"/>
      <c r="FP35" s="459"/>
      <c r="FQ35" s="459"/>
      <c r="FR35" s="459"/>
      <c r="FS35" s="459"/>
      <c r="FT35" s="459"/>
      <c r="FU35" s="459"/>
      <c r="FV35" s="459"/>
      <c r="FW35" s="459"/>
      <c r="FX35" s="459"/>
      <c r="FY35" s="459"/>
      <c r="FZ35" s="459"/>
      <c r="GA35" s="459"/>
      <c r="GB35" s="459"/>
      <c r="GC35" s="459"/>
      <c r="GD35" s="459"/>
      <c r="GE35" s="459"/>
      <c r="GF35" s="459"/>
      <c r="GG35" s="459"/>
      <c r="GH35" s="459"/>
      <c r="GI35" s="459"/>
      <c r="GJ35" s="459"/>
      <c r="GK35" s="459"/>
      <c r="GL35" s="459"/>
      <c r="GM35" s="459"/>
      <c r="GN35" s="459"/>
      <c r="GO35" s="459"/>
      <c r="GP35" s="459"/>
      <c r="GQ35" s="459"/>
      <c r="GR35" s="459"/>
      <c r="GS35" s="459"/>
      <c r="GT35" s="459"/>
      <c r="GU35" s="459"/>
      <c r="GV35" s="459"/>
      <c r="GW35" s="459"/>
      <c r="GX35" s="459"/>
      <c r="GY35" s="459"/>
      <c r="GZ35" s="459"/>
      <c r="HA35" s="459"/>
      <c r="HB35" s="459"/>
      <c r="HC35" s="459"/>
      <c r="HD35" s="459"/>
      <c r="HE35" s="459"/>
      <c r="HF35" s="459"/>
      <c r="HG35" s="459"/>
      <c r="HH35" s="459"/>
      <c r="HI35" s="459"/>
      <c r="HJ35" s="459"/>
      <c r="HK35" s="459"/>
      <c r="HL35" s="459"/>
      <c r="HM35" s="459"/>
      <c r="HN35" s="459"/>
      <c r="HO35" s="459"/>
      <c r="HP35" s="459"/>
      <c r="HQ35" s="459"/>
      <c r="HR35" s="459"/>
      <c r="HS35" s="459"/>
      <c r="HT35" s="459"/>
      <c r="HU35" s="459"/>
      <c r="HV35" s="459"/>
      <c r="HW35" s="459"/>
      <c r="HX35" s="459"/>
      <c r="HY35" s="459"/>
      <c r="HZ35" s="459"/>
      <c r="IA35" s="459"/>
      <c r="IB35" s="459"/>
      <c r="IC35" s="459"/>
      <c r="ID35" s="459"/>
      <c r="IE35" s="459"/>
      <c r="IF35" s="459"/>
      <c r="IG35" s="459"/>
      <c r="IH35" s="459"/>
      <c r="II35" s="459"/>
      <c r="IJ35" s="459"/>
      <c r="IK35" s="459"/>
      <c r="IL35" s="459"/>
      <c r="IM35" s="459"/>
      <c r="IN35" s="459"/>
      <c r="IO35" s="459"/>
      <c r="IP35" s="459"/>
      <c r="IQ35" s="459"/>
      <c r="IR35" s="459"/>
      <c r="IS35" s="459"/>
      <c r="IT35" s="459"/>
      <c r="IU35" s="459"/>
      <c r="IV35" s="459"/>
    </row>
    <row r="36" spans="1:256" ht="16.5" customHeight="1">
      <c r="A36" s="459" t="s">
        <v>384</v>
      </c>
      <c r="B36" s="459"/>
      <c r="C36" s="459"/>
      <c r="D36" s="1735">
        <v>0.14499999999999999</v>
      </c>
      <c r="E36" s="1732"/>
      <c r="F36" s="1735">
        <v>0</v>
      </c>
      <c r="G36" s="1732"/>
      <c r="H36" s="1735">
        <v>0</v>
      </c>
      <c r="I36" s="1732"/>
      <c r="J36" s="1735">
        <v>0</v>
      </c>
      <c r="K36" s="1733"/>
      <c r="L36" s="1736">
        <f t="shared" si="0"/>
        <v>0.14499999999999999</v>
      </c>
      <c r="M36" s="466"/>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59"/>
      <c r="DU36" s="459"/>
      <c r="DV36" s="459"/>
      <c r="DW36" s="459"/>
      <c r="DX36" s="459"/>
      <c r="DY36" s="459"/>
      <c r="DZ36" s="459"/>
      <c r="EA36" s="459"/>
      <c r="EB36" s="459"/>
      <c r="EC36" s="459"/>
      <c r="ED36" s="459"/>
      <c r="EE36" s="459"/>
      <c r="EF36" s="459"/>
      <c r="EG36" s="459"/>
      <c r="EH36" s="459"/>
      <c r="EI36" s="459"/>
      <c r="EJ36" s="459"/>
      <c r="EK36" s="459"/>
      <c r="EL36" s="459"/>
      <c r="EM36" s="459"/>
      <c r="EN36" s="459"/>
      <c r="EO36" s="459"/>
      <c r="EP36" s="459"/>
      <c r="EQ36" s="459"/>
      <c r="ER36" s="459"/>
      <c r="ES36" s="459"/>
      <c r="ET36" s="459"/>
      <c r="EU36" s="459"/>
      <c r="EV36" s="459"/>
      <c r="EW36" s="459"/>
      <c r="EX36" s="459"/>
      <c r="EY36" s="459"/>
      <c r="EZ36" s="459"/>
      <c r="FA36" s="459"/>
      <c r="FB36" s="459"/>
      <c r="FC36" s="459"/>
      <c r="FD36" s="459"/>
      <c r="FE36" s="459"/>
      <c r="FF36" s="459"/>
      <c r="FG36" s="459"/>
      <c r="FH36" s="459"/>
      <c r="FI36" s="459"/>
      <c r="FJ36" s="459"/>
      <c r="FK36" s="459"/>
      <c r="FL36" s="459"/>
      <c r="FM36" s="459"/>
      <c r="FN36" s="459"/>
      <c r="FO36" s="459"/>
      <c r="FP36" s="459"/>
      <c r="FQ36" s="459"/>
      <c r="FR36" s="459"/>
      <c r="FS36" s="459"/>
      <c r="FT36" s="459"/>
      <c r="FU36" s="459"/>
      <c r="FV36" s="459"/>
      <c r="FW36" s="459"/>
      <c r="FX36" s="459"/>
      <c r="FY36" s="459"/>
      <c r="FZ36" s="459"/>
      <c r="GA36" s="459"/>
      <c r="GB36" s="459"/>
      <c r="GC36" s="459"/>
      <c r="GD36" s="459"/>
      <c r="GE36" s="459"/>
      <c r="GF36" s="459"/>
      <c r="GG36" s="459"/>
      <c r="GH36" s="459"/>
      <c r="GI36" s="459"/>
      <c r="GJ36" s="459"/>
      <c r="GK36" s="459"/>
      <c r="GL36" s="459"/>
      <c r="GM36" s="459"/>
      <c r="GN36" s="459"/>
      <c r="GO36" s="459"/>
      <c r="GP36" s="459"/>
      <c r="GQ36" s="459"/>
      <c r="GR36" s="459"/>
      <c r="GS36" s="459"/>
      <c r="GT36" s="459"/>
      <c r="GU36" s="459"/>
      <c r="GV36" s="459"/>
      <c r="GW36" s="459"/>
      <c r="GX36" s="459"/>
      <c r="GY36" s="459"/>
      <c r="GZ36" s="459"/>
      <c r="HA36" s="459"/>
      <c r="HB36" s="459"/>
      <c r="HC36" s="459"/>
      <c r="HD36" s="459"/>
      <c r="HE36" s="459"/>
      <c r="HF36" s="459"/>
      <c r="HG36" s="459"/>
      <c r="HH36" s="459"/>
      <c r="HI36" s="459"/>
      <c r="HJ36" s="459"/>
      <c r="HK36" s="459"/>
      <c r="HL36" s="459"/>
      <c r="HM36" s="459"/>
      <c r="HN36" s="459"/>
      <c r="HO36" s="459"/>
      <c r="HP36" s="459"/>
      <c r="HQ36" s="459"/>
      <c r="HR36" s="459"/>
      <c r="HS36" s="459"/>
      <c r="HT36" s="459"/>
      <c r="HU36" s="459"/>
      <c r="HV36" s="459"/>
      <c r="HW36" s="459"/>
      <c r="HX36" s="459"/>
      <c r="HY36" s="459"/>
      <c r="HZ36" s="459"/>
      <c r="IA36" s="459"/>
      <c r="IB36" s="459"/>
      <c r="IC36" s="459"/>
      <c r="ID36" s="459"/>
      <c r="IE36" s="459"/>
      <c r="IF36" s="459"/>
      <c r="IG36" s="459"/>
      <c r="IH36" s="459"/>
      <c r="II36" s="459"/>
      <c r="IJ36" s="459"/>
      <c r="IK36" s="459"/>
      <c r="IL36" s="459"/>
      <c r="IM36" s="459"/>
      <c r="IN36" s="459"/>
      <c r="IO36" s="459"/>
      <c r="IP36" s="459"/>
      <c r="IQ36" s="459"/>
      <c r="IR36" s="459"/>
      <c r="IS36" s="459"/>
      <c r="IT36" s="459"/>
      <c r="IU36" s="459"/>
      <c r="IV36" s="459"/>
    </row>
    <row r="37" spans="1:256" ht="16.5" customHeight="1">
      <c r="A37" s="459" t="s">
        <v>385</v>
      </c>
      <c r="B37" s="459"/>
      <c r="C37" s="459"/>
      <c r="D37" s="1735">
        <v>896.86300000000006</v>
      </c>
      <c r="E37" s="1732"/>
      <c r="F37" s="1735">
        <v>194.86699999999999</v>
      </c>
      <c r="G37" s="1732"/>
      <c r="H37" s="1735">
        <v>194.95</v>
      </c>
      <c r="I37" s="1732"/>
      <c r="J37" s="1735">
        <v>0</v>
      </c>
      <c r="K37" s="1733"/>
      <c r="L37" s="1736">
        <f t="shared" si="0"/>
        <v>896.78</v>
      </c>
      <c r="M37" s="466"/>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459"/>
      <c r="CV37" s="459"/>
      <c r="CW37" s="459"/>
      <c r="CX37" s="459"/>
      <c r="CY37" s="459"/>
      <c r="CZ37" s="459"/>
      <c r="DA37" s="459"/>
      <c r="DB37" s="459"/>
      <c r="DC37" s="459"/>
      <c r="DD37" s="459"/>
      <c r="DE37" s="459"/>
      <c r="DF37" s="459"/>
      <c r="DG37" s="459"/>
      <c r="DH37" s="459"/>
      <c r="DI37" s="459"/>
      <c r="DJ37" s="459"/>
      <c r="DK37" s="459"/>
      <c r="DL37" s="459"/>
      <c r="DM37" s="459"/>
      <c r="DN37" s="459"/>
      <c r="DO37" s="459"/>
      <c r="DP37" s="459"/>
      <c r="DQ37" s="459"/>
      <c r="DR37" s="459"/>
      <c r="DS37" s="459"/>
      <c r="DT37" s="459"/>
      <c r="DU37" s="459"/>
      <c r="DV37" s="459"/>
      <c r="DW37" s="459"/>
      <c r="DX37" s="459"/>
      <c r="DY37" s="459"/>
      <c r="DZ37" s="459"/>
      <c r="EA37" s="459"/>
      <c r="EB37" s="459"/>
      <c r="EC37" s="459"/>
      <c r="ED37" s="459"/>
      <c r="EE37" s="459"/>
      <c r="EF37" s="459"/>
      <c r="EG37" s="459"/>
      <c r="EH37" s="459"/>
      <c r="EI37" s="459"/>
      <c r="EJ37" s="459"/>
      <c r="EK37" s="459"/>
      <c r="EL37" s="459"/>
      <c r="EM37" s="459"/>
      <c r="EN37" s="459"/>
      <c r="EO37" s="459"/>
      <c r="EP37" s="459"/>
      <c r="EQ37" s="459"/>
      <c r="ER37" s="459"/>
      <c r="ES37" s="459"/>
      <c r="ET37" s="459"/>
      <c r="EU37" s="459"/>
      <c r="EV37" s="459"/>
      <c r="EW37" s="459"/>
      <c r="EX37" s="459"/>
      <c r="EY37" s="459"/>
      <c r="EZ37" s="459"/>
      <c r="FA37" s="459"/>
      <c r="FB37" s="459"/>
      <c r="FC37" s="459"/>
      <c r="FD37" s="459"/>
      <c r="FE37" s="459"/>
      <c r="FF37" s="459"/>
      <c r="FG37" s="459"/>
      <c r="FH37" s="459"/>
      <c r="FI37" s="459"/>
      <c r="FJ37" s="459"/>
      <c r="FK37" s="459"/>
      <c r="FL37" s="459"/>
      <c r="FM37" s="459"/>
      <c r="FN37" s="459"/>
      <c r="FO37" s="459"/>
      <c r="FP37" s="459"/>
      <c r="FQ37" s="459"/>
      <c r="FR37" s="459"/>
      <c r="FS37" s="459"/>
      <c r="FT37" s="459"/>
      <c r="FU37" s="459"/>
      <c r="FV37" s="459"/>
      <c r="FW37" s="459"/>
      <c r="FX37" s="459"/>
      <c r="FY37" s="459"/>
      <c r="FZ37" s="459"/>
      <c r="GA37" s="459"/>
      <c r="GB37" s="459"/>
      <c r="GC37" s="459"/>
      <c r="GD37" s="459"/>
      <c r="GE37" s="459"/>
      <c r="GF37" s="459"/>
      <c r="GG37" s="459"/>
      <c r="GH37" s="459"/>
      <c r="GI37" s="459"/>
      <c r="GJ37" s="459"/>
      <c r="GK37" s="459"/>
      <c r="GL37" s="459"/>
      <c r="GM37" s="459"/>
      <c r="GN37" s="459"/>
      <c r="GO37" s="459"/>
      <c r="GP37" s="459"/>
      <c r="GQ37" s="459"/>
      <c r="GR37" s="459"/>
      <c r="GS37" s="459"/>
      <c r="GT37" s="459"/>
      <c r="GU37" s="459"/>
      <c r="GV37" s="459"/>
      <c r="GW37" s="459"/>
      <c r="GX37" s="459"/>
      <c r="GY37" s="459"/>
      <c r="GZ37" s="459"/>
      <c r="HA37" s="459"/>
      <c r="HB37" s="459"/>
      <c r="HC37" s="459"/>
      <c r="HD37" s="459"/>
      <c r="HE37" s="459"/>
      <c r="HF37" s="459"/>
      <c r="HG37" s="459"/>
      <c r="HH37" s="459"/>
      <c r="HI37" s="459"/>
      <c r="HJ37" s="459"/>
      <c r="HK37" s="459"/>
      <c r="HL37" s="459"/>
      <c r="HM37" s="459"/>
      <c r="HN37" s="459"/>
      <c r="HO37" s="459"/>
      <c r="HP37" s="459"/>
      <c r="HQ37" s="459"/>
      <c r="HR37" s="459"/>
      <c r="HS37" s="459"/>
      <c r="HT37" s="459"/>
      <c r="HU37" s="459"/>
      <c r="HV37" s="459"/>
      <c r="HW37" s="459"/>
      <c r="HX37" s="459"/>
      <c r="HY37" s="459"/>
      <c r="HZ37" s="459"/>
      <c r="IA37" s="459"/>
      <c r="IB37" s="459"/>
      <c r="IC37" s="459"/>
      <c r="ID37" s="459"/>
      <c r="IE37" s="459"/>
      <c r="IF37" s="459"/>
      <c r="IG37" s="459"/>
      <c r="IH37" s="459"/>
      <c r="II37" s="459"/>
      <c r="IJ37" s="459"/>
      <c r="IK37" s="459"/>
      <c r="IL37" s="459"/>
      <c r="IM37" s="459"/>
      <c r="IN37" s="459"/>
      <c r="IO37" s="459"/>
      <c r="IP37" s="459"/>
      <c r="IQ37" s="459"/>
      <c r="IR37" s="459"/>
      <c r="IS37" s="459"/>
      <c r="IT37" s="459"/>
      <c r="IU37" s="459"/>
      <c r="IV37" s="459"/>
    </row>
    <row r="38" spans="1:256" ht="16.5" customHeight="1">
      <c r="A38" s="459" t="s">
        <v>1029</v>
      </c>
      <c r="B38" s="459"/>
      <c r="C38" s="459"/>
      <c r="D38" s="1735">
        <v>32.947000000000003</v>
      </c>
      <c r="E38" s="1732"/>
      <c r="F38" s="1735">
        <v>2.4510000000000001</v>
      </c>
      <c r="G38" s="1732"/>
      <c r="H38" s="1735">
        <v>5.72</v>
      </c>
      <c r="I38" s="1732"/>
      <c r="J38" s="1735">
        <v>0</v>
      </c>
      <c r="K38" s="1733"/>
      <c r="L38" s="1736">
        <f t="shared" si="0"/>
        <v>29.678000000000001</v>
      </c>
      <c r="M38" s="466"/>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59"/>
      <c r="DU38" s="459"/>
      <c r="DV38" s="459"/>
      <c r="DW38" s="459"/>
      <c r="DX38" s="459"/>
      <c r="DY38" s="459"/>
      <c r="DZ38" s="459"/>
      <c r="EA38" s="459"/>
      <c r="EB38" s="459"/>
      <c r="EC38" s="459"/>
      <c r="ED38" s="459"/>
      <c r="EE38" s="459"/>
      <c r="EF38" s="459"/>
      <c r="EG38" s="459"/>
      <c r="EH38" s="459"/>
      <c r="EI38" s="459"/>
      <c r="EJ38" s="459"/>
      <c r="EK38" s="459"/>
      <c r="EL38" s="459"/>
      <c r="EM38" s="459"/>
      <c r="EN38" s="459"/>
      <c r="EO38" s="459"/>
      <c r="EP38" s="459"/>
      <c r="EQ38" s="459"/>
      <c r="ER38" s="459"/>
      <c r="ES38" s="459"/>
      <c r="ET38" s="459"/>
      <c r="EU38" s="459"/>
      <c r="EV38" s="459"/>
      <c r="EW38" s="459"/>
      <c r="EX38" s="459"/>
      <c r="EY38" s="459"/>
      <c r="EZ38" s="459"/>
      <c r="FA38" s="459"/>
      <c r="FB38" s="459"/>
      <c r="FC38" s="459"/>
      <c r="FD38" s="459"/>
      <c r="FE38" s="459"/>
      <c r="FF38" s="459"/>
      <c r="FG38" s="459"/>
      <c r="FH38" s="459"/>
      <c r="FI38" s="459"/>
      <c r="FJ38" s="459"/>
      <c r="FK38" s="459"/>
      <c r="FL38" s="459"/>
      <c r="FM38" s="459"/>
      <c r="FN38" s="459"/>
      <c r="FO38" s="459"/>
      <c r="FP38" s="459"/>
      <c r="FQ38" s="459"/>
      <c r="FR38" s="459"/>
      <c r="FS38" s="459"/>
      <c r="FT38" s="459"/>
      <c r="FU38" s="459"/>
      <c r="FV38" s="459"/>
      <c r="FW38" s="459"/>
      <c r="FX38" s="459"/>
      <c r="FY38" s="459"/>
      <c r="FZ38" s="459"/>
      <c r="GA38" s="459"/>
      <c r="GB38" s="459"/>
      <c r="GC38" s="459"/>
      <c r="GD38" s="459"/>
      <c r="GE38" s="459"/>
      <c r="GF38" s="459"/>
      <c r="GG38" s="459"/>
      <c r="GH38" s="459"/>
      <c r="GI38" s="459"/>
      <c r="GJ38" s="459"/>
      <c r="GK38" s="459"/>
      <c r="GL38" s="459"/>
      <c r="GM38" s="459"/>
      <c r="GN38" s="459"/>
      <c r="GO38" s="459"/>
      <c r="GP38" s="459"/>
      <c r="GQ38" s="459"/>
      <c r="GR38" s="459"/>
      <c r="GS38" s="459"/>
      <c r="GT38" s="459"/>
      <c r="GU38" s="459"/>
      <c r="GV38" s="459"/>
      <c r="GW38" s="459"/>
      <c r="GX38" s="459"/>
      <c r="GY38" s="459"/>
      <c r="GZ38" s="459"/>
      <c r="HA38" s="459"/>
      <c r="HB38" s="459"/>
      <c r="HC38" s="459"/>
      <c r="HD38" s="459"/>
      <c r="HE38" s="459"/>
      <c r="HF38" s="459"/>
      <c r="HG38" s="459"/>
      <c r="HH38" s="459"/>
      <c r="HI38" s="459"/>
      <c r="HJ38" s="459"/>
      <c r="HK38" s="459"/>
      <c r="HL38" s="459"/>
      <c r="HM38" s="459"/>
      <c r="HN38" s="459"/>
      <c r="HO38" s="459"/>
      <c r="HP38" s="459"/>
      <c r="HQ38" s="459"/>
      <c r="HR38" s="459"/>
      <c r="HS38" s="459"/>
      <c r="HT38" s="459"/>
      <c r="HU38" s="459"/>
      <c r="HV38" s="459"/>
      <c r="HW38" s="459"/>
      <c r="HX38" s="459"/>
      <c r="HY38" s="459"/>
      <c r="HZ38" s="459"/>
      <c r="IA38" s="459"/>
      <c r="IB38" s="459"/>
      <c r="IC38" s="459"/>
      <c r="ID38" s="459"/>
      <c r="IE38" s="459"/>
      <c r="IF38" s="459"/>
      <c r="IG38" s="459"/>
      <c r="IH38" s="459"/>
      <c r="II38" s="459"/>
      <c r="IJ38" s="459"/>
      <c r="IK38" s="459"/>
      <c r="IL38" s="459"/>
      <c r="IM38" s="459"/>
      <c r="IN38" s="459"/>
      <c r="IO38" s="459"/>
      <c r="IP38" s="459"/>
      <c r="IQ38" s="459"/>
      <c r="IR38" s="459"/>
      <c r="IS38" s="459"/>
      <c r="IT38" s="459"/>
      <c r="IU38" s="459"/>
      <c r="IV38" s="459"/>
    </row>
    <row r="39" spans="1:256" ht="16.5" customHeight="1">
      <c r="A39" s="459" t="s">
        <v>386</v>
      </c>
      <c r="B39" s="459"/>
      <c r="C39" s="459"/>
      <c r="D39" s="1735">
        <v>46.113</v>
      </c>
      <c r="E39" s="1732"/>
      <c r="F39" s="1735">
        <v>181.333</v>
      </c>
      <c r="G39" s="1732"/>
      <c r="H39" s="1735">
        <v>213.66300000000001</v>
      </c>
      <c r="I39" s="1732"/>
      <c r="J39" s="1735">
        <v>0</v>
      </c>
      <c r="K39" s="1733"/>
      <c r="L39" s="1736">
        <f t="shared" si="0"/>
        <v>13.782999999999999</v>
      </c>
      <c r="M39" s="466"/>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459"/>
      <c r="IC39" s="459"/>
      <c r="ID39" s="459"/>
      <c r="IE39" s="459"/>
      <c r="IF39" s="459"/>
      <c r="IG39" s="459"/>
      <c r="IH39" s="459"/>
      <c r="II39" s="459"/>
      <c r="IJ39" s="459"/>
      <c r="IK39" s="459"/>
      <c r="IL39" s="459"/>
      <c r="IM39" s="459"/>
      <c r="IN39" s="459"/>
      <c r="IO39" s="459"/>
      <c r="IP39" s="459"/>
      <c r="IQ39" s="459"/>
      <c r="IR39" s="459"/>
      <c r="IS39" s="459"/>
      <c r="IT39" s="459"/>
      <c r="IU39" s="459"/>
      <c r="IV39" s="459"/>
    </row>
    <row r="40" spans="1:256" ht="16.5" customHeight="1">
      <c r="A40" s="459" t="s">
        <v>1030</v>
      </c>
      <c r="B40" s="459"/>
      <c r="C40" s="459"/>
      <c r="D40" s="1735">
        <v>167.58</v>
      </c>
      <c r="E40" s="1732"/>
      <c r="F40" s="1735">
        <v>5950.0569999999998</v>
      </c>
      <c r="G40" s="1732"/>
      <c r="H40" s="1735">
        <v>5849.7020000000002</v>
      </c>
      <c r="I40" s="1732"/>
      <c r="J40" s="1735">
        <v>0</v>
      </c>
      <c r="K40" s="1733"/>
      <c r="L40" s="1736">
        <f t="shared" si="0"/>
        <v>267.935</v>
      </c>
      <c r="M40" s="466"/>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O40" s="459"/>
      <c r="AP40" s="459"/>
      <c r="AQ40" s="459"/>
      <c r="AR40" s="459"/>
      <c r="AS40" s="459"/>
      <c r="AT40" s="459"/>
      <c r="AU40" s="459"/>
      <c r="AV40" s="459"/>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459"/>
      <c r="EA40" s="459"/>
      <c r="EB40" s="459"/>
      <c r="EC40" s="459"/>
      <c r="ED40" s="459"/>
      <c r="EE40" s="459"/>
      <c r="EF40" s="459"/>
      <c r="EG40" s="459"/>
      <c r="EH40" s="459"/>
      <c r="EI40" s="459"/>
      <c r="EJ40" s="459"/>
      <c r="EK40" s="459"/>
      <c r="EL40" s="459"/>
      <c r="EM40" s="459"/>
      <c r="EN40" s="459"/>
      <c r="EO40" s="459"/>
      <c r="EP40" s="459"/>
      <c r="EQ40" s="459"/>
      <c r="ER40" s="459"/>
      <c r="ES40" s="459"/>
      <c r="ET40" s="459"/>
      <c r="EU40" s="459"/>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459"/>
      <c r="IC40" s="459"/>
      <c r="ID40" s="459"/>
      <c r="IE40" s="459"/>
      <c r="IF40" s="459"/>
      <c r="IG40" s="459"/>
      <c r="IH40" s="459"/>
      <c r="II40" s="459"/>
      <c r="IJ40" s="459"/>
      <c r="IK40" s="459"/>
      <c r="IL40" s="459"/>
      <c r="IM40" s="459"/>
      <c r="IN40" s="459"/>
      <c r="IO40" s="459"/>
      <c r="IP40" s="459"/>
      <c r="IQ40" s="459"/>
      <c r="IR40" s="459"/>
      <c r="IS40" s="459"/>
      <c r="IT40" s="459"/>
      <c r="IU40" s="459"/>
      <c r="IV40" s="459"/>
    </row>
    <row r="41" spans="1:256" ht="15.75" customHeight="1">
      <c r="A41" s="459" t="s">
        <v>387</v>
      </c>
      <c r="B41" s="459"/>
      <c r="C41" s="459"/>
      <c r="D41" s="1735">
        <v>0</v>
      </c>
      <c r="E41" s="1732"/>
      <c r="F41" s="1735">
        <v>0</v>
      </c>
      <c r="G41" s="1732"/>
      <c r="H41" s="1735">
        <v>0</v>
      </c>
      <c r="I41" s="1732"/>
      <c r="J41" s="1735">
        <v>0</v>
      </c>
      <c r="K41" s="1733"/>
      <c r="L41" s="1736">
        <f t="shared" si="0"/>
        <v>0</v>
      </c>
      <c r="M41" s="466"/>
      <c r="N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459"/>
      <c r="CO41" s="459"/>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59"/>
      <c r="EB41" s="459"/>
      <c r="EC41" s="459"/>
      <c r="ED41" s="459"/>
      <c r="EE41" s="459"/>
      <c r="EF41" s="459"/>
      <c r="EG41" s="459"/>
      <c r="EH41" s="459"/>
      <c r="EI41" s="459"/>
      <c r="EJ41" s="459"/>
      <c r="EK41" s="459"/>
      <c r="EL41" s="459"/>
      <c r="EM41" s="459"/>
      <c r="EN41" s="459"/>
      <c r="EO41" s="459"/>
      <c r="EP41" s="459"/>
      <c r="EQ41" s="459"/>
      <c r="ER41" s="459"/>
      <c r="ES41" s="459"/>
      <c r="ET41" s="459"/>
      <c r="EU41" s="459"/>
      <c r="EV41" s="459"/>
      <c r="EW41" s="459"/>
      <c r="EX41" s="459"/>
      <c r="EY41" s="459"/>
      <c r="EZ41" s="459"/>
      <c r="FA41" s="459"/>
      <c r="FB41" s="459"/>
      <c r="FC41" s="459"/>
      <c r="FD41" s="459"/>
      <c r="FE41" s="459"/>
      <c r="FF41" s="459"/>
      <c r="FG41" s="459"/>
      <c r="FH41" s="459"/>
      <c r="FI41" s="459"/>
      <c r="FJ41" s="459"/>
      <c r="FK41" s="459"/>
      <c r="FL41" s="459"/>
      <c r="FM41" s="459"/>
      <c r="FN41" s="459"/>
      <c r="FO41" s="459"/>
      <c r="FP41" s="459"/>
      <c r="FQ41" s="459"/>
      <c r="FR41" s="459"/>
      <c r="FS41" s="459"/>
      <c r="FT41" s="459"/>
      <c r="FU41" s="459"/>
      <c r="FV41" s="459"/>
      <c r="FW41" s="459"/>
      <c r="FX41" s="459"/>
      <c r="FY41" s="459"/>
      <c r="FZ41" s="459"/>
      <c r="GA41" s="459"/>
      <c r="GB41" s="459"/>
      <c r="GC41" s="459"/>
      <c r="GD41" s="459"/>
      <c r="GE41" s="459"/>
      <c r="GF41" s="459"/>
      <c r="GG41" s="459"/>
      <c r="GH41" s="459"/>
      <c r="GI41" s="459"/>
      <c r="GJ41" s="459"/>
      <c r="GK41" s="459"/>
      <c r="GL41" s="459"/>
      <c r="GM41" s="459"/>
      <c r="GN41" s="459"/>
      <c r="GO41" s="459"/>
      <c r="GP41" s="459"/>
      <c r="GQ41" s="459"/>
      <c r="GR41" s="459"/>
      <c r="GS41" s="459"/>
      <c r="GT41" s="459"/>
      <c r="GU41" s="459"/>
      <c r="GV41" s="459"/>
      <c r="GW41" s="459"/>
      <c r="GX41" s="459"/>
      <c r="GY41" s="459"/>
      <c r="GZ41" s="459"/>
      <c r="HA41" s="459"/>
      <c r="HB41" s="459"/>
      <c r="HC41" s="459"/>
      <c r="HD41" s="459"/>
      <c r="HE41" s="459"/>
      <c r="HF41" s="459"/>
      <c r="HG41" s="459"/>
      <c r="HH41" s="459"/>
      <c r="HI41" s="459"/>
      <c r="HJ41" s="459"/>
      <c r="HK41" s="459"/>
      <c r="HL41" s="459"/>
      <c r="HM41" s="459"/>
      <c r="HN41" s="459"/>
      <c r="HO41" s="459"/>
      <c r="HP41" s="459"/>
      <c r="HQ41" s="459"/>
      <c r="HR41" s="459"/>
      <c r="HS41" s="459"/>
      <c r="HT41" s="459"/>
      <c r="HU41" s="459"/>
      <c r="HV41" s="459"/>
      <c r="HW41" s="459"/>
      <c r="HX41" s="459"/>
      <c r="HY41" s="459"/>
      <c r="HZ41" s="459"/>
      <c r="IA41" s="459"/>
      <c r="IB41" s="459"/>
      <c r="IC41" s="459"/>
      <c r="ID41" s="459"/>
      <c r="IE41" s="459"/>
      <c r="IF41" s="459"/>
      <c r="IG41" s="459"/>
      <c r="IH41" s="459"/>
      <c r="II41" s="459"/>
      <c r="IJ41" s="459"/>
      <c r="IK41" s="459"/>
      <c r="IL41" s="459"/>
      <c r="IM41" s="459"/>
      <c r="IN41" s="459"/>
      <c r="IO41" s="459"/>
      <c r="IP41" s="459"/>
      <c r="IQ41" s="459"/>
      <c r="IR41" s="459"/>
      <c r="IS41" s="459"/>
      <c r="IT41" s="459"/>
      <c r="IU41" s="459"/>
      <c r="IV41" s="459"/>
    </row>
    <row r="42" spans="1:256" ht="15.75" customHeight="1">
      <c r="A42" s="459" t="s">
        <v>1019</v>
      </c>
      <c r="B42" s="459"/>
      <c r="C42" s="459"/>
      <c r="D42" s="1735">
        <v>510.404</v>
      </c>
      <c r="E42" s="1732"/>
      <c r="F42" s="1735">
        <v>-369.202</v>
      </c>
      <c r="G42" s="1732"/>
      <c r="H42" s="1735">
        <v>0</v>
      </c>
      <c r="I42" s="1732"/>
      <c r="J42" s="1735">
        <v>0</v>
      </c>
      <c r="K42" s="1733"/>
      <c r="L42" s="1736">
        <f t="shared" si="0"/>
        <v>141.202</v>
      </c>
      <c r="M42" s="466"/>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459"/>
      <c r="CO42" s="459"/>
      <c r="CP42" s="459"/>
      <c r="CQ42" s="459"/>
      <c r="CR42" s="459"/>
      <c r="CS42" s="459"/>
      <c r="CT42" s="459"/>
      <c r="CU42" s="459"/>
      <c r="CV42" s="459"/>
      <c r="CW42" s="459"/>
      <c r="CX42" s="459"/>
      <c r="CY42" s="459"/>
      <c r="CZ42" s="459"/>
      <c r="DA42" s="459"/>
      <c r="DB42" s="459"/>
      <c r="DC42" s="459"/>
      <c r="DD42" s="459"/>
      <c r="DE42" s="459"/>
      <c r="DF42" s="459"/>
      <c r="DG42" s="459"/>
      <c r="DH42" s="459"/>
      <c r="DI42" s="459"/>
      <c r="DJ42" s="459"/>
      <c r="DK42" s="459"/>
      <c r="DL42" s="459"/>
      <c r="DM42" s="459"/>
      <c r="DN42" s="459"/>
      <c r="DO42" s="459"/>
      <c r="DP42" s="459"/>
      <c r="DQ42" s="459"/>
      <c r="DR42" s="459"/>
      <c r="DS42" s="459"/>
      <c r="DT42" s="459"/>
      <c r="DU42" s="459"/>
      <c r="DV42" s="459"/>
      <c r="DW42" s="459"/>
      <c r="DX42" s="459"/>
      <c r="DY42" s="459"/>
      <c r="DZ42" s="459"/>
      <c r="EA42" s="459"/>
      <c r="EB42" s="459"/>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row>
    <row r="43" spans="1:256" ht="15.75" customHeight="1">
      <c r="A43" s="459" t="s">
        <v>1020</v>
      </c>
      <c r="B43" s="459"/>
      <c r="C43" s="459"/>
      <c r="D43" s="1735">
        <v>-57.771000000000001</v>
      </c>
      <c r="E43" s="1732"/>
      <c r="F43" s="1735">
        <v>158.161</v>
      </c>
      <c r="G43" s="1732"/>
      <c r="H43" s="1735">
        <v>102.901</v>
      </c>
      <c r="I43" s="1732"/>
      <c r="J43" s="1735">
        <v>0</v>
      </c>
      <c r="K43" s="1733"/>
      <c r="L43" s="1736">
        <f t="shared" si="0"/>
        <v>-2.5110000000000001</v>
      </c>
      <c r="M43" s="466"/>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c r="DA43" s="459"/>
      <c r="DB43" s="459"/>
      <c r="DC43" s="459"/>
      <c r="DD43" s="459"/>
      <c r="DE43" s="459"/>
      <c r="DF43" s="459"/>
      <c r="DG43" s="459"/>
      <c r="DH43" s="459"/>
      <c r="DI43" s="459"/>
      <c r="DJ43" s="459"/>
      <c r="DK43" s="459"/>
      <c r="DL43" s="459"/>
      <c r="DM43" s="459"/>
      <c r="DN43" s="459"/>
      <c r="DO43" s="459"/>
      <c r="DP43" s="459"/>
      <c r="DQ43" s="459"/>
      <c r="DR43" s="459"/>
      <c r="DS43" s="459"/>
      <c r="DT43" s="459"/>
      <c r="DU43" s="459"/>
      <c r="DV43" s="459"/>
      <c r="DW43" s="459"/>
      <c r="DX43" s="459"/>
      <c r="DY43" s="459"/>
      <c r="DZ43" s="459"/>
      <c r="EA43" s="459"/>
      <c r="EB43" s="459"/>
      <c r="EC43" s="459"/>
      <c r="ED43" s="459"/>
      <c r="EE43" s="459"/>
      <c r="EF43" s="459"/>
      <c r="EG43" s="459"/>
      <c r="EH43" s="459"/>
      <c r="EI43" s="459"/>
      <c r="EJ43" s="459"/>
      <c r="EK43" s="459"/>
      <c r="EL43" s="459"/>
      <c r="EM43" s="459"/>
      <c r="EN43" s="459"/>
      <c r="EO43" s="459"/>
      <c r="EP43" s="459"/>
      <c r="EQ43" s="459"/>
      <c r="ER43" s="459"/>
      <c r="ES43" s="459"/>
      <c r="ET43" s="459"/>
      <c r="EU43" s="459"/>
      <c r="EV43" s="459"/>
      <c r="EW43" s="459"/>
      <c r="EX43" s="459"/>
      <c r="EY43" s="459"/>
      <c r="EZ43" s="459"/>
      <c r="FA43" s="459"/>
      <c r="FB43" s="459"/>
      <c r="FC43" s="459"/>
      <c r="FD43" s="459"/>
      <c r="FE43" s="459"/>
      <c r="FF43" s="459"/>
      <c r="FG43" s="459"/>
      <c r="FH43" s="459"/>
      <c r="FI43" s="459"/>
      <c r="FJ43" s="459"/>
      <c r="FK43" s="459"/>
      <c r="FL43" s="459"/>
      <c r="FM43" s="459"/>
      <c r="FN43" s="459"/>
      <c r="FO43" s="459"/>
      <c r="FP43" s="459"/>
      <c r="FQ43" s="459"/>
      <c r="FR43" s="459"/>
      <c r="FS43" s="459"/>
      <c r="FT43" s="459"/>
      <c r="FU43" s="459"/>
      <c r="FV43" s="459"/>
      <c r="FW43" s="459"/>
      <c r="FX43" s="459"/>
      <c r="FY43" s="459"/>
      <c r="FZ43" s="459"/>
      <c r="GA43" s="459"/>
      <c r="GB43" s="459"/>
      <c r="GC43" s="459"/>
      <c r="GD43" s="459"/>
      <c r="GE43" s="459"/>
      <c r="GF43" s="459"/>
      <c r="GG43" s="459"/>
      <c r="GH43" s="459"/>
      <c r="GI43" s="459"/>
      <c r="GJ43" s="459"/>
      <c r="GK43" s="459"/>
      <c r="GL43" s="459"/>
      <c r="GM43" s="459"/>
      <c r="GN43" s="459"/>
      <c r="GO43" s="459"/>
      <c r="GP43" s="459"/>
      <c r="GQ43" s="459"/>
      <c r="GR43" s="459"/>
      <c r="GS43" s="459"/>
      <c r="GT43" s="459"/>
      <c r="GU43" s="459"/>
      <c r="GV43" s="459"/>
      <c r="GW43" s="459"/>
      <c r="GX43" s="459"/>
      <c r="GY43" s="459"/>
      <c r="GZ43" s="459"/>
      <c r="HA43" s="459"/>
      <c r="HB43" s="459"/>
      <c r="HC43" s="459"/>
      <c r="HD43" s="459"/>
      <c r="HE43" s="459"/>
      <c r="HF43" s="459"/>
      <c r="HG43" s="459"/>
      <c r="HH43" s="459"/>
      <c r="HI43" s="459"/>
      <c r="HJ43" s="459"/>
      <c r="HK43" s="459"/>
      <c r="HL43" s="459"/>
      <c r="HM43" s="459"/>
      <c r="HN43" s="459"/>
      <c r="HO43" s="459"/>
      <c r="HP43" s="459"/>
      <c r="HQ43" s="459"/>
      <c r="HR43" s="459"/>
      <c r="HS43" s="459"/>
      <c r="HT43" s="459"/>
      <c r="HU43" s="459"/>
      <c r="HV43" s="459"/>
      <c r="HW43" s="459"/>
      <c r="HX43" s="459"/>
      <c r="HY43" s="459"/>
      <c r="HZ43" s="459"/>
      <c r="IA43" s="459"/>
      <c r="IB43" s="459"/>
      <c r="IC43" s="459"/>
      <c r="ID43" s="459"/>
      <c r="IE43" s="459"/>
      <c r="IF43" s="459"/>
      <c r="IG43" s="459"/>
      <c r="IH43" s="459"/>
      <c r="II43" s="459"/>
      <c r="IJ43" s="459"/>
      <c r="IK43" s="459"/>
      <c r="IL43" s="459"/>
      <c r="IM43" s="459"/>
      <c r="IN43" s="459"/>
      <c r="IO43" s="459"/>
      <c r="IP43" s="459"/>
      <c r="IQ43" s="459"/>
      <c r="IR43" s="459"/>
      <c r="IS43" s="459"/>
      <c r="IT43" s="459"/>
      <c r="IU43" s="459"/>
      <c r="IV43" s="459"/>
    </row>
    <row r="44" spans="1:256" ht="18" customHeight="1">
      <c r="A44" s="459" t="s">
        <v>1228</v>
      </c>
      <c r="B44" s="459"/>
      <c r="C44" s="459"/>
      <c r="D44" s="1735">
        <v>0</v>
      </c>
      <c r="E44" s="1732"/>
      <c r="F44" s="1735">
        <v>0</v>
      </c>
      <c r="G44" s="1732"/>
      <c r="H44" s="1735">
        <v>0</v>
      </c>
      <c r="I44" s="1732"/>
      <c r="J44" s="1735">
        <v>0</v>
      </c>
      <c r="K44" s="1733"/>
      <c r="L44" s="1736">
        <f t="shared" si="0"/>
        <v>0</v>
      </c>
      <c r="M44" s="466"/>
      <c r="N44" s="459"/>
      <c r="O44" s="472"/>
      <c r="P44" s="472"/>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459"/>
      <c r="IC44" s="459"/>
      <c r="ID44" s="459"/>
      <c r="IE44" s="459"/>
      <c r="IF44" s="459"/>
      <c r="IG44" s="459"/>
      <c r="IH44" s="459"/>
      <c r="II44" s="459"/>
      <c r="IJ44" s="459"/>
      <c r="IK44" s="459"/>
      <c r="IL44" s="459"/>
      <c r="IM44" s="459"/>
      <c r="IN44" s="459"/>
      <c r="IO44" s="459"/>
      <c r="IP44" s="459"/>
      <c r="IQ44" s="459"/>
      <c r="IR44" s="459"/>
      <c r="IS44" s="459"/>
      <c r="IT44" s="459"/>
      <c r="IU44" s="459"/>
      <c r="IV44" s="459"/>
    </row>
    <row r="45" spans="1:256" ht="17.25" customHeight="1">
      <c r="A45" s="455" t="s">
        <v>1223</v>
      </c>
      <c r="B45" s="459"/>
      <c r="C45" s="459"/>
      <c r="D45" s="716">
        <f>ROUND(SUM(D28:D44),3)</f>
        <v>3407.893</v>
      </c>
      <c r="E45" s="708"/>
      <c r="F45" s="716">
        <f>ROUND(SUM(F28:F44),3)</f>
        <v>7507.2380000000003</v>
      </c>
      <c r="G45" s="708"/>
      <c r="H45" s="716">
        <f>ROUND(SUM(H28:H44),3)</f>
        <v>7843.38</v>
      </c>
      <c r="I45" s="708"/>
      <c r="J45" s="716">
        <f>ROUND(SUM(J28:J44),3)</f>
        <v>0</v>
      </c>
      <c r="K45" s="708"/>
      <c r="L45" s="716">
        <f>ROUND(SUM(L28:L44),3)</f>
        <v>3071.7510000000002</v>
      </c>
      <c r="M45" s="467"/>
      <c r="N45" s="405"/>
      <c r="O45" s="470"/>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459"/>
      <c r="CO45" s="459"/>
      <c r="CP45" s="459"/>
      <c r="CQ45" s="459"/>
      <c r="CR45" s="459"/>
      <c r="CS45" s="459"/>
      <c r="CT45" s="459"/>
      <c r="CU45" s="459"/>
      <c r="CV45" s="459"/>
      <c r="CW45" s="459"/>
      <c r="CX45" s="459"/>
      <c r="CY45" s="459"/>
      <c r="CZ45" s="459"/>
      <c r="DA45" s="459"/>
      <c r="DB45" s="459"/>
      <c r="DC45" s="459"/>
      <c r="DD45" s="459"/>
      <c r="DE45" s="459"/>
      <c r="DF45" s="459"/>
      <c r="DG45" s="459"/>
      <c r="DH45" s="459"/>
      <c r="DI45" s="459"/>
      <c r="DJ45" s="459"/>
      <c r="DK45" s="459"/>
      <c r="DL45" s="459"/>
      <c r="DM45" s="459"/>
      <c r="DN45" s="459"/>
      <c r="DO45" s="459"/>
      <c r="DP45" s="459"/>
      <c r="DQ45" s="459"/>
      <c r="DR45" s="459"/>
      <c r="DS45" s="459"/>
      <c r="DT45" s="459"/>
      <c r="DU45" s="459"/>
      <c r="DV45" s="459"/>
      <c r="DW45" s="459"/>
      <c r="DX45" s="459"/>
      <c r="DY45" s="459"/>
      <c r="DZ45" s="459"/>
      <c r="EA45" s="459"/>
      <c r="EB45" s="459"/>
      <c r="EC45" s="459"/>
      <c r="ED45" s="459"/>
      <c r="EE45" s="459"/>
      <c r="EF45" s="459"/>
      <c r="EG45" s="459"/>
      <c r="EH45" s="459"/>
      <c r="EI45" s="459"/>
      <c r="EJ45" s="459"/>
      <c r="EK45" s="459"/>
      <c r="EL45" s="459"/>
      <c r="EM45" s="459"/>
      <c r="EN45" s="459"/>
      <c r="EO45" s="459"/>
      <c r="EP45" s="459"/>
      <c r="EQ45" s="459"/>
      <c r="ER45" s="459"/>
      <c r="ES45" s="459"/>
      <c r="ET45" s="459"/>
      <c r="EU45" s="459"/>
      <c r="EV45" s="459"/>
      <c r="EW45" s="459"/>
      <c r="EX45" s="459"/>
      <c r="EY45" s="459"/>
      <c r="EZ45" s="459"/>
      <c r="FA45" s="459"/>
      <c r="FB45" s="459"/>
      <c r="FC45" s="459"/>
      <c r="FD45" s="459"/>
      <c r="FE45" s="459"/>
      <c r="FF45" s="459"/>
      <c r="FG45" s="459"/>
      <c r="FH45" s="459"/>
      <c r="FI45" s="459"/>
      <c r="FJ45" s="459"/>
      <c r="FK45" s="459"/>
      <c r="FL45" s="459"/>
      <c r="FM45" s="459"/>
      <c r="FN45" s="459"/>
      <c r="FO45" s="459"/>
      <c r="FP45" s="459"/>
      <c r="FQ45" s="459"/>
      <c r="FR45" s="459"/>
      <c r="FS45" s="459"/>
      <c r="FT45" s="459"/>
      <c r="FU45" s="459"/>
      <c r="FV45" s="459"/>
      <c r="FW45" s="459"/>
      <c r="FX45" s="459"/>
      <c r="FY45" s="459"/>
      <c r="FZ45" s="459"/>
      <c r="GA45" s="459"/>
      <c r="GB45" s="459"/>
      <c r="GC45" s="459"/>
      <c r="GD45" s="459"/>
      <c r="GE45" s="459"/>
      <c r="GF45" s="459"/>
      <c r="GG45" s="459"/>
      <c r="GH45" s="459"/>
      <c r="GI45" s="459"/>
      <c r="GJ45" s="459"/>
      <c r="GK45" s="459"/>
      <c r="GL45" s="459"/>
      <c r="GM45" s="459"/>
      <c r="GN45" s="459"/>
      <c r="GO45" s="459"/>
      <c r="GP45" s="459"/>
      <c r="GQ45" s="459"/>
      <c r="GR45" s="459"/>
      <c r="GS45" s="459"/>
      <c r="GT45" s="459"/>
      <c r="GU45" s="459"/>
      <c r="GV45" s="459"/>
      <c r="GW45" s="459"/>
      <c r="GX45" s="459"/>
      <c r="GY45" s="459"/>
      <c r="GZ45" s="459"/>
      <c r="HA45" s="459"/>
      <c r="HB45" s="459"/>
      <c r="HC45" s="459"/>
      <c r="HD45" s="459"/>
      <c r="HE45" s="459"/>
      <c r="HF45" s="459"/>
      <c r="HG45" s="459"/>
      <c r="HH45" s="459"/>
      <c r="HI45" s="459"/>
      <c r="HJ45" s="459"/>
      <c r="HK45" s="459"/>
      <c r="HL45" s="459"/>
      <c r="HM45" s="459"/>
      <c r="HN45" s="459"/>
      <c r="HO45" s="459"/>
      <c r="HP45" s="459"/>
      <c r="HQ45" s="459"/>
      <c r="HR45" s="459"/>
      <c r="HS45" s="459"/>
      <c r="HT45" s="459"/>
      <c r="HU45" s="459"/>
      <c r="HV45" s="459"/>
      <c r="HW45" s="459"/>
      <c r="HX45" s="459"/>
      <c r="HY45" s="459"/>
      <c r="HZ45" s="459"/>
      <c r="IA45" s="459"/>
      <c r="IB45" s="459"/>
      <c r="IC45" s="459"/>
      <c r="ID45" s="459"/>
      <c r="IE45" s="459"/>
      <c r="IF45" s="459"/>
      <c r="IG45" s="459"/>
      <c r="IH45" s="459"/>
      <c r="II45" s="459"/>
      <c r="IJ45" s="459"/>
      <c r="IK45" s="459"/>
      <c r="IL45" s="459"/>
      <c r="IM45" s="459"/>
      <c r="IN45" s="459"/>
      <c r="IO45" s="459"/>
      <c r="IP45" s="459"/>
      <c r="IQ45" s="459"/>
      <c r="IR45" s="459"/>
      <c r="IS45" s="459"/>
      <c r="IT45" s="459"/>
      <c r="IU45" s="459"/>
      <c r="IV45" s="459"/>
    </row>
    <row r="46" spans="1:256" ht="12" customHeight="1">
      <c r="A46" s="455"/>
      <c r="B46" s="459"/>
      <c r="C46" s="459"/>
      <c r="D46" s="710" t="s">
        <v>15</v>
      </c>
      <c r="E46" s="452"/>
      <c r="F46" s="710" t="s">
        <v>15</v>
      </c>
      <c r="G46" s="452"/>
      <c r="H46" s="710" t="s">
        <v>15</v>
      </c>
      <c r="I46" s="452"/>
      <c r="J46" s="453" t="s">
        <v>15</v>
      </c>
      <c r="K46" s="452"/>
      <c r="L46" s="710" t="s">
        <v>15</v>
      </c>
      <c r="M46" s="466"/>
      <c r="N46" s="459"/>
      <c r="O46" s="472"/>
      <c r="P46" s="472"/>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59"/>
      <c r="DQ46" s="459"/>
      <c r="DR46" s="459"/>
      <c r="DS46" s="459"/>
      <c r="DT46" s="459"/>
      <c r="DU46" s="459"/>
      <c r="DV46" s="459"/>
      <c r="DW46" s="459"/>
      <c r="DX46" s="459"/>
      <c r="DY46" s="459"/>
      <c r="DZ46" s="459"/>
      <c r="EA46" s="459"/>
      <c r="EB46" s="459"/>
      <c r="EC46" s="459"/>
      <c r="ED46" s="459"/>
      <c r="EE46" s="459"/>
      <c r="EF46" s="459"/>
      <c r="EG46" s="459"/>
      <c r="EH46" s="459"/>
      <c r="EI46" s="459"/>
      <c r="EJ46" s="459"/>
      <c r="EK46" s="459"/>
      <c r="EL46" s="459"/>
      <c r="EM46" s="459"/>
      <c r="EN46" s="459"/>
      <c r="EO46" s="459"/>
      <c r="EP46" s="459"/>
      <c r="EQ46" s="459"/>
      <c r="ER46" s="459"/>
      <c r="ES46" s="459"/>
      <c r="ET46" s="459"/>
      <c r="EU46" s="459"/>
      <c r="EV46" s="459"/>
      <c r="EW46" s="459"/>
      <c r="EX46" s="459"/>
      <c r="EY46" s="459"/>
      <c r="EZ46" s="459"/>
      <c r="FA46" s="459"/>
      <c r="FB46" s="459"/>
      <c r="FC46" s="459"/>
      <c r="FD46" s="459"/>
      <c r="FE46" s="459"/>
      <c r="FF46" s="459"/>
      <c r="FG46" s="459"/>
      <c r="FH46" s="459"/>
      <c r="FI46" s="459"/>
      <c r="FJ46" s="459"/>
      <c r="FK46" s="459"/>
      <c r="FL46" s="459"/>
      <c r="FM46" s="459"/>
      <c r="FN46" s="459"/>
      <c r="FO46" s="459"/>
      <c r="FP46" s="459"/>
      <c r="FQ46" s="459"/>
      <c r="FR46" s="459"/>
      <c r="FS46" s="459"/>
      <c r="FT46" s="459"/>
      <c r="FU46" s="459"/>
      <c r="FV46" s="459"/>
      <c r="FW46" s="459"/>
      <c r="FX46" s="459"/>
      <c r="FY46" s="459"/>
      <c r="FZ46" s="459"/>
      <c r="GA46" s="459"/>
      <c r="GB46" s="459"/>
      <c r="GC46" s="459"/>
      <c r="GD46" s="459"/>
      <c r="GE46" s="459"/>
      <c r="GF46" s="459"/>
      <c r="GG46" s="459"/>
      <c r="GH46" s="459"/>
      <c r="GI46" s="459"/>
      <c r="GJ46" s="459"/>
      <c r="GK46" s="459"/>
      <c r="GL46" s="459"/>
      <c r="GM46" s="459"/>
      <c r="GN46" s="459"/>
      <c r="GO46" s="459"/>
      <c r="GP46" s="459"/>
      <c r="GQ46" s="459"/>
      <c r="GR46" s="459"/>
      <c r="GS46" s="459"/>
      <c r="GT46" s="459"/>
      <c r="GU46" s="459"/>
      <c r="GV46" s="459"/>
      <c r="GW46" s="459"/>
      <c r="GX46" s="459"/>
      <c r="GY46" s="459"/>
      <c r="GZ46" s="459"/>
      <c r="HA46" s="459"/>
      <c r="HB46" s="459"/>
      <c r="HC46" s="459"/>
      <c r="HD46" s="459"/>
      <c r="HE46" s="459"/>
      <c r="HF46" s="459"/>
      <c r="HG46" s="459"/>
      <c r="HH46" s="459"/>
      <c r="HI46" s="459"/>
      <c r="HJ46" s="459"/>
      <c r="HK46" s="459"/>
      <c r="HL46" s="459"/>
      <c r="HM46" s="459"/>
      <c r="HN46" s="459"/>
      <c r="HO46" s="459"/>
      <c r="HP46" s="459"/>
      <c r="HQ46" s="459"/>
      <c r="HR46" s="459"/>
      <c r="HS46" s="459"/>
      <c r="HT46" s="459"/>
      <c r="HU46" s="459"/>
      <c r="HV46" s="459"/>
      <c r="HW46" s="459"/>
      <c r="HX46" s="459"/>
      <c r="HY46" s="459"/>
      <c r="HZ46" s="459"/>
      <c r="IA46" s="459"/>
      <c r="IB46" s="459"/>
      <c r="IC46" s="459"/>
      <c r="ID46" s="459"/>
      <c r="IE46" s="459"/>
      <c r="IF46" s="459"/>
      <c r="IG46" s="459"/>
      <c r="IH46" s="459"/>
      <c r="II46" s="459"/>
      <c r="IJ46" s="459"/>
      <c r="IK46" s="459"/>
      <c r="IL46" s="459"/>
      <c r="IM46" s="459"/>
      <c r="IN46" s="459"/>
      <c r="IO46" s="459"/>
      <c r="IP46" s="459"/>
      <c r="IQ46" s="459"/>
      <c r="IR46" s="459"/>
      <c r="IS46" s="459"/>
      <c r="IT46" s="459"/>
      <c r="IU46" s="459"/>
      <c r="IV46" s="459"/>
    </row>
    <row r="47" spans="1:256" ht="3" customHeight="1">
      <c r="A47" s="455"/>
      <c r="B47" s="459"/>
      <c r="C47" s="459"/>
      <c r="D47" s="717"/>
      <c r="E47" s="717"/>
      <c r="F47" s="717"/>
      <c r="G47" s="717"/>
      <c r="H47" s="717"/>
      <c r="I47" s="717"/>
      <c r="J47" s="717"/>
      <c r="K47" s="717"/>
      <c r="L47" s="717"/>
      <c r="M47" s="466"/>
      <c r="N47" s="459"/>
      <c r="O47" s="472"/>
      <c r="P47" s="472"/>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59"/>
      <c r="DQ47" s="459"/>
      <c r="DR47" s="459"/>
      <c r="DS47" s="459"/>
      <c r="DT47" s="459"/>
      <c r="DU47" s="459"/>
      <c r="DV47" s="459"/>
      <c r="DW47" s="459"/>
      <c r="DX47" s="459"/>
      <c r="DY47" s="459"/>
      <c r="DZ47" s="459"/>
      <c r="EA47" s="459"/>
      <c r="EB47" s="459"/>
      <c r="EC47" s="459"/>
      <c r="ED47" s="459"/>
      <c r="EE47" s="459"/>
      <c r="EF47" s="459"/>
      <c r="EG47" s="459"/>
      <c r="EH47" s="459"/>
      <c r="EI47" s="459"/>
      <c r="EJ47" s="459"/>
      <c r="EK47" s="459"/>
      <c r="EL47" s="459"/>
      <c r="EM47" s="459"/>
      <c r="EN47" s="459"/>
      <c r="EO47" s="459"/>
      <c r="EP47" s="459"/>
      <c r="EQ47" s="459"/>
      <c r="ER47" s="459"/>
      <c r="ES47" s="459"/>
      <c r="ET47" s="459"/>
      <c r="EU47" s="459"/>
      <c r="EV47" s="459"/>
      <c r="EW47" s="459"/>
      <c r="EX47" s="459"/>
      <c r="EY47" s="459"/>
      <c r="EZ47" s="459"/>
      <c r="FA47" s="459"/>
      <c r="FB47" s="459"/>
      <c r="FC47" s="459"/>
      <c r="FD47" s="459"/>
      <c r="FE47" s="459"/>
      <c r="FF47" s="459"/>
      <c r="FG47" s="459"/>
      <c r="FH47" s="459"/>
      <c r="FI47" s="459"/>
      <c r="FJ47" s="459"/>
      <c r="FK47" s="459"/>
      <c r="FL47" s="459"/>
      <c r="FM47" s="459"/>
      <c r="FN47" s="459"/>
      <c r="FO47" s="459"/>
      <c r="FP47" s="459"/>
      <c r="FQ47" s="459"/>
      <c r="FR47" s="459"/>
      <c r="FS47" s="459"/>
      <c r="FT47" s="459"/>
      <c r="FU47" s="459"/>
      <c r="FV47" s="459"/>
      <c r="FW47" s="459"/>
      <c r="FX47" s="459"/>
      <c r="FY47" s="459"/>
      <c r="FZ47" s="459"/>
      <c r="GA47" s="459"/>
      <c r="GB47" s="459"/>
      <c r="GC47" s="459"/>
      <c r="GD47" s="459"/>
      <c r="GE47" s="459"/>
      <c r="GF47" s="459"/>
      <c r="GG47" s="459"/>
      <c r="GH47" s="459"/>
      <c r="GI47" s="459"/>
      <c r="GJ47" s="459"/>
      <c r="GK47" s="459"/>
      <c r="GL47" s="459"/>
      <c r="GM47" s="459"/>
      <c r="GN47" s="459"/>
      <c r="GO47" s="459"/>
      <c r="GP47" s="459"/>
      <c r="GQ47" s="459"/>
      <c r="GR47" s="459"/>
      <c r="GS47" s="459"/>
      <c r="GT47" s="459"/>
      <c r="GU47" s="459"/>
      <c r="GV47" s="459"/>
      <c r="GW47" s="459"/>
      <c r="GX47" s="459"/>
      <c r="GY47" s="459"/>
      <c r="GZ47" s="459"/>
      <c r="HA47" s="459"/>
      <c r="HB47" s="459"/>
      <c r="HC47" s="459"/>
      <c r="HD47" s="459"/>
      <c r="HE47" s="459"/>
      <c r="HF47" s="459"/>
      <c r="HG47" s="459"/>
      <c r="HH47" s="459"/>
      <c r="HI47" s="459"/>
      <c r="HJ47" s="459"/>
      <c r="HK47" s="459"/>
      <c r="HL47" s="459"/>
      <c r="HM47" s="459"/>
      <c r="HN47" s="459"/>
      <c r="HO47" s="459"/>
      <c r="HP47" s="459"/>
      <c r="HQ47" s="459"/>
      <c r="HR47" s="459"/>
      <c r="HS47" s="459"/>
      <c r="HT47" s="459"/>
      <c r="HU47" s="459"/>
      <c r="HV47" s="459"/>
      <c r="HW47" s="459"/>
      <c r="HX47" s="459"/>
      <c r="HY47" s="459"/>
      <c r="HZ47" s="459"/>
      <c r="IA47" s="459"/>
      <c r="IB47" s="459"/>
      <c r="IC47" s="459"/>
      <c r="ID47" s="459"/>
      <c r="IE47" s="459"/>
      <c r="IF47" s="459"/>
      <c r="IG47" s="459"/>
      <c r="IH47" s="459"/>
      <c r="II47" s="459"/>
      <c r="IJ47" s="459"/>
      <c r="IK47" s="459"/>
      <c r="IL47" s="459"/>
      <c r="IM47" s="459"/>
      <c r="IN47" s="459"/>
      <c r="IO47" s="459"/>
      <c r="IP47" s="459"/>
      <c r="IQ47" s="459"/>
      <c r="IR47" s="459"/>
      <c r="IS47" s="459"/>
      <c r="IT47" s="459"/>
      <c r="IU47" s="459"/>
      <c r="IV47" s="459"/>
    </row>
    <row r="48" spans="1:256" ht="18.75" thickBot="1">
      <c r="A48" s="455" t="s">
        <v>1224</v>
      </c>
      <c r="B48" s="459"/>
      <c r="C48" s="477"/>
      <c r="D48" s="718">
        <f>ROUND(D17+D24+D45,3)</f>
        <v>3415.8739999999998</v>
      </c>
      <c r="E48" s="719"/>
      <c r="F48" s="718">
        <f>ROUND(F17+F24+F45,3)</f>
        <v>7512.7049999999999</v>
      </c>
      <c r="G48" s="719"/>
      <c r="H48" s="718">
        <f>ROUND(H17+H24+H45,3)</f>
        <v>7853.1880000000001</v>
      </c>
      <c r="I48" s="720"/>
      <c r="J48" s="718">
        <f>ROUND(J17+J24+J45,3)</f>
        <v>0</v>
      </c>
      <c r="K48" s="719"/>
      <c r="L48" s="718">
        <f>ROUND(L17+L24+L45,3)</f>
        <v>3075.3910000000001</v>
      </c>
      <c r="M48" s="467"/>
      <c r="N48" s="470"/>
      <c r="O48" s="472"/>
      <c r="P48" s="472"/>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c r="HQ48" s="459"/>
      <c r="HR48" s="459"/>
      <c r="HS48" s="459"/>
      <c r="HT48" s="459"/>
      <c r="HU48" s="459"/>
      <c r="HV48" s="459"/>
      <c r="HW48" s="459"/>
      <c r="HX48" s="459"/>
      <c r="HY48" s="459"/>
      <c r="HZ48" s="459"/>
      <c r="IA48" s="459"/>
      <c r="IB48" s="459"/>
      <c r="IC48" s="459"/>
      <c r="ID48" s="459"/>
      <c r="IE48" s="459"/>
      <c r="IF48" s="459"/>
      <c r="IG48" s="459"/>
      <c r="IH48" s="459"/>
      <c r="II48" s="459"/>
      <c r="IJ48" s="459"/>
      <c r="IK48" s="459"/>
      <c r="IL48" s="459"/>
      <c r="IM48" s="459"/>
      <c r="IN48" s="459"/>
      <c r="IO48" s="459"/>
      <c r="IP48" s="459"/>
      <c r="IQ48" s="459"/>
      <c r="IR48" s="459"/>
      <c r="IS48" s="459"/>
      <c r="IT48" s="459"/>
      <c r="IU48" s="459"/>
      <c r="IV48" s="459"/>
    </row>
    <row r="49" spans="1:256" ht="12" customHeight="1" thickTop="1">
      <c r="A49" s="459"/>
      <c r="B49" s="459"/>
      <c r="C49" s="459"/>
      <c r="D49" s="721" t="s">
        <v>15</v>
      </c>
      <c r="E49" s="704"/>
      <c r="F49" s="721" t="s">
        <v>15</v>
      </c>
      <c r="G49" s="704"/>
      <c r="H49" s="721" t="s">
        <v>15</v>
      </c>
      <c r="I49" s="704"/>
      <c r="J49" s="703" t="s">
        <v>15</v>
      </c>
      <c r="K49" s="704"/>
      <c r="L49" s="721" t="s">
        <v>15</v>
      </c>
      <c r="M49" s="466"/>
      <c r="N49" s="459"/>
      <c r="O49" s="472"/>
      <c r="P49" s="472"/>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459"/>
      <c r="CR49" s="459"/>
      <c r="CS49" s="459"/>
      <c r="CT49" s="459"/>
      <c r="CU49" s="459"/>
      <c r="CV49" s="459"/>
      <c r="CW49" s="459"/>
      <c r="CX49" s="459"/>
      <c r="CY49" s="459"/>
      <c r="CZ49" s="459"/>
      <c r="DA49" s="459"/>
      <c r="DB49" s="459"/>
      <c r="DC49" s="459"/>
      <c r="DD49" s="459"/>
      <c r="DE49" s="459"/>
      <c r="DF49" s="459"/>
      <c r="DG49" s="459"/>
      <c r="DH49" s="459"/>
      <c r="DI49" s="459"/>
      <c r="DJ49" s="459"/>
      <c r="DK49" s="459"/>
      <c r="DL49" s="459"/>
      <c r="DM49" s="459"/>
      <c r="DN49" s="459"/>
      <c r="DO49" s="459"/>
      <c r="DP49" s="459"/>
      <c r="DQ49" s="459"/>
      <c r="DR49" s="459"/>
      <c r="DS49" s="459"/>
      <c r="DT49" s="459"/>
      <c r="DU49" s="459"/>
      <c r="DV49" s="459"/>
      <c r="DW49" s="459"/>
      <c r="DX49" s="459"/>
      <c r="DY49" s="459"/>
      <c r="DZ49" s="459"/>
      <c r="EA49" s="459"/>
      <c r="EB49" s="459"/>
      <c r="EC49" s="459"/>
      <c r="ED49" s="459"/>
      <c r="EE49" s="459"/>
      <c r="EF49" s="459"/>
      <c r="EG49" s="459"/>
      <c r="EH49" s="459"/>
      <c r="EI49" s="459"/>
      <c r="EJ49" s="459"/>
      <c r="EK49" s="459"/>
      <c r="EL49" s="459"/>
      <c r="EM49" s="459"/>
      <c r="EN49" s="459"/>
      <c r="EO49" s="459"/>
      <c r="EP49" s="459"/>
      <c r="EQ49" s="459"/>
      <c r="ER49" s="459"/>
      <c r="ES49" s="459"/>
      <c r="ET49" s="459"/>
      <c r="EU49" s="459"/>
      <c r="EV49" s="459"/>
      <c r="EW49" s="459"/>
      <c r="EX49" s="459"/>
      <c r="EY49" s="459"/>
      <c r="EZ49" s="459"/>
      <c r="FA49" s="459"/>
      <c r="FB49" s="459"/>
      <c r="FC49" s="459"/>
      <c r="FD49" s="459"/>
      <c r="FE49" s="459"/>
      <c r="FF49" s="459"/>
      <c r="FG49" s="459"/>
      <c r="FH49" s="459"/>
      <c r="FI49" s="459"/>
      <c r="FJ49" s="459"/>
      <c r="FK49" s="459"/>
      <c r="FL49" s="459"/>
      <c r="FM49" s="459"/>
      <c r="FN49" s="459"/>
      <c r="FO49" s="459"/>
      <c r="FP49" s="459"/>
      <c r="FQ49" s="459"/>
      <c r="FR49" s="459"/>
      <c r="FS49" s="459"/>
      <c r="FT49" s="459"/>
      <c r="FU49" s="459"/>
      <c r="FV49" s="459"/>
      <c r="FW49" s="459"/>
      <c r="FX49" s="459"/>
      <c r="FY49" s="459"/>
      <c r="FZ49" s="459"/>
      <c r="GA49" s="459"/>
      <c r="GB49" s="459"/>
      <c r="GC49" s="459"/>
      <c r="GD49" s="459"/>
      <c r="GE49" s="459"/>
      <c r="GF49" s="459"/>
      <c r="GG49" s="459"/>
      <c r="GH49" s="459"/>
      <c r="GI49" s="459"/>
      <c r="GJ49" s="459"/>
      <c r="GK49" s="459"/>
      <c r="GL49" s="459"/>
      <c r="GM49" s="459"/>
      <c r="GN49" s="459"/>
      <c r="GO49" s="459"/>
      <c r="GP49" s="459"/>
      <c r="GQ49" s="459"/>
      <c r="GR49" s="459"/>
      <c r="GS49" s="459"/>
      <c r="GT49" s="459"/>
      <c r="GU49" s="459"/>
      <c r="GV49" s="459"/>
      <c r="GW49" s="459"/>
      <c r="GX49" s="459"/>
      <c r="GY49" s="459"/>
      <c r="GZ49" s="459"/>
      <c r="HA49" s="459"/>
      <c r="HB49" s="459"/>
      <c r="HC49" s="459"/>
      <c r="HD49" s="459"/>
      <c r="HE49" s="459"/>
      <c r="HF49" s="459"/>
      <c r="HG49" s="459"/>
      <c r="HH49" s="459"/>
      <c r="HI49" s="459"/>
      <c r="HJ49" s="459"/>
      <c r="HK49" s="459"/>
      <c r="HL49" s="459"/>
      <c r="HM49" s="459"/>
      <c r="HN49" s="459"/>
      <c r="HO49" s="459"/>
      <c r="HP49" s="459"/>
      <c r="HQ49" s="459"/>
      <c r="HR49" s="459"/>
      <c r="HS49" s="459"/>
      <c r="HT49" s="459"/>
      <c r="HU49" s="459"/>
      <c r="HV49" s="459"/>
      <c r="HW49" s="459"/>
      <c r="HX49" s="459"/>
      <c r="HY49" s="459"/>
      <c r="HZ49" s="459"/>
      <c r="IA49" s="459"/>
      <c r="IB49" s="459"/>
      <c r="IC49" s="459"/>
      <c r="ID49" s="459"/>
      <c r="IE49" s="459"/>
      <c r="IF49" s="459"/>
      <c r="IG49" s="459"/>
      <c r="IH49" s="459"/>
      <c r="II49" s="459"/>
      <c r="IJ49" s="459"/>
      <c r="IK49" s="459"/>
      <c r="IL49" s="459"/>
      <c r="IM49" s="459"/>
      <c r="IN49" s="459"/>
      <c r="IO49" s="459"/>
      <c r="IP49" s="459"/>
      <c r="IQ49" s="459"/>
      <c r="IR49" s="459"/>
      <c r="IS49" s="459"/>
      <c r="IT49" s="459"/>
      <c r="IU49" s="459"/>
      <c r="IV49" s="459"/>
    </row>
    <row r="50" spans="1:256" ht="15.75" customHeight="1">
      <c r="A50" s="722"/>
      <c r="B50" s="459"/>
      <c r="C50" s="459"/>
      <c r="D50" s="459"/>
      <c r="E50" s="459"/>
      <c r="F50" s="459"/>
      <c r="G50" s="459"/>
      <c r="H50" s="459"/>
      <c r="I50" s="459"/>
      <c r="J50" s="459"/>
      <c r="K50" s="459"/>
      <c r="L50" s="459"/>
      <c r="M50" s="459"/>
      <c r="N50" s="459"/>
      <c r="O50" s="472"/>
      <c r="P50" s="472"/>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c r="HQ50" s="459"/>
      <c r="HR50" s="459"/>
      <c r="HS50" s="459"/>
      <c r="HT50" s="459"/>
      <c r="HU50" s="459"/>
      <c r="HV50" s="459"/>
      <c r="HW50" s="459"/>
      <c r="HX50" s="459"/>
      <c r="HY50" s="459"/>
      <c r="HZ50" s="459"/>
      <c r="IA50" s="459"/>
      <c r="IB50" s="459"/>
      <c r="IC50" s="459"/>
      <c r="ID50" s="459"/>
      <c r="IE50" s="459"/>
      <c r="IF50" s="459"/>
      <c r="IG50" s="459"/>
      <c r="IH50" s="459"/>
      <c r="II50" s="459"/>
      <c r="IJ50" s="459"/>
      <c r="IK50" s="459"/>
      <c r="IL50" s="459"/>
      <c r="IM50" s="459"/>
      <c r="IN50" s="459"/>
      <c r="IO50" s="459"/>
      <c r="IP50" s="459"/>
      <c r="IQ50" s="459"/>
      <c r="IR50" s="459"/>
      <c r="IS50" s="459"/>
      <c r="IT50" s="459"/>
      <c r="IU50" s="459"/>
      <c r="IV50" s="459"/>
    </row>
    <row r="51" spans="1:256" ht="18">
      <c r="A51" s="459"/>
      <c r="B51" s="459"/>
      <c r="C51" s="459"/>
      <c r="D51" s="470"/>
      <c r="E51" s="459"/>
      <c r="F51" s="459"/>
      <c r="G51" s="459"/>
      <c r="H51" s="459"/>
      <c r="I51" s="459"/>
      <c r="J51" s="459"/>
      <c r="K51" s="459"/>
      <c r="L51" s="473"/>
      <c r="M51" s="459"/>
      <c r="N51" s="459"/>
      <c r="O51" s="472"/>
      <c r="P51" s="472"/>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59"/>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row>
    <row r="52" spans="1:256" ht="18">
      <c r="A52" s="470"/>
      <c r="B52" s="459"/>
      <c r="C52" s="459"/>
      <c r="D52" s="459"/>
      <c r="E52" s="459"/>
      <c r="F52" s="459"/>
      <c r="G52" s="459"/>
      <c r="H52" s="459"/>
      <c r="I52" s="459"/>
      <c r="J52" s="459"/>
      <c r="K52" s="459"/>
      <c r="L52" s="459"/>
      <c r="M52" s="459"/>
      <c r="N52" s="459"/>
      <c r="O52" s="472"/>
      <c r="P52" s="472"/>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c r="CJ52" s="459"/>
      <c r="CK52" s="459"/>
      <c r="CL52" s="459"/>
      <c r="CM52" s="459"/>
      <c r="CN52" s="459"/>
      <c r="CO52" s="459"/>
      <c r="CP52" s="459"/>
      <c r="CQ52" s="459"/>
      <c r="CR52" s="459"/>
      <c r="CS52" s="459"/>
      <c r="CT52" s="459"/>
      <c r="CU52" s="459"/>
      <c r="CV52" s="459"/>
      <c r="CW52" s="459"/>
      <c r="CX52" s="459"/>
      <c r="CY52" s="459"/>
      <c r="CZ52" s="459"/>
      <c r="DA52" s="459"/>
      <c r="DB52" s="459"/>
      <c r="DC52" s="459"/>
      <c r="DD52" s="459"/>
      <c r="DE52" s="459"/>
      <c r="DF52" s="459"/>
      <c r="DG52" s="459"/>
      <c r="DH52" s="459"/>
      <c r="DI52" s="459"/>
      <c r="DJ52" s="459"/>
      <c r="DK52" s="459"/>
      <c r="DL52" s="459"/>
      <c r="DM52" s="459"/>
      <c r="DN52" s="459"/>
      <c r="DO52" s="459"/>
      <c r="DP52" s="459"/>
      <c r="DQ52" s="459"/>
      <c r="DR52" s="459"/>
      <c r="DS52" s="459"/>
      <c r="DT52" s="459"/>
      <c r="DU52" s="459"/>
      <c r="DV52" s="459"/>
      <c r="DW52" s="459"/>
      <c r="DX52" s="459"/>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459"/>
      <c r="EU52" s="459"/>
      <c r="EV52" s="459"/>
      <c r="EW52" s="459"/>
      <c r="EX52" s="459"/>
      <c r="EY52" s="459"/>
      <c r="EZ52" s="459"/>
      <c r="FA52" s="459"/>
      <c r="FB52" s="459"/>
      <c r="FC52" s="459"/>
      <c r="FD52" s="459"/>
      <c r="FE52" s="459"/>
      <c r="FF52" s="459"/>
      <c r="FG52" s="459"/>
      <c r="FH52" s="459"/>
      <c r="FI52" s="459"/>
      <c r="FJ52" s="459"/>
      <c r="FK52" s="459"/>
      <c r="FL52" s="459"/>
      <c r="FM52" s="459"/>
      <c r="FN52" s="459"/>
      <c r="FO52" s="459"/>
      <c r="FP52" s="459"/>
      <c r="FQ52" s="459"/>
      <c r="FR52" s="459"/>
      <c r="FS52" s="459"/>
      <c r="FT52" s="459"/>
      <c r="FU52" s="459"/>
      <c r="FV52" s="459"/>
      <c r="FW52" s="459"/>
      <c r="FX52" s="459"/>
      <c r="FY52" s="459"/>
      <c r="FZ52" s="459"/>
      <c r="GA52" s="459"/>
      <c r="GB52" s="459"/>
      <c r="GC52" s="459"/>
      <c r="GD52" s="459"/>
      <c r="GE52" s="459"/>
      <c r="GF52" s="459"/>
      <c r="GG52" s="459"/>
      <c r="GH52" s="459"/>
      <c r="GI52" s="459"/>
      <c r="GJ52" s="459"/>
      <c r="GK52" s="459"/>
      <c r="GL52" s="459"/>
      <c r="GM52" s="459"/>
      <c r="GN52" s="459"/>
      <c r="GO52" s="459"/>
      <c r="GP52" s="459"/>
      <c r="GQ52" s="459"/>
      <c r="GR52" s="459"/>
      <c r="GS52" s="459"/>
      <c r="GT52" s="459"/>
      <c r="GU52" s="459"/>
      <c r="GV52" s="459"/>
      <c r="GW52" s="459"/>
      <c r="GX52" s="459"/>
      <c r="GY52" s="459"/>
      <c r="GZ52" s="459"/>
      <c r="HA52" s="459"/>
      <c r="HB52" s="459"/>
      <c r="HC52" s="459"/>
      <c r="HD52" s="459"/>
      <c r="HE52" s="459"/>
      <c r="HF52" s="459"/>
      <c r="HG52" s="459"/>
      <c r="HH52" s="459"/>
      <c r="HI52" s="459"/>
      <c r="HJ52" s="459"/>
      <c r="HK52" s="459"/>
      <c r="HL52" s="459"/>
      <c r="HM52" s="459"/>
      <c r="HN52" s="459"/>
      <c r="HO52" s="459"/>
      <c r="HP52" s="459"/>
      <c r="HQ52" s="459"/>
      <c r="HR52" s="459"/>
      <c r="HS52" s="459"/>
      <c r="HT52" s="459"/>
      <c r="HU52" s="459"/>
      <c r="HV52" s="459"/>
      <c r="HW52" s="459"/>
      <c r="HX52" s="459"/>
      <c r="HY52" s="459"/>
      <c r="HZ52" s="459"/>
      <c r="IA52" s="459"/>
      <c r="IB52" s="459"/>
      <c r="IC52" s="459"/>
      <c r="ID52" s="459"/>
      <c r="IE52" s="459"/>
      <c r="IF52" s="459"/>
      <c r="IG52" s="459"/>
      <c r="IH52" s="459"/>
      <c r="II52" s="459"/>
      <c r="IJ52" s="459"/>
      <c r="IK52" s="459"/>
      <c r="IL52" s="459"/>
      <c r="IM52" s="459"/>
      <c r="IN52" s="459"/>
      <c r="IO52" s="459"/>
      <c r="IP52" s="459"/>
      <c r="IQ52" s="459"/>
      <c r="IR52" s="459"/>
      <c r="IS52" s="459"/>
      <c r="IT52" s="459"/>
      <c r="IU52" s="459"/>
      <c r="IV52" s="459"/>
    </row>
    <row r="53" spans="1:256" ht="18">
      <c r="A53" s="470"/>
      <c r="B53" s="459"/>
      <c r="C53" s="459"/>
      <c r="D53" s="459"/>
      <c r="E53" s="459"/>
      <c r="F53" s="459"/>
      <c r="G53" s="459"/>
      <c r="H53" s="459"/>
      <c r="I53" s="459"/>
      <c r="J53" s="459"/>
      <c r="K53" s="459"/>
      <c r="L53" s="459"/>
      <c r="M53" s="459"/>
      <c r="N53" s="459"/>
      <c r="O53" s="472"/>
      <c r="P53" s="472"/>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c r="CR53" s="459"/>
      <c r="CS53" s="459"/>
      <c r="CT53" s="459"/>
      <c r="CU53" s="459"/>
      <c r="CV53" s="459"/>
      <c r="CW53" s="459"/>
      <c r="CX53" s="459"/>
      <c r="CY53" s="459"/>
      <c r="CZ53" s="459"/>
      <c r="DA53" s="459"/>
      <c r="DB53" s="459"/>
      <c r="DC53" s="459"/>
      <c r="DD53" s="459"/>
      <c r="DE53" s="459"/>
      <c r="DF53" s="459"/>
      <c r="DG53" s="459"/>
      <c r="DH53" s="459"/>
      <c r="DI53" s="459"/>
      <c r="DJ53" s="459"/>
      <c r="DK53" s="459"/>
      <c r="DL53" s="459"/>
      <c r="DM53" s="459"/>
      <c r="DN53" s="459"/>
      <c r="DO53" s="459"/>
      <c r="DP53" s="459"/>
      <c r="DQ53" s="459"/>
      <c r="DR53" s="459"/>
      <c r="DS53" s="459"/>
      <c r="DT53" s="459"/>
      <c r="DU53" s="459"/>
      <c r="DV53" s="459"/>
      <c r="DW53" s="459"/>
      <c r="DX53" s="459"/>
      <c r="DY53" s="459"/>
      <c r="DZ53" s="459"/>
      <c r="EA53" s="459"/>
      <c r="EB53" s="459"/>
      <c r="EC53" s="459"/>
      <c r="ED53" s="459"/>
      <c r="EE53" s="459"/>
      <c r="EF53" s="459"/>
      <c r="EG53" s="459"/>
      <c r="EH53" s="459"/>
      <c r="EI53" s="459"/>
      <c r="EJ53" s="459"/>
      <c r="EK53" s="459"/>
      <c r="EL53" s="459"/>
      <c r="EM53" s="459"/>
      <c r="EN53" s="459"/>
      <c r="EO53" s="459"/>
      <c r="EP53" s="459"/>
      <c r="EQ53" s="459"/>
      <c r="ER53" s="459"/>
      <c r="ES53" s="459"/>
      <c r="ET53" s="459"/>
      <c r="EU53" s="459"/>
      <c r="EV53" s="459"/>
      <c r="EW53" s="459"/>
      <c r="EX53" s="459"/>
      <c r="EY53" s="459"/>
      <c r="EZ53" s="459"/>
      <c r="FA53" s="459"/>
      <c r="FB53" s="459"/>
      <c r="FC53" s="459"/>
      <c r="FD53" s="459"/>
      <c r="FE53" s="459"/>
      <c r="FF53" s="459"/>
      <c r="FG53" s="459"/>
      <c r="FH53" s="459"/>
      <c r="FI53" s="459"/>
      <c r="FJ53" s="459"/>
      <c r="FK53" s="459"/>
      <c r="FL53" s="459"/>
      <c r="FM53" s="459"/>
      <c r="FN53" s="459"/>
      <c r="FO53" s="459"/>
      <c r="FP53" s="459"/>
      <c r="FQ53" s="459"/>
      <c r="FR53" s="459"/>
      <c r="FS53" s="459"/>
      <c r="FT53" s="459"/>
      <c r="FU53" s="459"/>
      <c r="FV53" s="459"/>
      <c r="FW53" s="459"/>
      <c r="FX53" s="459"/>
      <c r="FY53" s="459"/>
      <c r="FZ53" s="459"/>
      <c r="GA53" s="459"/>
      <c r="GB53" s="459"/>
      <c r="GC53" s="459"/>
      <c r="GD53" s="459"/>
      <c r="GE53" s="459"/>
      <c r="GF53" s="459"/>
      <c r="GG53" s="459"/>
      <c r="GH53" s="459"/>
      <c r="GI53" s="459"/>
      <c r="GJ53" s="459"/>
      <c r="GK53" s="459"/>
      <c r="GL53" s="459"/>
      <c r="GM53" s="459"/>
      <c r="GN53" s="459"/>
      <c r="GO53" s="459"/>
      <c r="GP53" s="459"/>
      <c r="GQ53" s="459"/>
      <c r="GR53" s="459"/>
      <c r="GS53" s="459"/>
      <c r="GT53" s="459"/>
      <c r="GU53" s="459"/>
      <c r="GV53" s="459"/>
      <c r="GW53" s="459"/>
      <c r="GX53" s="459"/>
      <c r="GY53" s="459"/>
      <c r="GZ53" s="459"/>
      <c r="HA53" s="459"/>
      <c r="HB53" s="459"/>
      <c r="HC53" s="459"/>
      <c r="HD53" s="459"/>
      <c r="HE53" s="459"/>
      <c r="HF53" s="459"/>
      <c r="HG53" s="459"/>
      <c r="HH53" s="459"/>
      <c r="HI53" s="459"/>
      <c r="HJ53" s="459"/>
      <c r="HK53" s="459"/>
      <c r="HL53" s="459"/>
      <c r="HM53" s="459"/>
      <c r="HN53" s="459"/>
      <c r="HO53" s="459"/>
      <c r="HP53" s="459"/>
      <c r="HQ53" s="459"/>
      <c r="HR53" s="459"/>
      <c r="HS53" s="459"/>
      <c r="HT53" s="459"/>
      <c r="HU53" s="459"/>
      <c r="HV53" s="459"/>
      <c r="HW53" s="459"/>
      <c r="HX53" s="459"/>
      <c r="HY53" s="459"/>
      <c r="HZ53" s="459"/>
      <c r="IA53" s="459"/>
      <c r="IB53" s="459"/>
      <c r="IC53" s="459"/>
      <c r="ID53" s="459"/>
      <c r="IE53" s="459"/>
      <c r="IF53" s="459"/>
      <c r="IG53" s="459"/>
      <c r="IH53" s="459"/>
      <c r="II53" s="459"/>
      <c r="IJ53" s="459"/>
      <c r="IK53" s="459"/>
      <c r="IL53" s="459"/>
      <c r="IM53" s="459"/>
      <c r="IN53" s="459"/>
      <c r="IO53" s="459"/>
      <c r="IP53" s="459"/>
      <c r="IQ53" s="459"/>
      <c r="IR53" s="459"/>
      <c r="IS53" s="459"/>
      <c r="IT53" s="459"/>
      <c r="IU53" s="459"/>
      <c r="IV53" s="459"/>
    </row>
    <row r="54" spans="1:256" ht="18">
      <c r="A54" s="470"/>
      <c r="B54" s="459"/>
      <c r="C54" s="459"/>
      <c r="D54" s="459"/>
      <c r="E54" s="459"/>
      <c r="F54" s="459"/>
      <c r="G54" s="459"/>
      <c r="H54" s="459"/>
      <c r="I54" s="459"/>
      <c r="J54" s="459"/>
      <c r="K54" s="459"/>
      <c r="L54" s="459"/>
      <c r="M54" s="459"/>
      <c r="N54" s="459"/>
      <c r="O54" s="472"/>
      <c r="P54" s="472"/>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59"/>
      <c r="DQ54" s="459"/>
      <c r="DR54" s="459"/>
      <c r="DS54" s="459"/>
      <c r="DT54" s="459"/>
      <c r="DU54" s="459"/>
      <c r="DV54" s="459"/>
      <c r="DW54" s="459"/>
      <c r="DX54" s="459"/>
      <c r="DY54" s="459"/>
      <c r="DZ54" s="459"/>
      <c r="EA54" s="459"/>
      <c r="EB54" s="459"/>
      <c r="EC54" s="459"/>
      <c r="ED54" s="459"/>
      <c r="EE54" s="459"/>
      <c r="EF54" s="459"/>
      <c r="EG54" s="459"/>
      <c r="EH54" s="459"/>
      <c r="EI54" s="459"/>
      <c r="EJ54" s="459"/>
      <c r="EK54" s="459"/>
      <c r="EL54" s="459"/>
      <c r="EM54" s="459"/>
      <c r="EN54" s="459"/>
      <c r="EO54" s="459"/>
      <c r="EP54" s="459"/>
      <c r="EQ54" s="459"/>
      <c r="ER54" s="459"/>
      <c r="ES54" s="459"/>
      <c r="ET54" s="459"/>
      <c r="EU54" s="459"/>
      <c r="EV54" s="459"/>
      <c r="EW54" s="459"/>
      <c r="EX54" s="459"/>
      <c r="EY54" s="459"/>
      <c r="EZ54" s="459"/>
      <c r="FA54" s="459"/>
      <c r="FB54" s="459"/>
      <c r="FC54" s="459"/>
      <c r="FD54" s="459"/>
      <c r="FE54" s="459"/>
      <c r="FF54" s="459"/>
      <c r="FG54" s="459"/>
      <c r="FH54" s="459"/>
      <c r="FI54" s="459"/>
      <c r="FJ54" s="459"/>
      <c r="FK54" s="459"/>
      <c r="FL54" s="459"/>
      <c r="FM54" s="459"/>
      <c r="FN54" s="459"/>
      <c r="FO54" s="459"/>
      <c r="FP54" s="459"/>
      <c r="FQ54" s="459"/>
      <c r="FR54" s="459"/>
      <c r="FS54" s="459"/>
      <c r="FT54" s="459"/>
      <c r="FU54" s="459"/>
      <c r="FV54" s="459"/>
      <c r="FW54" s="459"/>
      <c r="FX54" s="459"/>
      <c r="FY54" s="459"/>
      <c r="FZ54" s="459"/>
      <c r="GA54" s="459"/>
      <c r="GB54" s="459"/>
      <c r="GC54" s="459"/>
      <c r="GD54" s="459"/>
      <c r="GE54" s="459"/>
      <c r="GF54" s="459"/>
      <c r="GG54" s="459"/>
      <c r="GH54" s="459"/>
      <c r="GI54" s="459"/>
      <c r="GJ54" s="459"/>
      <c r="GK54" s="459"/>
      <c r="GL54" s="459"/>
      <c r="GM54" s="459"/>
      <c r="GN54" s="459"/>
      <c r="GO54" s="459"/>
      <c r="GP54" s="459"/>
      <c r="GQ54" s="459"/>
      <c r="GR54" s="459"/>
      <c r="GS54" s="459"/>
      <c r="GT54" s="459"/>
      <c r="GU54" s="459"/>
      <c r="GV54" s="459"/>
      <c r="GW54" s="459"/>
      <c r="GX54" s="459"/>
      <c r="GY54" s="459"/>
      <c r="GZ54" s="459"/>
      <c r="HA54" s="459"/>
      <c r="HB54" s="459"/>
      <c r="HC54" s="459"/>
      <c r="HD54" s="459"/>
      <c r="HE54" s="459"/>
      <c r="HF54" s="459"/>
      <c r="HG54" s="459"/>
      <c r="HH54" s="459"/>
      <c r="HI54" s="459"/>
      <c r="HJ54" s="459"/>
      <c r="HK54" s="459"/>
      <c r="HL54" s="459"/>
      <c r="HM54" s="459"/>
      <c r="HN54" s="459"/>
      <c r="HO54" s="459"/>
      <c r="HP54" s="459"/>
      <c r="HQ54" s="459"/>
      <c r="HR54" s="459"/>
      <c r="HS54" s="459"/>
      <c r="HT54" s="459"/>
      <c r="HU54" s="459"/>
      <c r="HV54" s="459"/>
      <c r="HW54" s="459"/>
      <c r="HX54" s="459"/>
      <c r="HY54" s="459"/>
      <c r="HZ54" s="459"/>
      <c r="IA54" s="459"/>
      <c r="IB54" s="459"/>
      <c r="IC54" s="459"/>
      <c r="ID54" s="459"/>
      <c r="IE54" s="459"/>
      <c r="IF54" s="459"/>
      <c r="IG54" s="459"/>
      <c r="IH54" s="459"/>
      <c r="II54" s="459"/>
      <c r="IJ54" s="459"/>
      <c r="IK54" s="459"/>
      <c r="IL54" s="459"/>
      <c r="IM54" s="459"/>
      <c r="IN54" s="459"/>
      <c r="IO54" s="459"/>
      <c r="IP54" s="459"/>
      <c r="IQ54" s="459"/>
      <c r="IR54" s="459"/>
      <c r="IS54" s="459"/>
      <c r="IT54" s="459"/>
      <c r="IU54" s="459"/>
      <c r="IV54" s="459"/>
    </row>
    <row r="55" spans="1:256" ht="18">
      <c r="A55" s="470"/>
      <c r="B55" s="459"/>
      <c r="C55" s="459"/>
      <c r="D55" s="459"/>
      <c r="E55" s="459"/>
      <c r="F55" s="459"/>
      <c r="G55" s="459"/>
      <c r="H55" s="459"/>
      <c r="I55" s="459"/>
      <c r="J55" s="459"/>
      <c r="K55" s="459"/>
      <c r="L55" s="459"/>
      <c r="M55" s="459"/>
      <c r="N55" s="459"/>
      <c r="O55" s="472"/>
      <c r="P55" s="472"/>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c r="CR55" s="459"/>
      <c r="CS55" s="459"/>
      <c r="CT55" s="459"/>
      <c r="CU55" s="459"/>
      <c r="CV55" s="459"/>
      <c r="CW55" s="459"/>
      <c r="CX55" s="459"/>
      <c r="CY55" s="459"/>
      <c r="CZ55" s="459"/>
      <c r="DA55" s="459"/>
      <c r="DB55" s="459"/>
      <c r="DC55" s="459"/>
      <c r="DD55" s="459"/>
      <c r="DE55" s="459"/>
      <c r="DF55" s="459"/>
      <c r="DG55" s="459"/>
      <c r="DH55" s="459"/>
      <c r="DI55" s="459"/>
      <c r="DJ55" s="459"/>
      <c r="DK55" s="459"/>
      <c r="DL55" s="459"/>
      <c r="DM55" s="459"/>
      <c r="DN55" s="459"/>
      <c r="DO55" s="459"/>
      <c r="DP55" s="459"/>
      <c r="DQ55" s="459"/>
      <c r="DR55" s="459"/>
      <c r="DS55" s="459"/>
      <c r="DT55" s="459"/>
      <c r="DU55" s="459"/>
      <c r="DV55" s="459"/>
      <c r="DW55" s="459"/>
      <c r="DX55" s="459"/>
      <c r="DY55" s="459"/>
      <c r="DZ55" s="459"/>
      <c r="EA55" s="459"/>
      <c r="EB55" s="459"/>
      <c r="EC55" s="459"/>
      <c r="ED55" s="459"/>
      <c r="EE55" s="459"/>
      <c r="EF55" s="459"/>
      <c r="EG55" s="459"/>
      <c r="EH55" s="459"/>
      <c r="EI55" s="459"/>
      <c r="EJ55" s="459"/>
      <c r="EK55" s="459"/>
      <c r="EL55" s="459"/>
      <c r="EM55" s="459"/>
      <c r="EN55" s="459"/>
      <c r="EO55" s="459"/>
      <c r="EP55" s="459"/>
      <c r="EQ55" s="459"/>
      <c r="ER55" s="459"/>
      <c r="ES55" s="459"/>
      <c r="ET55" s="459"/>
      <c r="EU55" s="459"/>
      <c r="EV55" s="459"/>
      <c r="EW55" s="459"/>
      <c r="EX55" s="459"/>
      <c r="EY55" s="459"/>
      <c r="EZ55" s="459"/>
      <c r="FA55" s="459"/>
      <c r="FB55" s="459"/>
      <c r="FC55" s="459"/>
      <c r="FD55" s="459"/>
      <c r="FE55" s="459"/>
      <c r="FF55" s="459"/>
      <c r="FG55" s="459"/>
      <c r="FH55" s="459"/>
      <c r="FI55" s="459"/>
      <c r="FJ55" s="459"/>
      <c r="FK55" s="459"/>
      <c r="FL55" s="459"/>
      <c r="FM55" s="459"/>
      <c r="FN55" s="459"/>
      <c r="FO55" s="459"/>
      <c r="FP55" s="459"/>
      <c r="FQ55" s="459"/>
      <c r="FR55" s="459"/>
      <c r="FS55" s="459"/>
      <c r="FT55" s="459"/>
      <c r="FU55" s="459"/>
      <c r="FV55" s="459"/>
      <c r="FW55" s="459"/>
      <c r="FX55" s="459"/>
      <c r="FY55" s="459"/>
      <c r="FZ55" s="459"/>
      <c r="GA55" s="459"/>
      <c r="GB55" s="459"/>
      <c r="GC55" s="459"/>
      <c r="GD55" s="459"/>
      <c r="GE55" s="459"/>
      <c r="GF55" s="459"/>
      <c r="GG55" s="459"/>
      <c r="GH55" s="459"/>
      <c r="GI55" s="459"/>
      <c r="GJ55" s="459"/>
      <c r="GK55" s="459"/>
      <c r="GL55" s="459"/>
      <c r="GM55" s="459"/>
      <c r="GN55" s="459"/>
      <c r="GO55" s="459"/>
      <c r="GP55" s="459"/>
      <c r="GQ55" s="459"/>
      <c r="GR55" s="459"/>
      <c r="GS55" s="459"/>
      <c r="GT55" s="459"/>
      <c r="GU55" s="459"/>
      <c r="GV55" s="459"/>
      <c r="GW55" s="459"/>
      <c r="GX55" s="459"/>
      <c r="GY55" s="459"/>
      <c r="GZ55" s="459"/>
      <c r="HA55" s="459"/>
      <c r="HB55" s="459"/>
      <c r="HC55" s="459"/>
      <c r="HD55" s="459"/>
      <c r="HE55" s="459"/>
      <c r="HF55" s="459"/>
      <c r="HG55" s="459"/>
      <c r="HH55" s="459"/>
      <c r="HI55" s="459"/>
      <c r="HJ55" s="459"/>
      <c r="HK55" s="459"/>
      <c r="HL55" s="459"/>
      <c r="HM55" s="459"/>
      <c r="HN55" s="459"/>
      <c r="HO55" s="459"/>
      <c r="HP55" s="459"/>
      <c r="HQ55" s="459"/>
      <c r="HR55" s="459"/>
      <c r="HS55" s="459"/>
      <c r="HT55" s="459"/>
      <c r="HU55" s="459"/>
      <c r="HV55" s="459"/>
      <c r="HW55" s="459"/>
      <c r="HX55" s="459"/>
      <c r="HY55" s="459"/>
      <c r="HZ55" s="459"/>
      <c r="IA55" s="459"/>
      <c r="IB55" s="459"/>
      <c r="IC55" s="459"/>
      <c r="ID55" s="459"/>
      <c r="IE55" s="459"/>
      <c r="IF55" s="459"/>
      <c r="IG55" s="459"/>
      <c r="IH55" s="459"/>
      <c r="II55" s="459"/>
      <c r="IJ55" s="459"/>
      <c r="IK55" s="459"/>
      <c r="IL55" s="459"/>
      <c r="IM55" s="459"/>
      <c r="IN55" s="459"/>
      <c r="IO55" s="459"/>
      <c r="IP55" s="459"/>
      <c r="IQ55" s="459"/>
      <c r="IR55" s="459"/>
      <c r="IS55" s="459"/>
      <c r="IT55" s="459"/>
      <c r="IU55" s="459"/>
      <c r="IV55" s="459"/>
    </row>
    <row r="56" spans="1:256" ht="18">
      <c r="A56" s="470"/>
      <c r="B56" s="459"/>
      <c r="C56" s="459"/>
      <c r="D56" s="459"/>
      <c r="E56" s="459"/>
      <c r="F56" s="459"/>
      <c r="G56" s="459"/>
      <c r="H56" s="459"/>
      <c r="I56" s="459"/>
      <c r="J56" s="459"/>
      <c r="K56" s="459"/>
      <c r="L56" s="459"/>
      <c r="M56" s="459"/>
      <c r="N56" s="459"/>
      <c r="O56" s="472"/>
      <c r="P56" s="472"/>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c r="CJ56" s="459"/>
      <c r="CK56" s="459"/>
      <c r="CL56" s="459"/>
      <c r="CM56" s="459"/>
      <c r="CN56" s="459"/>
      <c r="CO56" s="459"/>
      <c r="CP56" s="459"/>
      <c r="CQ56" s="459"/>
      <c r="CR56" s="459"/>
      <c r="CS56" s="459"/>
      <c r="CT56" s="459"/>
      <c r="CU56" s="459"/>
      <c r="CV56" s="459"/>
      <c r="CW56" s="459"/>
      <c r="CX56" s="459"/>
      <c r="CY56" s="459"/>
      <c r="CZ56" s="459"/>
      <c r="DA56" s="459"/>
      <c r="DB56" s="459"/>
      <c r="DC56" s="459"/>
      <c r="DD56" s="459"/>
      <c r="DE56" s="459"/>
      <c r="DF56" s="459"/>
      <c r="DG56" s="459"/>
      <c r="DH56" s="459"/>
      <c r="DI56" s="459"/>
      <c r="DJ56" s="459"/>
      <c r="DK56" s="459"/>
      <c r="DL56" s="459"/>
      <c r="DM56" s="459"/>
      <c r="DN56" s="459"/>
      <c r="DO56" s="459"/>
      <c r="DP56" s="459"/>
      <c r="DQ56" s="459"/>
      <c r="DR56" s="459"/>
      <c r="DS56" s="459"/>
      <c r="DT56" s="459"/>
      <c r="DU56" s="459"/>
      <c r="DV56" s="459"/>
      <c r="DW56" s="459"/>
      <c r="DX56" s="459"/>
      <c r="DY56" s="459"/>
      <c r="DZ56" s="459"/>
      <c r="EA56" s="459"/>
      <c r="EB56" s="459"/>
      <c r="EC56" s="459"/>
      <c r="ED56" s="459"/>
      <c r="EE56" s="459"/>
      <c r="EF56" s="459"/>
      <c r="EG56" s="459"/>
      <c r="EH56" s="459"/>
      <c r="EI56" s="459"/>
      <c r="EJ56" s="459"/>
      <c r="EK56" s="459"/>
      <c r="EL56" s="459"/>
      <c r="EM56" s="459"/>
      <c r="EN56" s="459"/>
      <c r="EO56" s="459"/>
      <c r="EP56" s="459"/>
      <c r="EQ56" s="459"/>
      <c r="ER56" s="459"/>
      <c r="ES56" s="459"/>
      <c r="ET56" s="459"/>
      <c r="EU56" s="459"/>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59"/>
      <c r="FS56" s="459"/>
      <c r="FT56" s="459"/>
      <c r="FU56" s="459"/>
      <c r="FV56" s="459"/>
      <c r="FW56" s="459"/>
      <c r="FX56" s="459"/>
      <c r="FY56" s="459"/>
      <c r="FZ56" s="459"/>
      <c r="GA56" s="459"/>
      <c r="GB56" s="459"/>
      <c r="GC56" s="459"/>
      <c r="GD56" s="459"/>
      <c r="GE56" s="459"/>
      <c r="GF56" s="459"/>
      <c r="GG56" s="459"/>
      <c r="GH56" s="459"/>
      <c r="GI56" s="459"/>
      <c r="GJ56" s="459"/>
      <c r="GK56" s="459"/>
      <c r="GL56" s="459"/>
      <c r="GM56" s="459"/>
      <c r="GN56" s="459"/>
      <c r="GO56" s="459"/>
      <c r="GP56" s="459"/>
      <c r="GQ56" s="459"/>
      <c r="GR56" s="459"/>
      <c r="GS56" s="459"/>
      <c r="GT56" s="459"/>
      <c r="GU56" s="459"/>
      <c r="GV56" s="459"/>
      <c r="GW56" s="459"/>
      <c r="GX56" s="459"/>
      <c r="GY56" s="459"/>
      <c r="GZ56" s="459"/>
      <c r="HA56" s="459"/>
      <c r="HB56" s="459"/>
      <c r="HC56" s="459"/>
      <c r="HD56" s="459"/>
      <c r="HE56" s="459"/>
      <c r="HF56" s="459"/>
      <c r="HG56" s="459"/>
      <c r="HH56" s="459"/>
      <c r="HI56" s="459"/>
      <c r="HJ56" s="459"/>
      <c r="HK56" s="459"/>
      <c r="HL56" s="459"/>
      <c r="HM56" s="459"/>
      <c r="HN56" s="459"/>
      <c r="HO56" s="459"/>
      <c r="HP56" s="459"/>
      <c r="HQ56" s="459"/>
      <c r="HR56" s="459"/>
      <c r="HS56" s="459"/>
      <c r="HT56" s="459"/>
      <c r="HU56" s="459"/>
      <c r="HV56" s="459"/>
      <c r="HW56" s="459"/>
      <c r="HX56" s="459"/>
      <c r="HY56" s="459"/>
      <c r="HZ56" s="459"/>
      <c r="IA56" s="459"/>
      <c r="IB56" s="459"/>
      <c r="IC56" s="459"/>
      <c r="ID56" s="459"/>
      <c r="IE56" s="459"/>
      <c r="IF56" s="459"/>
      <c r="IG56" s="459"/>
      <c r="IH56" s="459"/>
      <c r="II56" s="459"/>
      <c r="IJ56" s="459"/>
      <c r="IK56" s="459"/>
      <c r="IL56" s="459"/>
      <c r="IM56" s="459"/>
      <c r="IN56" s="459"/>
      <c r="IO56" s="459"/>
      <c r="IP56" s="459"/>
      <c r="IQ56" s="459"/>
      <c r="IR56" s="459"/>
      <c r="IS56" s="459"/>
      <c r="IT56" s="459"/>
      <c r="IU56" s="459"/>
      <c r="IV56" s="459"/>
    </row>
    <row r="57" spans="1:256" ht="18">
      <c r="A57" s="459"/>
      <c r="B57" s="459"/>
      <c r="C57" s="459"/>
      <c r="D57" s="459"/>
      <c r="E57" s="459"/>
      <c r="F57" s="459"/>
      <c r="G57" s="459"/>
      <c r="H57" s="459"/>
      <c r="I57" s="459"/>
      <c r="J57" s="459"/>
      <c r="K57" s="459"/>
      <c r="L57" s="459"/>
      <c r="M57" s="459"/>
      <c r="N57" s="459"/>
      <c r="O57" s="472"/>
      <c r="P57" s="472"/>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459"/>
      <c r="CO57" s="459"/>
      <c r="CP57" s="459"/>
      <c r="CQ57" s="459"/>
      <c r="CR57" s="459"/>
      <c r="CS57" s="459"/>
      <c r="CT57" s="459"/>
      <c r="CU57" s="459"/>
      <c r="CV57" s="459"/>
      <c r="CW57" s="459"/>
      <c r="CX57" s="459"/>
      <c r="CY57" s="459"/>
      <c r="CZ57" s="459"/>
      <c r="DA57" s="459"/>
      <c r="DB57" s="459"/>
      <c r="DC57" s="459"/>
      <c r="DD57" s="459"/>
      <c r="DE57" s="459"/>
      <c r="DF57" s="459"/>
      <c r="DG57" s="459"/>
      <c r="DH57" s="459"/>
      <c r="DI57" s="459"/>
      <c r="DJ57" s="459"/>
      <c r="DK57" s="459"/>
      <c r="DL57" s="459"/>
      <c r="DM57" s="459"/>
      <c r="DN57" s="459"/>
      <c r="DO57" s="459"/>
      <c r="DP57" s="459"/>
      <c r="DQ57" s="459"/>
      <c r="DR57" s="459"/>
      <c r="DS57" s="459"/>
      <c r="DT57" s="459"/>
      <c r="DU57" s="459"/>
      <c r="DV57" s="459"/>
      <c r="DW57" s="459"/>
      <c r="DX57" s="459"/>
      <c r="DY57" s="459"/>
      <c r="DZ57" s="459"/>
      <c r="EA57" s="459"/>
      <c r="EB57" s="459"/>
      <c r="EC57" s="459"/>
      <c r="ED57" s="459"/>
      <c r="EE57" s="459"/>
      <c r="EF57" s="459"/>
      <c r="EG57" s="459"/>
      <c r="EH57" s="459"/>
      <c r="EI57" s="459"/>
      <c r="EJ57" s="459"/>
      <c r="EK57" s="459"/>
      <c r="EL57" s="459"/>
      <c r="EM57" s="459"/>
      <c r="EN57" s="459"/>
      <c r="EO57" s="459"/>
      <c r="EP57" s="459"/>
      <c r="EQ57" s="459"/>
      <c r="ER57" s="459"/>
      <c r="ES57" s="459"/>
      <c r="ET57" s="459"/>
      <c r="EU57" s="459"/>
      <c r="EV57" s="459"/>
      <c r="EW57" s="459"/>
      <c r="EX57" s="459"/>
      <c r="EY57" s="459"/>
      <c r="EZ57" s="459"/>
      <c r="FA57" s="459"/>
      <c r="FB57" s="459"/>
      <c r="FC57" s="459"/>
      <c r="FD57" s="459"/>
      <c r="FE57" s="459"/>
      <c r="FF57" s="459"/>
      <c r="FG57" s="459"/>
      <c r="FH57" s="459"/>
      <c r="FI57" s="459"/>
      <c r="FJ57" s="459"/>
      <c r="FK57" s="459"/>
      <c r="FL57" s="459"/>
      <c r="FM57" s="459"/>
      <c r="FN57" s="459"/>
      <c r="FO57" s="459"/>
      <c r="FP57" s="459"/>
      <c r="FQ57" s="459"/>
      <c r="FR57" s="459"/>
      <c r="FS57" s="459"/>
      <c r="FT57" s="459"/>
      <c r="FU57" s="459"/>
      <c r="FV57" s="459"/>
      <c r="FW57" s="459"/>
      <c r="FX57" s="459"/>
      <c r="FY57" s="459"/>
      <c r="FZ57" s="459"/>
      <c r="GA57" s="459"/>
      <c r="GB57" s="459"/>
      <c r="GC57" s="459"/>
      <c r="GD57" s="459"/>
      <c r="GE57" s="459"/>
      <c r="GF57" s="459"/>
      <c r="GG57" s="459"/>
      <c r="GH57" s="459"/>
      <c r="GI57" s="459"/>
      <c r="GJ57" s="459"/>
      <c r="GK57" s="459"/>
      <c r="GL57" s="459"/>
      <c r="GM57" s="459"/>
      <c r="GN57" s="459"/>
      <c r="GO57" s="459"/>
      <c r="GP57" s="459"/>
      <c r="GQ57" s="459"/>
      <c r="GR57" s="459"/>
      <c r="GS57" s="459"/>
      <c r="GT57" s="459"/>
      <c r="GU57" s="459"/>
      <c r="GV57" s="459"/>
      <c r="GW57" s="459"/>
      <c r="GX57" s="459"/>
      <c r="GY57" s="459"/>
      <c r="GZ57" s="459"/>
      <c r="HA57" s="459"/>
      <c r="HB57" s="459"/>
      <c r="HC57" s="459"/>
      <c r="HD57" s="459"/>
      <c r="HE57" s="459"/>
      <c r="HF57" s="459"/>
      <c r="HG57" s="459"/>
      <c r="HH57" s="459"/>
      <c r="HI57" s="459"/>
      <c r="HJ57" s="459"/>
      <c r="HK57" s="459"/>
      <c r="HL57" s="459"/>
      <c r="HM57" s="459"/>
      <c r="HN57" s="459"/>
      <c r="HO57" s="459"/>
      <c r="HP57" s="459"/>
      <c r="HQ57" s="459"/>
      <c r="HR57" s="459"/>
      <c r="HS57" s="459"/>
      <c r="HT57" s="459"/>
      <c r="HU57" s="459"/>
      <c r="HV57" s="459"/>
      <c r="HW57" s="459"/>
      <c r="HX57" s="459"/>
      <c r="HY57" s="459"/>
      <c r="HZ57" s="459"/>
      <c r="IA57" s="459"/>
      <c r="IB57" s="459"/>
      <c r="IC57" s="459"/>
      <c r="ID57" s="459"/>
      <c r="IE57" s="459"/>
      <c r="IF57" s="459"/>
      <c r="IG57" s="459"/>
      <c r="IH57" s="459"/>
      <c r="II57" s="459"/>
      <c r="IJ57" s="459"/>
      <c r="IK57" s="459"/>
      <c r="IL57" s="459"/>
      <c r="IM57" s="459"/>
      <c r="IN57" s="459"/>
      <c r="IO57" s="459"/>
      <c r="IP57" s="459"/>
      <c r="IQ57" s="459"/>
      <c r="IR57" s="459"/>
      <c r="IS57" s="459"/>
      <c r="IT57" s="459"/>
      <c r="IU57" s="459"/>
      <c r="IV57" s="459"/>
    </row>
    <row r="58" spans="1:256" ht="18">
      <c r="A58" s="459"/>
      <c r="B58" s="459"/>
      <c r="C58" s="459"/>
      <c r="D58" s="459"/>
      <c r="E58" s="459"/>
      <c r="F58" s="459"/>
      <c r="G58" s="459"/>
      <c r="H58" s="459"/>
      <c r="I58" s="459"/>
      <c r="J58" s="459"/>
      <c r="K58" s="459"/>
      <c r="L58" s="459"/>
      <c r="M58" s="459"/>
      <c r="N58" s="459"/>
      <c r="O58" s="472"/>
      <c r="P58" s="472"/>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459"/>
      <c r="CP58" s="459"/>
      <c r="CQ58" s="459"/>
      <c r="CR58" s="459"/>
      <c r="CS58" s="459"/>
      <c r="CT58" s="459"/>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459"/>
      <c r="DY58" s="459"/>
      <c r="DZ58" s="459"/>
      <c r="EA58" s="459"/>
      <c r="EB58" s="459"/>
      <c r="EC58" s="459"/>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459"/>
      <c r="FH58" s="459"/>
      <c r="FI58" s="459"/>
      <c r="FJ58" s="459"/>
      <c r="FK58" s="459"/>
      <c r="FL58" s="459"/>
      <c r="FM58" s="459"/>
      <c r="FN58" s="459"/>
      <c r="FO58" s="459"/>
      <c r="FP58" s="459"/>
      <c r="FQ58" s="459"/>
      <c r="FR58" s="459"/>
      <c r="FS58" s="459"/>
      <c r="FT58" s="459"/>
      <c r="FU58" s="459"/>
      <c r="FV58" s="459"/>
      <c r="FW58" s="459"/>
      <c r="FX58" s="459"/>
      <c r="FY58" s="459"/>
      <c r="FZ58" s="459"/>
      <c r="GA58" s="459"/>
      <c r="GB58" s="459"/>
      <c r="GC58" s="459"/>
      <c r="GD58" s="459"/>
      <c r="GE58" s="459"/>
      <c r="GF58" s="459"/>
      <c r="GG58" s="459"/>
      <c r="GH58" s="459"/>
      <c r="GI58" s="459"/>
      <c r="GJ58" s="459"/>
      <c r="GK58" s="459"/>
      <c r="GL58" s="459"/>
      <c r="GM58" s="459"/>
      <c r="GN58" s="459"/>
      <c r="GO58" s="459"/>
      <c r="GP58" s="459"/>
      <c r="GQ58" s="459"/>
      <c r="GR58" s="459"/>
      <c r="GS58" s="459"/>
      <c r="GT58" s="459"/>
      <c r="GU58" s="459"/>
      <c r="GV58" s="459"/>
      <c r="GW58" s="459"/>
      <c r="GX58" s="459"/>
      <c r="GY58" s="459"/>
      <c r="GZ58" s="459"/>
      <c r="HA58" s="459"/>
      <c r="HB58" s="459"/>
      <c r="HC58" s="459"/>
      <c r="HD58" s="459"/>
      <c r="HE58" s="459"/>
      <c r="HF58" s="459"/>
      <c r="HG58" s="459"/>
      <c r="HH58" s="459"/>
      <c r="HI58" s="459"/>
      <c r="HJ58" s="459"/>
      <c r="HK58" s="459"/>
      <c r="HL58" s="459"/>
      <c r="HM58" s="459"/>
      <c r="HN58" s="459"/>
      <c r="HO58" s="459"/>
      <c r="HP58" s="459"/>
      <c r="HQ58" s="459"/>
      <c r="HR58" s="459"/>
      <c r="HS58" s="459"/>
      <c r="HT58" s="459"/>
      <c r="HU58" s="459"/>
      <c r="HV58" s="459"/>
      <c r="HW58" s="459"/>
      <c r="HX58" s="459"/>
      <c r="HY58" s="459"/>
      <c r="HZ58" s="459"/>
      <c r="IA58" s="459"/>
      <c r="IB58" s="459"/>
      <c r="IC58" s="459"/>
      <c r="ID58" s="459"/>
      <c r="IE58" s="459"/>
      <c r="IF58" s="459"/>
      <c r="IG58" s="459"/>
      <c r="IH58" s="459"/>
      <c r="II58" s="459"/>
      <c r="IJ58" s="459"/>
      <c r="IK58" s="459"/>
      <c r="IL58" s="459"/>
      <c r="IM58" s="459"/>
      <c r="IN58" s="459"/>
      <c r="IO58" s="459"/>
      <c r="IP58" s="459"/>
      <c r="IQ58" s="459"/>
      <c r="IR58" s="459"/>
      <c r="IS58" s="459"/>
      <c r="IT58" s="459"/>
      <c r="IU58" s="459"/>
      <c r="IV58" s="459"/>
    </row>
    <row r="59" spans="1:256" ht="18">
      <c r="A59" s="459"/>
      <c r="B59" s="459"/>
      <c r="C59" s="459"/>
      <c r="D59" s="459"/>
      <c r="E59" s="459"/>
      <c r="F59" s="459"/>
      <c r="G59" s="459"/>
      <c r="H59" s="459"/>
      <c r="I59" s="459"/>
      <c r="J59" s="459"/>
      <c r="K59" s="459"/>
      <c r="L59" s="459"/>
      <c r="M59" s="459"/>
      <c r="N59" s="459"/>
      <c r="O59" s="472"/>
      <c r="P59" s="472"/>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59"/>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c r="CJ59" s="459"/>
      <c r="CK59" s="459"/>
      <c r="CL59" s="459"/>
      <c r="CM59" s="459"/>
      <c r="CN59" s="459"/>
      <c r="CO59" s="459"/>
      <c r="CP59" s="459"/>
      <c r="CQ59" s="459"/>
      <c r="CR59" s="459"/>
      <c r="CS59" s="459"/>
      <c r="CT59" s="459"/>
      <c r="CU59" s="459"/>
      <c r="CV59" s="459"/>
      <c r="CW59" s="459"/>
      <c r="CX59" s="459"/>
      <c r="CY59" s="459"/>
      <c r="CZ59" s="459"/>
      <c r="DA59" s="459"/>
      <c r="DB59" s="459"/>
      <c r="DC59" s="459"/>
      <c r="DD59" s="459"/>
      <c r="DE59" s="459"/>
      <c r="DF59" s="459"/>
      <c r="DG59" s="459"/>
      <c r="DH59" s="459"/>
      <c r="DI59" s="459"/>
      <c r="DJ59" s="459"/>
      <c r="DK59" s="459"/>
      <c r="DL59" s="459"/>
      <c r="DM59" s="459"/>
      <c r="DN59" s="459"/>
      <c r="DO59" s="459"/>
      <c r="DP59" s="459"/>
      <c r="DQ59" s="459"/>
      <c r="DR59" s="459"/>
      <c r="DS59" s="459"/>
      <c r="DT59" s="459"/>
      <c r="DU59" s="459"/>
      <c r="DV59" s="459"/>
      <c r="DW59" s="459"/>
      <c r="DX59" s="459"/>
      <c r="DY59" s="459"/>
      <c r="DZ59" s="459"/>
      <c r="EA59" s="459"/>
      <c r="EB59" s="459"/>
      <c r="EC59" s="459"/>
      <c r="ED59" s="459"/>
      <c r="EE59" s="459"/>
      <c r="EF59" s="459"/>
      <c r="EG59" s="459"/>
      <c r="EH59" s="459"/>
      <c r="EI59" s="459"/>
      <c r="EJ59" s="459"/>
      <c r="EK59" s="459"/>
      <c r="EL59" s="459"/>
      <c r="EM59" s="459"/>
      <c r="EN59" s="459"/>
      <c r="EO59" s="459"/>
      <c r="EP59" s="459"/>
      <c r="EQ59" s="459"/>
      <c r="ER59" s="459"/>
      <c r="ES59" s="459"/>
      <c r="ET59" s="459"/>
      <c r="EU59" s="459"/>
      <c r="EV59" s="459"/>
      <c r="EW59" s="459"/>
      <c r="EX59" s="459"/>
      <c r="EY59" s="459"/>
      <c r="EZ59" s="459"/>
      <c r="FA59" s="459"/>
      <c r="FB59" s="459"/>
      <c r="FC59" s="459"/>
      <c r="FD59" s="459"/>
      <c r="FE59" s="459"/>
      <c r="FF59" s="459"/>
      <c r="FG59" s="459"/>
      <c r="FH59" s="459"/>
      <c r="FI59" s="459"/>
      <c r="FJ59" s="459"/>
      <c r="FK59" s="459"/>
      <c r="FL59" s="459"/>
      <c r="FM59" s="459"/>
      <c r="FN59" s="459"/>
      <c r="FO59" s="459"/>
      <c r="FP59" s="459"/>
      <c r="FQ59" s="459"/>
      <c r="FR59" s="459"/>
      <c r="FS59" s="459"/>
      <c r="FT59" s="459"/>
      <c r="FU59" s="459"/>
      <c r="FV59" s="459"/>
      <c r="FW59" s="459"/>
      <c r="FX59" s="459"/>
      <c r="FY59" s="459"/>
      <c r="FZ59" s="459"/>
      <c r="GA59" s="459"/>
      <c r="GB59" s="459"/>
      <c r="GC59" s="459"/>
      <c r="GD59" s="459"/>
      <c r="GE59" s="459"/>
      <c r="GF59" s="459"/>
      <c r="GG59" s="459"/>
      <c r="GH59" s="459"/>
      <c r="GI59" s="459"/>
      <c r="GJ59" s="459"/>
      <c r="GK59" s="459"/>
      <c r="GL59" s="459"/>
      <c r="GM59" s="459"/>
      <c r="GN59" s="459"/>
      <c r="GO59" s="459"/>
      <c r="GP59" s="459"/>
      <c r="GQ59" s="459"/>
      <c r="GR59" s="459"/>
      <c r="GS59" s="459"/>
      <c r="GT59" s="459"/>
      <c r="GU59" s="459"/>
      <c r="GV59" s="459"/>
      <c r="GW59" s="459"/>
      <c r="GX59" s="459"/>
      <c r="GY59" s="459"/>
      <c r="GZ59" s="459"/>
      <c r="HA59" s="459"/>
      <c r="HB59" s="459"/>
      <c r="HC59" s="459"/>
      <c r="HD59" s="459"/>
      <c r="HE59" s="459"/>
      <c r="HF59" s="459"/>
      <c r="HG59" s="459"/>
      <c r="HH59" s="459"/>
      <c r="HI59" s="459"/>
      <c r="HJ59" s="459"/>
      <c r="HK59" s="459"/>
      <c r="HL59" s="459"/>
      <c r="HM59" s="459"/>
      <c r="HN59" s="459"/>
      <c r="HO59" s="459"/>
      <c r="HP59" s="459"/>
      <c r="HQ59" s="459"/>
      <c r="HR59" s="459"/>
      <c r="HS59" s="459"/>
      <c r="HT59" s="459"/>
      <c r="HU59" s="459"/>
      <c r="HV59" s="459"/>
      <c r="HW59" s="459"/>
      <c r="HX59" s="459"/>
      <c r="HY59" s="459"/>
      <c r="HZ59" s="459"/>
      <c r="IA59" s="459"/>
      <c r="IB59" s="459"/>
      <c r="IC59" s="459"/>
      <c r="ID59" s="459"/>
      <c r="IE59" s="459"/>
      <c r="IF59" s="459"/>
      <c r="IG59" s="459"/>
      <c r="IH59" s="459"/>
      <c r="II59" s="459"/>
      <c r="IJ59" s="459"/>
      <c r="IK59" s="459"/>
      <c r="IL59" s="459"/>
      <c r="IM59" s="459"/>
      <c r="IN59" s="459"/>
      <c r="IO59" s="459"/>
      <c r="IP59" s="459"/>
      <c r="IQ59" s="459"/>
      <c r="IR59" s="459"/>
      <c r="IS59" s="459"/>
      <c r="IT59" s="459"/>
      <c r="IU59" s="459"/>
      <c r="IV59" s="459"/>
    </row>
    <row r="60" spans="1:256" ht="18">
      <c r="A60" s="459"/>
      <c r="B60" s="459"/>
      <c r="C60" s="459"/>
      <c r="D60" s="459"/>
      <c r="E60" s="459"/>
      <c r="F60" s="459"/>
      <c r="G60" s="459"/>
      <c r="H60" s="459"/>
      <c r="I60" s="459"/>
      <c r="J60" s="459"/>
      <c r="K60" s="459"/>
      <c r="L60" s="459"/>
      <c r="M60" s="459"/>
      <c r="N60" s="459"/>
      <c r="O60" s="472"/>
      <c r="P60" s="472"/>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c r="CJ60" s="459"/>
      <c r="CK60" s="459"/>
      <c r="CL60" s="459"/>
      <c r="CM60" s="459"/>
      <c r="CN60" s="459"/>
      <c r="CO60" s="459"/>
      <c r="CP60" s="459"/>
      <c r="CQ60" s="459"/>
      <c r="CR60" s="459"/>
      <c r="CS60" s="459"/>
      <c r="CT60" s="459"/>
      <c r="CU60" s="459"/>
      <c r="CV60" s="459"/>
      <c r="CW60" s="459"/>
      <c r="CX60" s="459"/>
      <c r="CY60" s="459"/>
      <c r="CZ60" s="459"/>
      <c r="DA60" s="459"/>
      <c r="DB60" s="459"/>
      <c r="DC60" s="459"/>
      <c r="DD60" s="459"/>
      <c r="DE60" s="459"/>
      <c r="DF60" s="459"/>
      <c r="DG60" s="459"/>
      <c r="DH60" s="459"/>
      <c r="DI60" s="459"/>
      <c r="DJ60" s="459"/>
      <c r="DK60" s="459"/>
      <c r="DL60" s="459"/>
      <c r="DM60" s="459"/>
      <c r="DN60" s="459"/>
      <c r="DO60" s="459"/>
      <c r="DP60" s="459"/>
      <c r="DQ60" s="459"/>
      <c r="DR60" s="459"/>
      <c r="DS60" s="459"/>
      <c r="DT60" s="459"/>
      <c r="DU60" s="459"/>
      <c r="DV60" s="459"/>
      <c r="DW60" s="459"/>
      <c r="DX60" s="459"/>
      <c r="DY60" s="459"/>
      <c r="DZ60" s="459"/>
      <c r="EA60" s="459"/>
      <c r="EB60" s="459"/>
      <c r="EC60" s="459"/>
      <c r="ED60" s="459"/>
      <c r="EE60" s="459"/>
      <c r="EF60" s="459"/>
      <c r="EG60" s="459"/>
      <c r="EH60" s="459"/>
      <c r="EI60" s="459"/>
      <c r="EJ60" s="459"/>
      <c r="EK60" s="459"/>
      <c r="EL60" s="459"/>
      <c r="EM60" s="459"/>
      <c r="EN60" s="459"/>
      <c r="EO60" s="459"/>
      <c r="EP60" s="459"/>
      <c r="EQ60" s="459"/>
      <c r="ER60" s="459"/>
      <c r="ES60" s="459"/>
      <c r="ET60" s="459"/>
      <c r="EU60" s="459"/>
      <c r="EV60" s="459"/>
      <c r="EW60" s="459"/>
      <c r="EX60" s="459"/>
      <c r="EY60" s="459"/>
      <c r="EZ60" s="459"/>
      <c r="FA60" s="459"/>
      <c r="FB60" s="459"/>
      <c r="FC60" s="459"/>
      <c r="FD60" s="459"/>
      <c r="FE60" s="459"/>
      <c r="FF60" s="459"/>
      <c r="FG60" s="459"/>
      <c r="FH60" s="459"/>
      <c r="FI60" s="459"/>
      <c r="FJ60" s="459"/>
      <c r="FK60" s="459"/>
      <c r="FL60" s="459"/>
      <c r="FM60" s="459"/>
      <c r="FN60" s="459"/>
      <c r="FO60" s="459"/>
      <c r="FP60" s="459"/>
      <c r="FQ60" s="459"/>
      <c r="FR60" s="459"/>
      <c r="FS60" s="459"/>
      <c r="FT60" s="459"/>
      <c r="FU60" s="459"/>
      <c r="FV60" s="459"/>
      <c r="FW60" s="459"/>
      <c r="FX60" s="459"/>
      <c r="FY60" s="459"/>
      <c r="FZ60" s="459"/>
      <c r="GA60" s="459"/>
      <c r="GB60" s="459"/>
      <c r="GC60" s="459"/>
      <c r="GD60" s="459"/>
      <c r="GE60" s="459"/>
      <c r="GF60" s="459"/>
      <c r="GG60" s="459"/>
      <c r="GH60" s="459"/>
      <c r="GI60" s="459"/>
      <c r="GJ60" s="459"/>
      <c r="GK60" s="459"/>
      <c r="GL60" s="459"/>
      <c r="GM60" s="459"/>
      <c r="GN60" s="459"/>
      <c r="GO60" s="459"/>
      <c r="GP60" s="459"/>
      <c r="GQ60" s="459"/>
      <c r="GR60" s="459"/>
      <c r="GS60" s="459"/>
      <c r="GT60" s="459"/>
      <c r="GU60" s="459"/>
      <c r="GV60" s="459"/>
      <c r="GW60" s="459"/>
      <c r="GX60" s="459"/>
      <c r="GY60" s="459"/>
      <c r="GZ60" s="459"/>
      <c r="HA60" s="459"/>
      <c r="HB60" s="459"/>
      <c r="HC60" s="459"/>
      <c r="HD60" s="459"/>
      <c r="HE60" s="459"/>
      <c r="HF60" s="459"/>
      <c r="HG60" s="459"/>
      <c r="HH60" s="459"/>
      <c r="HI60" s="459"/>
      <c r="HJ60" s="459"/>
      <c r="HK60" s="459"/>
      <c r="HL60" s="459"/>
      <c r="HM60" s="459"/>
      <c r="HN60" s="459"/>
      <c r="HO60" s="459"/>
      <c r="HP60" s="459"/>
      <c r="HQ60" s="459"/>
      <c r="HR60" s="459"/>
      <c r="HS60" s="459"/>
      <c r="HT60" s="459"/>
      <c r="HU60" s="459"/>
      <c r="HV60" s="459"/>
      <c r="HW60" s="459"/>
      <c r="HX60" s="459"/>
      <c r="HY60" s="459"/>
      <c r="HZ60" s="459"/>
      <c r="IA60" s="459"/>
      <c r="IB60" s="459"/>
      <c r="IC60" s="459"/>
      <c r="ID60" s="459"/>
      <c r="IE60" s="459"/>
      <c r="IF60" s="459"/>
      <c r="IG60" s="459"/>
      <c r="IH60" s="459"/>
      <c r="II60" s="459"/>
      <c r="IJ60" s="459"/>
      <c r="IK60" s="459"/>
      <c r="IL60" s="459"/>
      <c r="IM60" s="459"/>
      <c r="IN60" s="459"/>
      <c r="IO60" s="459"/>
      <c r="IP60" s="459"/>
      <c r="IQ60" s="459"/>
      <c r="IR60" s="459"/>
      <c r="IS60" s="459"/>
      <c r="IT60" s="459"/>
      <c r="IU60" s="459"/>
      <c r="IV60" s="459"/>
    </row>
    <row r="61" spans="1:256" ht="18">
      <c r="A61" s="459"/>
      <c r="B61" s="459"/>
      <c r="C61" s="459"/>
      <c r="D61" s="474"/>
      <c r="E61" s="459"/>
      <c r="F61" s="459"/>
      <c r="G61" s="459"/>
      <c r="H61" s="459"/>
      <c r="I61" s="459"/>
      <c r="J61" s="474"/>
      <c r="K61" s="459"/>
      <c r="L61" s="474"/>
      <c r="M61" s="459"/>
      <c r="N61" s="459"/>
      <c r="O61" s="472"/>
      <c r="P61" s="472"/>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c r="CJ61" s="459"/>
      <c r="CK61" s="459"/>
      <c r="CL61" s="459"/>
      <c r="CM61" s="459"/>
      <c r="CN61" s="459"/>
      <c r="CO61" s="459"/>
      <c r="CP61" s="459"/>
      <c r="CQ61" s="459"/>
      <c r="CR61" s="459"/>
      <c r="CS61" s="459"/>
      <c r="CT61" s="459"/>
      <c r="CU61" s="459"/>
      <c r="CV61" s="459"/>
      <c r="CW61" s="459"/>
      <c r="CX61" s="459"/>
      <c r="CY61" s="459"/>
      <c r="CZ61" s="459"/>
      <c r="DA61" s="459"/>
      <c r="DB61" s="459"/>
      <c r="DC61" s="459"/>
      <c r="DD61" s="459"/>
      <c r="DE61" s="459"/>
      <c r="DF61" s="459"/>
      <c r="DG61" s="459"/>
      <c r="DH61" s="459"/>
      <c r="DI61" s="459"/>
      <c r="DJ61" s="459"/>
      <c r="DK61" s="459"/>
      <c r="DL61" s="459"/>
      <c r="DM61" s="459"/>
      <c r="DN61" s="459"/>
      <c r="DO61" s="459"/>
      <c r="DP61" s="459"/>
      <c r="DQ61" s="459"/>
      <c r="DR61" s="459"/>
      <c r="DS61" s="459"/>
      <c r="DT61" s="459"/>
      <c r="DU61" s="459"/>
      <c r="DV61" s="459"/>
      <c r="DW61" s="459"/>
      <c r="DX61" s="459"/>
      <c r="DY61" s="459"/>
      <c r="DZ61" s="459"/>
      <c r="EA61" s="459"/>
      <c r="EB61" s="459"/>
      <c r="EC61" s="459"/>
      <c r="ED61" s="459"/>
      <c r="EE61" s="459"/>
      <c r="EF61" s="459"/>
      <c r="EG61" s="459"/>
      <c r="EH61" s="459"/>
      <c r="EI61" s="459"/>
      <c r="EJ61" s="459"/>
      <c r="EK61" s="459"/>
      <c r="EL61" s="459"/>
      <c r="EM61" s="459"/>
      <c r="EN61" s="459"/>
      <c r="EO61" s="459"/>
      <c r="EP61" s="459"/>
      <c r="EQ61" s="459"/>
      <c r="ER61" s="459"/>
      <c r="ES61" s="459"/>
      <c r="ET61" s="459"/>
      <c r="EU61" s="459"/>
      <c r="EV61" s="459"/>
      <c r="EW61" s="459"/>
      <c r="EX61" s="459"/>
      <c r="EY61" s="459"/>
      <c r="EZ61" s="459"/>
      <c r="FA61" s="459"/>
      <c r="FB61" s="459"/>
      <c r="FC61" s="459"/>
      <c r="FD61" s="459"/>
      <c r="FE61" s="459"/>
      <c r="FF61" s="459"/>
      <c r="FG61" s="459"/>
      <c r="FH61" s="459"/>
      <c r="FI61" s="459"/>
      <c r="FJ61" s="459"/>
      <c r="FK61" s="459"/>
      <c r="FL61" s="459"/>
      <c r="FM61" s="459"/>
      <c r="FN61" s="459"/>
      <c r="FO61" s="459"/>
      <c r="FP61" s="459"/>
      <c r="FQ61" s="459"/>
      <c r="FR61" s="459"/>
      <c r="FS61" s="459"/>
      <c r="FT61" s="459"/>
      <c r="FU61" s="459"/>
      <c r="FV61" s="459"/>
      <c r="FW61" s="459"/>
      <c r="FX61" s="459"/>
      <c r="FY61" s="459"/>
      <c r="FZ61" s="459"/>
      <c r="GA61" s="459"/>
      <c r="GB61" s="459"/>
      <c r="GC61" s="459"/>
      <c r="GD61" s="459"/>
      <c r="GE61" s="459"/>
      <c r="GF61" s="459"/>
      <c r="GG61" s="459"/>
      <c r="GH61" s="459"/>
      <c r="GI61" s="459"/>
      <c r="GJ61" s="459"/>
      <c r="GK61" s="459"/>
      <c r="GL61" s="459"/>
      <c r="GM61" s="459"/>
      <c r="GN61" s="459"/>
      <c r="GO61" s="459"/>
      <c r="GP61" s="459"/>
      <c r="GQ61" s="459"/>
      <c r="GR61" s="459"/>
      <c r="GS61" s="459"/>
      <c r="GT61" s="459"/>
      <c r="GU61" s="459"/>
      <c r="GV61" s="459"/>
      <c r="GW61" s="459"/>
      <c r="GX61" s="459"/>
      <c r="GY61" s="459"/>
      <c r="GZ61" s="459"/>
      <c r="HA61" s="459"/>
      <c r="HB61" s="459"/>
      <c r="HC61" s="459"/>
      <c r="HD61" s="459"/>
      <c r="HE61" s="459"/>
      <c r="HF61" s="459"/>
      <c r="HG61" s="459"/>
      <c r="HH61" s="459"/>
      <c r="HI61" s="459"/>
      <c r="HJ61" s="459"/>
      <c r="HK61" s="459"/>
      <c r="HL61" s="459"/>
      <c r="HM61" s="459"/>
      <c r="HN61" s="459"/>
      <c r="HO61" s="459"/>
      <c r="HP61" s="459"/>
      <c r="HQ61" s="459"/>
      <c r="HR61" s="459"/>
      <c r="HS61" s="459"/>
      <c r="HT61" s="459"/>
      <c r="HU61" s="459"/>
      <c r="HV61" s="459"/>
      <c r="HW61" s="459"/>
      <c r="HX61" s="459"/>
      <c r="HY61" s="459"/>
      <c r="HZ61" s="459"/>
      <c r="IA61" s="459"/>
      <c r="IB61" s="459"/>
      <c r="IC61" s="459"/>
      <c r="ID61" s="459"/>
      <c r="IE61" s="459"/>
      <c r="IF61" s="459"/>
      <c r="IG61" s="459"/>
      <c r="IH61" s="459"/>
      <c r="II61" s="459"/>
      <c r="IJ61" s="459"/>
      <c r="IK61" s="459"/>
      <c r="IL61" s="459"/>
      <c r="IM61" s="459"/>
      <c r="IN61" s="459"/>
      <c r="IO61" s="459"/>
      <c r="IP61" s="459"/>
      <c r="IQ61" s="459"/>
      <c r="IR61" s="459"/>
      <c r="IS61" s="459"/>
      <c r="IT61" s="459"/>
      <c r="IU61" s="459"/>
      <c r="IV61" s="459"/>
    </row>
    <row r="62" spans="1:256" ht="18">
      <c r="A62" s="459"/>
      <c r="B62" s="459"/>
      <c r="C62" s="459"/>
      <c r="D62" s="474"/>
      <c r="E62" s="459"/>
      <c r="F62" s="459"/>
      <c r="G62" s="459"/>
      <c r="H62" s="459"/>
      <c r="I62" s="459"/>
      <c r="J62" s="474"/>
      <c r="K62" s="459"/>
      <c r="L62" s="474"/>
      <c r="M62" s="459"/>
      <c r="N62" s="459"/>
      <c r="O62" s="472"/>
      <c r="P62" s="472"/>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c r="EX62" s="459"/>
      <c r="EY62" s="459"/>
      <c r="EZ62" s="459"/>
      <c r="FA62" s="459"/>
      <c r="FB62" s="459"/>
      <c r="FC62" s="459"/>
      <c r="FD62" s="459"/>
      <c r="FE62" s="459"/>
      <c r="FF62" s="459"/>
      <c r="FG62" s="459"/>
      <c r="FH62" s="459"/>
      <c r="FI62" s="459"/>
      <c r="FJ62" s="459"/>
      <c r="FK62" s="459"/>
      <c r="FL62" s="459"/>
      <c r="FM62" s="459"/>
      <c r="FN62" s="459"/>
      <c r="FO62" s="459"/>
      <c r="FP62" s="459"/>
      <c r="FQ62" s="459"/>
      <c r="FR62" s="459"/>
      <c r="FS62" s="459"/>
      <c r="FT62" s="459"/>
      <c r="FU62" s="459"/>
      <c r="FV62" s="459"/>
      <c r="FW62" s="459"/>
      <c r="FX62" s="459"/>
      <c r="FY62" s="459"/>
      <c r="FZ62" s="459"/>
      <c r="GA62" s="459"/>
      <c r="GB62" s="459"/>
      <c r="GC62" s="459"/>
      <c r="GD62" s="459"/>
      <c r="GE62" s="459"/>
      <c r="GF62" s="459"/>
      <c r="GG62" s="459"/>
      <c r="GH62" s="459"/>
      <c r="GI62" s="459"/>
      <c r="GJ62" s="459"/>
      <c r="GK62" s="459"/>
      <c r="GL62" s="459"/>
      <c r="GM62" s="459"/>
      <c r="GN62" s="459"/>
      <c r="GO62" s="459"/>
      <c r="GP62" s="459"/>
      <c r="GQ62" s="459"/>
      <c r="GR62" s="459"/>
      <c r="GS62" s="459"/>
      <c r="GT62" s="459"/>
      <c r="GU62" s="459"/>
      <c r="GV62" s="459"/>
      <c r="GW62" s="459"/>
      <c r="GX62" s="459"/>
      <c r="GY62" s="459"/>
      <c r="GZ62" s="459"/>
      <c r="HA62" s="459"/>
      <c r="HB62" s="459"/>
      <c r="HC62" s="459"/>
      <c r="HD62" s="459"/>
      <c r="HE62" s="459"/>
      <c r="HF62" s="459"/>
      <c r="HG62" s="459"/>
      <c r="HH62" s="459"/>
      <c r="HI62" s="459"/>
      <c r="HJ62" s="459"/>
      <c r="HK62" s="459"/>
      <c r="HL62" s="459"/>
      <c r="HM62" s="459"/>
      <c r="HN62" s="459"/>
      <c r="HO62" s="459"/>
      <c r="HP62" s="459"/>
      <c r="HQ62" s="459"/>
      <c r="HR62" s="459"/>
      <c r="HS62" s="459"/>
      <c r="HT62" s="459"/>
      <c r="HU62" s="459"/>
      <c r="HV62" s="459"/>
      <c r="HW62" s="459"/>
      <c r="HX62" s="459"/>
      <c r="HY62" s="459"/>
      <c r="HZ62" s="459"/>
      <c r="IA62" s="459"/>
      <c r="IB62" s="459"/>
      <c r="IC62" s="459"/>
      <c r="ID62" s="459"/>
      <c r="IE62" s="459"/>
      <c r="IF62" s="459"/>
      <c r="IG62" s="459"/>
      <c r="IH62" s="459"/>
      <c r="II62" s="459"/>
      <c r="IJ62" s="459"/>
      <c r="IK62" s="459"/>
      <c r="IL62" s="459"/>
      <c r="IM62" s="459"/>
      <c r="IN62" s="459"/>
      <c r="IO62" s="459"/>
      <c r="IP62" s="459"/>
      <c r="IQ62" s="459"/>
      <c r="IR62" s="459"/>
      <c r="IS62" s="459"/>
      <c r="IT62" s="459"/>
      <c r="IU62" s="459"/>
      <c r="IV62" s="459"/>
    </row>
    <row r="63" spans="1:256" ht="18">
      <c r="A63" s="475"/>
      <c r="B63" s="459"/>
      <c r="C63" s="459"/>
      <c r="D63" s="476"/>
      <c r="E63" s="464"/>
      <c r="F63" s="476"/>
      <c r="G63" s="464"/>
      <c r="H63" s="476"/>
      <c r="I63" s="464"/>
      <c r="J63" s="476"/>
      <c r="K63" s="464"/>
      <c r="L63" s="476"/>
      <c r="M63" s="459"/>
      <c r="N63" s="459"/>
      <c r="O63" s="472"/>
      <c r="P63" s="472"/>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c r="CJ63" s="459"/>
      <c r="CK63" s="459"/>
      <c r="CL63" s="459"/>
      <c r="CM63" s="459"/>
      <c r="CN63" s="459"/>
      <c r="CO63" s="459"/>
      <c r="CP63" s="459"/>
      <c r="CQ63" s="459"/>
      <c r="CR63" s="459"/>
      <c r="CS63" s="459"/>
      <c r="CT63" s="459"/>
      <c r="CU63" s="459"/>
      <c r="CV63" s="459"/>
      <c r="CW63" s="459"/>
      <c r="CX63" s="459"/>
      <c r="CY63" s="459"/>
      <c r="CZ63" s="459"/>
      <c r="DA63" s="459"/>
      <c r="DB63" s="459"/>
      <c r="DC63" s="459"/>
      <c r="DD63" s="459"/>
      <c r="DE63" s="459"/>
      <c r="DF63" s="459"/>
      <c r="DG63" s="459"/>
      <c r="DH63" s="459"/>
      <c r="DI63" s="459"/>
      <c r="DJ63" s="459"/>
      <c r="DK63" s="459"/>
      <c r="DL63" s="459"/>
      <c r="DM63" s="459"/>
      <c r="DN63" s="459"/>
      <c r="DO63" s="459"/>
      <c r="DP63" s="459"/>
      <c r="DQ63" s="459"/>
      <c r="DR63" s="459"/>
      <c r="DS63" s="459"/>
      <c r="DT63" s="459"/>
      <c r="DU63" s="459"/>
      <c r="DV63" s="459"/>
      <c r="DW63" s="459"/>
      <c r="DX63" s="459"/>
      <c r="DY63" s="459"/>
      <c r="DZ63" s="459"/>
      <c r="EA63" s="459"/>
      <c r="EB63" s="459"/>
      <c r="EC63" s="459"/>
      <c r="ED63" s="459"/>
      <c r="EE63" s="459"/>
      <c r="EF63" s="459"/>
      <c r="EG63" s="459"/>
      <c r="EH63" s="459"/>
      <c r="EI63" s="459"/>
      <c r="EJ63" s="459"/>
      <c r="EK63" s="459"/>
      <c r="EL63" s="459"/>
      <c r="EM63" s="459"/>
      <c r="EN63" s="459"/>
      <c r="EO63" s="459"/>
      <c r="EP63" s="459"/>
      <c r="EQ63" s="459"/>
      <c r="ER63" s="459"/>
      <c r="ES63" s="459"/>
      <c r="ET63" s="459"/>
      <c r="EU63" s="459"/>
      <c r="EV63" s="459"/>
      <c r="EW63" s="459"/>
      <c r="EX63" s="459"/>
      <c r="EY63" s="459"/>
      <c r="EZ63" s="459"/>
      <c r="FA63" s="459"/>
      <c r="FB63" s="459"/>
      <c r="FC63" s="459"/>
      <c r="FD63" s="459"/>
      <c r="FE63" s="459"/>
      <c r="FF63" s="459"/>
      <c r="FG63" s="459"/>
      <c r="FH63" s="459"/>
      <c r="FI63" s="459"/>
      <c r="FJ63" s="459"/>
      <c r="FK63" s="459"/>
      <c r="FL63" s="459"/>
      <c r="FM63" s="459"/>
      <c r="FN63" s="459"/>
      <c r="FO63" s="459"/>
      <c r="FP63" s="459"/>
      <c r="FQ63" s="459"/>
      <c r="FR63" s="459"/>
      <c r="FS63" s="459"/>
      <c r="FT63" s="459"/>
      <c r="FU63" s="459"/>
      <c r="FV63" s="459"/>
      <c r="FW63" s="459"/>
      <c r="FX63" s="459"/>
      <c r="FY63" s="459"/>
      <c r="FZ63" s="459"/>
      <c r="GA63" s="459"/>
      <c r="GB63" s="459"/>
      <c r="GC63" s="459"/>
      <c r="GD63" s="459"/>
      <c r="GE63" s="459"/>
      <c r="GF63" s="459"/>
      <c r="GG63" s="459"/>
      <c r="GH63" s="459"/>
      <c r="GI63" s="459"/>
      <c r="GJ63" s="459"/>
      <c r="GK63" s="459"/>
      <c r="GL63" s="459"/>
      <c r="GM63" s="459"/>
      <c r="GN63" s="459"/>
      <c r="GO63" s="459"/>
      <c r="GP63" s="459"/>
      <c r="GQ63" s="459"/>
      <c r="GR63" s="459"/>
      <c r="GS63" s="459"/>
      <c r="GT63" s="459"/>
      <c r="GU63" s="459"/>
      <c r="GV63" s="459"/>
      <c r="GW63" s="459"/>
      <c r="GX63" s="459"/>
      <c r="GY63" s="459"/>
      <c r="GZ63" s="459"/>
      <c r="HA63" s="459"/>
      <c r="HB63" s="459"/>
      <c r="HC63" s="459"/>
      <c r="HD63" s="459"/>
      <c r="HE63" s="459"/>
      <c r="HF63" s="459"/>
      <c r="HG63" s="459"/>
      <c r="HH63" s="459"/>
      <c r="HI63" s="459"/>
      <c r="HJ63" s="459"/>
      <c r="HK63" s="459"/>
      <c r="HL63" s="459"/>
      <c r="HM63" s="459"/>
      <c r="HN63" s="459"/>
      <c r="HO63" s="459"/>
      <c r="HP63" s="459"/>
      <c r="HQ63" s="459"/>
      <c r="HR63" s="459"/>
      <c r="HS63" s="459"/>
      <c r="HT63" s="459"/>
      <c r="HU63" s="459"/>
      <c r="HV63" s="459"/>
      <c r="HW63" s="459"/>
      <c r="HX63" s="459"/>
      <c r="HY63" s="459"/>
      <c r="HZ63" s="459"/>
      <c r="IA63" s="459"/>
      <c r="IB63" s="459"/>
      <c r="IC63" s="459"/>
      <c r="ID63" s="459"/>
      <c r="IE63" s="459"/>
      <c r="IF63" s="459"/>
      <c r="IG63" s="459"/>
      <c r="IH63" s="459"/>
      <c r="II63" s="459"/>
      <c r="IJ63" s="459"/>
      <c r="IK63" s="459"/>
      <c r="IL63" s="459"/>
      <c r="IM63" s="459"/>
      <c r="IN63" s="459"/>
      <c r="IO63" s="459"/>
      <c r="IP63" s="459"/>
      <c r="IQ63" s="459"/>
      <c r="IR63" s="459"/>
      <c r="IS63" s="459"/>
      <c r="IT63" s="459"/>
      <c r="IU63" s="459"/>
      <c r="IV63" s="459"/>
    </row>
    <row r="64" spans="1:256" ht="18">
      <c r="A64" s="459"/>
      <c r="B64" s="459"/>
      <c r="C64" s="459"/>
      <c r="D64" s="464"/>
      <c r="E64" s="459"/>
      <c r="F64" s="464"/>
      <c r="G64" s="459"/>
      <c r="H64" s="464"/>
      <c r="I64" s="459"/>
      <c r="J64" s="464"/>
      <c r="K64" s="459"/>
      <c r="L64" s="464"/>
      <c r="M64" s="459"/>
      <c r="N64" s="459"/>
      <c r="O64" s="472"/>
      <c r="P64" s="472"/>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59"/>
      <c r="FS64" s="459"/>
      <c r="FT64" s="459"/>
      <c r="FU64" s="459"/>
      <c r="FV64" s="459"/>
      <c r="FW64" s="459"/>
      <c r="FX64" s="459"/>
      <c r="FY64" s="459"/>
      <c r="FZ64" s="459"/>
      <c r="GA64" s="459"/>
      <c r="GB64" s="459"/>
      <c r="GC64" s="459"/>
      <c r="GD64" s="459"/>
      <c r="GE64" s="459"/>
      <c r="GF64" s="459"/>
      <c r="GG64" s="459"/>
      <c r="GH64" s="459"/>
      <c r="GI64" s="459"/>
      <c r="GJ64" s="459"/>
      <c r="GK64" s="459"/>
      <c r="GL64" s="459"/>
      <c r="GM64" s="459"/>
      <c r="GN64" s="459"/>
      <c r="GO64" s="459"/>
      <c r="GP64" s="459"/>
      <c r="GQ64" s="459"/>
      <c r="GR64" s="459"/>
      <c r="GS64" s="459"/>
      <c r="GT64" s="459"/>
      <c r="GU64" s="459"/>
      <c r="GV64" s="459"/>
      <c r="GW64" s="459"/>
      <c r="GX64" s="459"/>
      <c r="GY64" s="459"/>
      <c r="GZ64" s="459"/>
      <c r="HA64" s="459"/>
      <c r="HB64" s="459"/>
      <c r="HC64" s="459"/>
      <c r="HD64" s="459"/>
      <c r="HE64" s="459"/>
      <c r="HF64" s="459"/>
      <c r="HG64" s="459"/>
      <c r="HH64" s="459"/>
      <c r="HI64" s="459"/>
      <c r="HJ64" s="459"/>
      <c r="HK64" s="459"/>
      <c r="HL64" s="459"/>
      <c r="HM64" s="459"/>
      <c r="HN64" s="459"/>
      <c r="HO64" s="459"/>
      <c r="HP64" s="459"/>
      <c r="HQ64" s="459"/>
      <c r="HR64" s="459"/>
      <c r="HS64" s="459"/>
      <c r="HT64" s="459"/>
      <c r="HU64" s="459"/>
      <c r="HV64" s="459"/>
      <c r="HW64" s="459"/>
      <c r="HX64" s="459"/>
      <c r="HY64" s="459"/>
      <c r="HZ64" s="459"/>
      <c r="IA64" s="459"/>
      <c r="IB64" s="459"/>
      <c r="IC64" s="459"/>
      <c r="ID64" s="459"/>
      <c r="IE64" s="459"/>
      <c r="IF64" s="459"/>
      <c r="IG64" s="459"/>
      <c r="IH64" s="459"/>
      <c r="II64" s="459"/>
      <c r="IJ64" s="459"/>
      <c r="IK64" s="459"/>
      <c r="IL64" s="459"/>
      <c r="IM64" s="459"/>
      <c r="IN64" s="459"/>
      <c r="IO64" s="459"/>
      <c r="IP64" s="459"/>
      <c r="IQ64" s="459"/>
      <c r="IR64" s="459"/>
      <c r="IS64" s="459"/>
      <c r="IT64" s="459"/>
      <c r="IU64" s="459"/>
      <c r="IV64" s="459"/>
    </row>
    <row r="65" spans="1:256" ht="18">
      <c r="A65" s="462"/>
      <c r="B65" s="459"/>
      <c r="C65" s="459"/>
      <c r="D65" s="459"/>
      <c r="E65" s="459"/>
      <c r="F65" s="459"/>
      <c r="G65" s="459"/>
      <c r="H65" s="459"/>
      <c r="I65" s="459"/>
      <c r="J65" s="459"/>
      <c r="K65" s="459"/>
      <c r="L65" s="459"/>
      <c r="M65" s="459"/>
      <c r="N65" s="459"/>
      <c r="O65" s="472"/>
      <c r="P65" s="472"/>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459"/>
      <c r="DJ65" s="459"/>
      <c r="DK65" s="459"/>
      <c r="DL65" s="459"/>
      <c r="DM65" s="459"/>
      <c r="DN65" s="459"/>
      <c r="DO65" s="459"/>
      <c r="DP65" s="459"/>
      <c r="DQ65" s="459"/>
      <c r="DR65" s="459"/>
      <c r="DS65" s="459"/>
      <c r="DT65" s="459"/>
      <c r="DU65" s="459"/>
      <c r="DV65" s="459"/>
      <c r="DW65" s="459"/>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459"/>
      <c r="EY65" s="459"/>
      <c r="EZ65" s="459"/>
      <c r="FA65" s="459"/>
      <c r="FB65" s="459"/>
      <c r="FC65" s="459"/>
      <c r="FD65" s="459"/>
      <c r="FE65" s="459"/>
      <c r="FF65" s="459"/>
      <c r="FG65" s="459"/>
      <c r="FH65" s="459"/>
      <c r="FI65" s="459"/>
      <c r="FJ65" s="459"/>
      <c r="FK65" s="459"/>
      <c r="FL65" s="459"/>
      <c r="FM65" s="459"/>
      <c r="FN65" s="459"/>
      <c r="FO65" s="459"/>
      <c r="FP65" s="459"/>
      <c r="FQ65" s="459"/>
      <c r="FR65" s="459"/>
      <c r="FS65" s="459"/>
      <c r="FT65" s="459"/>
      <c r="FU65" s="459"/>
      <c r="FV65" s="459"/>
      <c r="FW65" s="459"/>
      <c r="FX65" s="459"/>
      <c r="FY65" s="459"/>
      <c r="FZ65" s="459"/>
      <c r="GA65" s="459"/>
      <c r="GB65" s="459"/>
      <c r="GC65" s="459"/>
      <c r="GD65" s="459"/>
      <c r="GE65" s="459"/>
      <c r="GF65" s="459"/>
      <c r="GG65" s="459"/>
      <c r="GH65" s="459"/>
      <c r="GI65" s="459"/>
      <c r="GJ65" s="459"/>
      <c r="GK65" s="459"/>
      <c r="GL65" s="459"/>
      <c r="GM65" s="459"/>
      <c r="GN65" s="459"/>
      <c r="GO65" s="459"/>
      <c r="GP65" s="459"/>
      <c r="GQ65" s="459"/>
      <c r="GR65" s="459"/>
      <c r="GS65" s="459"/>
      <c r="GT65" s="459"/>
      <c r="GU65" s="459"/>
      <c r="GV65" s="459"/>
      <c r="GW65" s="459"/>
      <c r="GX65" s="459"/>
      <c r="GY65" s="459"/>
      <c r="GZ65" s="459"/>
      <c r="HA65" s="459"/>
      <c r="HB65" s="459"/>
      <c r="HC65" s="459"/>
      <c r="HD65" s="459"/>
      <c r="HE65" s="459"/>
      <c r="HF65" s="459"/>
      <c r="HG65" s="459"/>
      <c r="HH65" s="459"/>
      <c r="HI65" s="459"/>
      <c r="HJ65" s="459"/>
      <c r="HK65" s="459"/>
      <c r="HL65" s="459"/>
      <c r="HM65" s="459"/>
      <c r="HN65" s="459"/>
      <c r="HO65" s="459"/>
      <c r="HP65" s="459"/>
      <c r="HQ65" s="459"/>
      <c r="HR65" s="459"/>
      <c r="HS65" s="459"/>
      <c r="HT65" s="459"/>
      <c r="HU65" s="459"/>
      <c r="HV65" s="459"/>
      <c r="HW65" s="459"/>
      <c r="HX65" s="459"/>
      <c r="HY65" s="459"/>
      <c r="HZ65" s="459"/>
      <c r="IA65" s="459"/>
      <c r="IB65" s="459"/>
      <c r="IC65" s="459"/>
      <c r="ID65" s="459"/>
      <c r="IE65" s="459"/>
      <c r="IF65" s="459"/>
      <c r="IG65" s="459"/>
      <c r="IH65" s="459"/>
      <c r="II65" s="459"/>
      <c r="IJ65" s="459"/>
      <c r="IK65" s="459"/>
      <c r="IL65" s="459"/>
      <c r="IM65" s="459"/>
      <c r="IN65" s="459"/>
      <c r="IO65" s="459"/>
      <c r="IP65" s="459"/>
      <c r="IQ65" s="459"/>
      <c r="IR65" s="459"/>
      <c r="IS65" s="459"/>
      <c r="IT65" s="459"/>
      <c r="IU65" s="459"/>
      <c r="IV65" s="459"/>
    </row>
    <row r="66" spans="1:256" ht="18">
      <c r="A66" s="459"/>
      <c r="B66" s="459"/>
      <c r="C66" s="459"/>
      <c r="D66" s="459"/>
      <c r="E66" s="459"/>
      <c r="F66" s="459"/>
      <c r="G66" s="459"/>
      <c r="H66" s="459"/>
      <c r="I66" s="459"/>
      <c r="J66" s="459"/>
      <c r="K66" s="459"/>
      <c r="L66" s="459"/>
      <c r="M66" s="459"/>
      <c r="N66" s="459"/>
      <c r="O66" s="472"/>
      <c r="P66" s="472"/>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c r="HQ66" s="459"/>
      <c r="HR66" s="459"/>
      <c r="HS66" s="459"/>
      <c r="HT66" s="459"/>
      <c r="HU66" s="459"/>
      <c r="HV66" s="459"/>
      <c r="HW66" s="459"/>
      <c r="HX66" s="459"/>
      <c r="HY66" s="459"/>
      <c r="HZ66" s="459"/>
      <c r="IA66" s="459"/>
      <c r="IB66" s="459"/>
      <c r="IC66" s="459"/>
      <c r="ID66" s="459"/>
      <c r="IE66" s="459"/>
      <c r="IF66" s="459"/>
      <c r="IG66" s="459"/>
      <c r="IH66" s="459"/>
      <c r="II66" s="459"/>
      <c r="IJ66" s="459"/>
      <c r="IK66" s="459"/>
      <c r="IL66" s="459"/>
      <c r="IM66" s="459"/>
      <c r="IN66" s="459"/>
      <c r="IO66" s="459"/>
      <c r="IP66" s="459"/>
      <c r="IQ66" s="459"/>
      <c r="IR66" s="459"/>
      <c r="IS66" s="459"/>
      <c r="IT66" s="459"/>
      <c r="IU66" s="459"/>
      <c r="IV66" s="459"/>
    </row>
    <row r="67" spans="1:256" ht="20.100000000000001" customHeight="1">
      <c r="A67" s="459"/>
      <c r="B67" s="459"/>
      <c r="C67" s="477"/>
      <c r="D67" s="478"/>
      <c r="E67" s="477"/>
      <c r="F67" s="479"/>
      <c r="G67" s="477"/>
      <c r="H67" s="480"/>
      <c r="I67" s="477"/>
      <c r="J67" s="481"/>
      <c r="K67" s="477"/>
      <c r="L67" s="478"/>
      <c r="M67" s="459"/>
      <c r="N67" s="459"/>
      <c r="O67" s="472"/>
      <c r="P67" s="472"/>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459"/>
      <c r="HD67" s="459"/>
      <c r="HE67" s="459"/>
      <c r="HF67" s="459"/>
      <c r="HG67" s="459"/>
      <c r="HH67" s="459"/>
      <c r="HI67" s="459"/>
      <c r="HJ67" s="459"/>
      <c r="HK67" s="459"/>
      <c r="HL67" s="459"/>
      <c r="HM67" s="459"/>
      <c r="HN67" s="459"/>
      <c r="HO67" s="459"/>
      <c r="HP67" s="459"/>
      <c r="HQ67" s="459"/>
      <c r="HR67" s="459"/>
      <c r="HS67" s="459"/>
      <c r="HT67" s="459"/>
      <c r="HU67" s="459"/>
      <c r="HV67" s="459"/>
      <c r="HW67" s="459"/>
      <c r="HX67" s="459"/>
      <c r="HY67" s="459"/>
      <c r="HZ67" s="459"/>
      <c r="IA67" s="459"/>
      <c r="IB67" s="459"/>
      <c r="IC67" s="459"/>
      <c r="ID67" s="459"/>
      <c r="IE67" s="459"/>
      <c r="IF67" s="459"/>
      <c r="IG67" s="459"/>
      <c r="IH67" s="459"/>
      <c r="II67" s="459"/>
      <c r="IJ67" s="459"/>
      <c r="IK67" s="459"/>
      <c r="IL67" s="459"/>
      <c r="IM67" s="459"/>
      <c r="IN67" s="459"/>
      <c r="IO67" s="459"/>
      <c r="IP67" s="459"/>
      <c r="IQ67" s="459"/>
      <c r="IR67" s="459"/>
      <c r="IS67" s="459"/>
      <c r="IT67" s="459"/>
      <c r="IU67" s="459"/>
      <c r="IV67" s="459"/>
    </row>
    <row r="68" spans="1:256" ht="20.100000000000001" customHeight="1">
      <c r="A68" s="459"/>
      <c r="B68" s="459"/>
      <c r="C68" s="459"/>
      <c r="D68" s="478"/>
      <c r="E68" s="459"/>
      <c r="F68" s="459"/>
      <c r="G68" s="459"/>
      <c r="H68" s="480"/>
      <c r="I68" s="459"/>
      <c r="J68" s="481"/>
      <c r="K68" s="459"/>
      <c r="L68" s="478"/>
      <c r="M68" s="459"/>
      <c r="N68" s="459"/>
      <c r="O68" s="472"/>
      <c r="P68" s="472"/>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459"/>
      <c r="DJ68" s="459"/>
      <c r="DK68" s="459"/>
      <c r="DL68" s="459"/>
      <c r="DM68" s="459"/>
      <c r="DN68" s="459"/>
      <c r="DO68" s="459"/>
      <c r="DP68" s="459"/>
      <c r="DQ68" s="459"/>
      <c r="DR68" s="459"/>
      <c r="DS68" s="459"/>
      <c r="DT68" s="459"/>
      <c r="DU68" s="459"/>
      <c r="DV68" s="459"/>
      <c r="DW68" s="459"/>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459"/>
      <c r="EY68" s="459"/>
      <c r="EZ68" s="459"/>
      <c r="FA68" s="459"/>
      <c r="FB68" s="459"/>
      <c r="FC68" s="459"/>
      <c r="FD68" s="459"/>
      <c r="FE68" s="459"/>
      <c r="FF68" s="459"/>
      <c r="FG68" s="459"/>
      <c r="FH68" s="459"/>
      <c r="FI68" s="459"/>
      <c r="FJ68" s="459"/>
      <c r="FK68" s="459"/>
      <c r="FL68" s="459"/>
      <c r="FM68" s="459"/>
      <c r="FN68" s="459"/>
      <c r="FO68" s="459"/>
      <c r="FP68" s="459"/>
      <c r="FQ68" s="459"/>
      <c r="FR68" s="459"/>
      <c r="FS68" s="459"/>
      <c r="FT68" s="459"/>
      <c r="FU68" s="459"/>
      <c r="FV68" s="459"/>
      <c r="FW68" s="459"/>
      <c r="FX68" s="459"/>
      <c r="FY68" s="459"/>
      <c r="FZ68" s="459"/>
      <c r="GA68" s="459"/>
      <c r="GB68" s="459"/>
      <c r="GC68" s="459"/>
      <c r="GD68" s="459"/>
      <c r="GE68" s="459"/>
      <c r="GF68" s="459"/>
      <c r="GG68" s="459"/>
      <c r="GH68" s="459"/>
      <c r="GI68" s="459"/>
      <c r="GJ68" s="459"/>
      <c r="GK68" s="459"/>
      <c r="GL68" s="459"/>
      <c r="GM68" s="459"/>
      <c r="GN68" s="459"/>
      <c r="GO68" s="459"/>
      <c r="GP68" s="459"/>
      <c r="GQ68" s="459"/>
      <c r="GR68" s="459"/>
      <c r="GS68" s="459"/>
      <c r="GT68" s="459"/>
      <c r="GU68" s="459"/>
      <c r="GV68" s="459"/>
      <c r="GW68" s="459"/>
      <c r="GX68" s="459"/>
      <c r="GY68" s="459"/>
      <c r="GZ68" s="459"/>
      <c r="HA68" s="459"/>
      <c r="HB68" s="459"/>
      <c r="HC68" s="459"/>
      <c r="HD68" s="459"/>
      <c r="HE68" s="459"/>
      <c r="HF68" s="459"/>
      <c r="HG68" s="459"/>
      <c r="HH68" s="459"/>
      <c r="HI68" s="459"/>
      <c r="HJ68" s="459"/>
      <c r="HK68" s="459"/>
      <c r="HL68" s="459"/>
      <c r="HM68" s="459"/>
      <c r="HN68" s="459"/>
      <c r="HO68" s="459"/>
      <c r="HP68" s="459"/>
      <c r="HQ68" s="459"/>
      <c r="HR68" s="459"/>
      <c r="HS68" s="459"/>
      <c r="HT68" s="459"/>
      <c r="HU68" s="459"/>
      <c r="HV68" s="459"/>
      <c r="HW68" s="459"/>
      <c r="HX68" s="459"/>
      <c r="HY68" s="459"/>
      <c r="HZ68" s="459"/>
      <c r="IA68" s="459"/>
      <c r="IB68" s="459"/>
      <c r="IC68" s="459"/>
      <c r="ID68" s="459"/>
      <c r="IE68" s="459"/>
      <c r="IF68" s="459"/>
      <c r="IG68" s="459"/>
      <c r="IH68" s="459"/>
      <c r="II68" s="459"/>
      <c r="IJ68" s="459"/>
      <c r="IK68" s="459"/>
      <c r="IL68" s="459"/>
      <c r="IM68" s="459"/>
      <c r="IN68" s="459"/>
      <c r="IO68" s="459"/>
      <c r="IP68" s="459"/>
      <c r="IQ68" s="459"/>
      <c r="IR68" s="459"/>
      <c r="IS68" s="459"/>
      <c r="IT68" s="459"/>
      <c r="IU68" s="459"/>
      <c r="IV68" s="459"/>
    </row>
    <row r="69" spans="1:256" ht="20.100000000000001" customHeight="1">
      <c r="A69" s="459"/>
      <c r="B69" s="459"/>
      <c r="C69" s="459"/>
      <c r="D69" s="478"/>
      <c r="E69" s="459"/>
      <c r="F69" s="459"/>
      <c r="G69" s="459"/>
      <c r="H69" s="482"/>
      <c r="I69" s="459"/>
      <c r="J69" s="481"/>
      <c r="K69" s="459"/>
      <c r="L69" s="478"/>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c r="HQ69" s="459"/>
      <c r="HR69" s="459"/>
      <c r="HS69" s="459"/>
      <c r="HT69" s="459"/>
      <c r="HU69" s="459"/>
      <c r="HV69" s="459"/>
      <c r="HW69" s="459"/>
      <c r="HX69" s="459"/>
      <c r="HY69" s="459"/>
      <c r="HZ69" s="459"/>
      <c r="IA69" s="459"/>
      <c r="IB69" s="459"/>
      <c r="IC69" s="459"/>
      <c r="ID69" s="459"/>
      <c r="IE69" s="459"/>
      <c r="IF69" s="459"/>
      <c r="IG69" s="459"/>
      <c r="IH69" s="459"/>
      <c r="II69" s="459"/>
      <c r="IJ69" s="459"/>
      <c r="IK69" s="459"/>
      <c r="IL69" s="459"/>
      <c r="IM69" s="459"/>
      <c r="IN69" s="459"/>
      <c r="IO69" s="459"/>
      <c r="IP69" s="459"/>
      <c r="IQ69" s="459"/>
      <c r="IR69" s="459"/>
      <c r="IS69" s="459"/>
      <c r="IT69" s="459"/>
      <c r="IU69" s="459"/>
      <c r="IV69" s="459"/>
    </row>
    <row r="70" spans="1:256" ht="20.100000000000001" customHeight="1">
      <c r="A70" s="459"/>
      <c r="B70" s="459"/>
      <c r="C70" s="459"/>
      <c r="D70" s="478"/>
      <c r="E70" s="459"/>
      <c r="F70" s="459"/>
      <c r="G70" s="459"/>
      <c r="H70" s="480"/>
      <c r="I70" s="459"/>
      <c r="J70" s="481"/>
      <c r="K70" s="459"/>
      <c r="L70" s="478"/>
      <c r="M70" s="459"/>
      <c r="N70" s="459"/>
      <c r="O70" s="472"/>
      <c r="P70" s="472"/>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459"/>
      <c r="FH70" s="459"/>
      <c r="FI70" s="459"/>
      <c r="FJ70" s="459"/>
      <c r="FK70" s="459"/>
      <c r="FL70" s="459"/>
      <c r="FM70" s="459"/>
      <c r="FN70" s="459"/>
      <c r="FO70" s="459"/>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459"/>
      <c r="GL70" s="459"/>
      <c r="GM70" s="459"/>
      <c r="GN70" s="459"/>
      <c r="GO70" s="459"/>
      <c r="GP70" s="459"/>
      <c r="GQ70" s="459"/>
      <c r="GR70" s="459"/>
      <c r="GS70" s="459"/>
      <c r="GT70" s="459"/>
      <c r="GU70" s="459"/>
      <c r="GV70" s="459"/>
      <c r="GW70" s="459"/>
      <c r="GX70" s="459"/>
      <c r="GY70" s="459"/>
      <c r="GZ70" s="459"/>
      <c r="HA70" s="459"/>
      <c r="HB70" s="459"/>
      <c r="HC70" s="459"/>
      <c r="HD70" s="459"/>
      <c r="HE70" s="459"/>
      <c r="HF70" s="459"/>
      <c r="HG70" s="459"/>
      <c r="HH70" s="459"/>
      <c r="HI70" s="459"/>
      <c r="HJ70" s="459"/>
      <c r="HK70" s="459"/>
      <c r="HL70" s="459"/>
      <c r="HM70" s="459"/>
      <c r="HN70" s="459"/>
      <c r="HO70" s="459"/>
      <c r="HP70" s="459"/>
      <c r="HQ70" s="459"/>
      <c r="HR70" s="459"/>
      <c r="HS70" s="459"/>
      <c r="HT70" s="459"/>
      <c r="HU70" s="459"/>
      <c r="HV70" s="459"/>
      <c r="HW70" s="459"/>
      <c r="HX70" s="459"/>
      <c r="HY70" s="459"/>
      <c r="HZ70" s="459"/>
      <c r="IA70" s="459"/>
      <c r="IB70" s="459"/>
      <c r="IC70" s="459"/>
      <c r="ID70" s="459"/>
      <c r="IE70" s="459"/>
      <c r="IF70" s="459"/>
      <c r="IG70" s="459"/>
      <c r="IH70" s="459"/>
      <c r="II70" s="459"/>
      <c r="IJ70" s="459"/>
      <c r="IK70" s="459"/>
      <c r="IL70" s="459"/>
      <c r="IM70" s="459"/>
      <c r="IN70" s="459"/>
      <c r="IO70" s="459"/>
      <c r="IP70" s="459"/>
      <c r="IQ70" s="459"/>
      <c r="IR70" s="459"/>
      <c r="IS70" s="459"/>
      <c r="IT70" s="459"/>
      <c r="IU70" s="459"/>
      <c r="IV70" s="459"/>
    </row>
    <row r="71" spans="1:256" ht="20.100000000000001" customHeight="1">
      <c r="A71" s="459"/>
      <c r="B71" s="459"/>
      <c r="C71" s="459"/>
      <c r="D71" s="478"/>
      <c r="E71" s="459"/>
      <c r="F71" s="459"/>
      <c r="G71" s="459"/>
      <c r="H71" s="480"/>
      <c r="I71" s="459"/>
      <c r="J71" s="481"/>
      <c r="K71" s="459"/>
      <c r="L71" s="478"/>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459"/>
      <c r="HD71" s="459"/>
      <c r="HE71" s="459"/>
      <c r="HF71" s="459"/>
      <c r="HG71" s="459"/>
      <c r="HH71" s="459"/>
      <c r="HI71" s="459"/>
      <c r="HJ71" s="459"/>
      <c r="HK71" s="459"/>
      <c r="HL71" s="459"/>
      <c r="HM71" s="459"/>
      <c r="HN71" s="459"/>
      <c r="HO71" s="459"/>
      <c r="HP71" s="459"/>
      <c r="HQ71" s="459"/>
      <c r="HR71" s="459"/>
      <c r="HS71" s="459"/>
      <c r="HT71" s="459"/>
      <c r="HU71" s="459"/>
      <c r="HV71" s="459"/>
      <c r="HW71" s="459"/>
      <c r="HX71" s="459"/>
      <c r="HY71" s="459"/>
      <c r="HZ71" s="459"/>
      <c r="IA71" s="459"/>
      <c r="IB71" s="459"/>
      <c r="IC71" s="459"/>
      <c r="ID71" s="459"/>
      <c r="IE71" s="459"/>
      <c r="IF71" s="459"/>
      <c r="IG71" s="459"/>
      <c r="IH71" s="459"/>
      <c r="II71" s="459"/>
      <c r="IJ71" s="459"/>
      <c r="IK71" s="459"/>
      <c r="IL71" s="459"/>
      <c r="IM71" s="459"/>
      <c r="IN71" s="459"/>
      <c r="IO71" s="459"/>
      <c r="IP71" s="459"/>
      <c r="IQ71" s="459"/>
      <c r="IR71" s="459"/>
      <c r="IS71" s="459"/>
      <c r="IT71" s="459"/>
      <c r="IU71" s="459"/>
      <c r="IV71" s="459"/>
    </row>
    <row r="72" spans="1:256" ht="20.100000000000001" customHeight="1">
      <c r="A72" s="459"/>
      <c r="B72" s="459"/>
      <c r="C72" s="459"/>
      <c r="D72" s="478"/>
      <c r="E72" s="459"/>
      <c r="F72" s="459"/>
      <c r="G72" s="459"/>
      <c r="H72" s="483"/>
      <c r="I72" s="459"/>
      <c r="J72" s="481"/>
      <c r="K72" s="459"/>
      <c r="L72" s="478"/>
      <c r="M72" s="459"/>
      <c r="N72" s="459"/>
      <c r="O72" s="472"/>
      <c r="P72" s="472"/>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459"/>
      <c r="DJ72" s="459"/>
      <c r="DK72" s="459"/>
      <c r="DL72" s="459"/>
      <c r="DM72" s="459"/>
      <c r="DN72" s="459"/>
      <c r="DO72" s="459"/>
      <c r="DP72" s="459"/>
      <c r="DQ72" s="459"/>
      <c r="DR72" s="459"/>
      <c r="DS72" s="459"/>
      <c r="DT72" s="459"/>
      <c r="DU72" s="459"/>
      <c r="DV72" s="459"/>
      <c r="DW72" s="459"/>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459"/>
      <c r="EY72" s="459"/>
      <c r="EZ72" s="459"/>
      <c r="FA72" s="459"/>
      <c r="FB72" s="459"/>
      <c r="FC72" s="459"/>
      <c r="FD72" s="459"/>
      <c r="FE72" s="459"/>
      <c r="FF72" s="459"/>
      <c r="FG72" s="459"/>
      <c r="FH72" s="459"/>
      <c r="FI72" s="459"/>
      <c r="FJ72" s="459"/>
      <c r="FK72" s="459"/>
      <c r="FL72" s="459"/>
      <c r="FM72" s="459"/>
      <c r="FN72" s="459"/>
      <c r="FO72" s="459"/>
      <c r="FP72" s="459"/>
      <c r="FQ72" s="459"/>
      <c r="FR72" s="459"/>
      <c r="FS72" s="459"/>
      <c r="FT72" s="459"/>
      <c r="FU72" s="459"/>
      <c r="FV72" s="459"/>
      <c r="FW72" s="459"/>
      <c r="FX72" s="459"/>
      <c r="FY72" s="459"/>
      <c r="FZ72" s="459"/>
      <c r="GA72" s="459"/>
      <c r="GB72" s="459"/>
      <c r="GC72" s="459"/>
      <c r="GD72" s="459"/>
      <c r="GE72" s="459"/>
      <c r="GF72" s="459"/>
      <c r="GG72" s="459"/>
      <c r="GH72" s="459"/>
      <c r="GI72" s="459"/>
      <c r="GJ72" s="459"/>
      <c r="GK72" s="459"/>
      <c r="GL72" s="459"/>
      <c r="GM72" s="459"/>
      <c r="GN72" s="459"/>
      <c r="GO72" s="459"/>
      <c r="GP72" s="459"/>
      <c r="GQ72" s="459"/>
      <c r="GR72" s="459"/>
      <c r="GS72" s="459"/>
      <c r="GT72" s="459"/>
      <c r="GU72" s="459"/>
      <c r="GV72" s="459"/>
      <c r="GW72" s="459"/>
      <c r="GX72" s="459"/>
      <c r="GY72" s="459"/>
      <c r="GZ72" s="459"/>
      <c r="HA72" s="459"/>
      <c r="HB72" s="459"/>
      <c r="HC72" s="459"/>
      <c r="HD72" s="459"/>
      <c r="HE72" s="459"/>
      <c r="HF72" s="459"/>
      <c r="HG72" s="459"/>
      <c r="HH72" s="459"/>
      <c r="HI72" s="459"/>
      <c r="HJ72" s="459"/>
      <c r="HK72" s="459"/>
      <c r="HL72" s="459"/>
      <c r="HM72" s="459"/>
      <c r="HN72" s="459"/>
      <c r="HO72" s="459"/>
      <c r="HP72" s="459"/>
      <c r="HQ72" s="459"/>
      <c r="HR72" s="459"/>
      <c r="HS72" s="459"/>
      <c r="HT72" s="459"/>
      <c r="HU72" s="459"/>
      <c r="HV72" s="459"/>
      <c r="HW72" s="459"/>
      <c r="HX72" s="459"/>
      <c r="HY72" s="459"/>
      <c r="HZ72" s="459"/>
      <c r="IA72" s="459"/>
      <c r="IB72" s="459"/>
      <c r="IC72" s="459"/>
      <c r="ID72" s="459"/>
      <c r="IE72" s="459"/>
      <c r="IF72" s="459"/>
      <c r="IG72" s="459"/>
      <c r="IH72" s="459"/>
      <c r="II72" s="459"/>
      <c r="IJ72" s="459"/>
      <c r="IK72" s="459"/>
      <c r="IL72" s="459"/>
      <c r="IM72" s="459"/>
      <c r="IN72" s="459"/>
      <c r="IO72" s="459"/>
      <c r="IP72" s="459"/>
      <c r="IQ72" s="459"/>
      <c r="IR72" s="459"/>
      <c r="IS72" s="459"/>
      <c r="IT72" s="459"/>
      <c r="IU72" s="459"/>
      <c r="IV72" s="459"/>
    </row>
    <row r="73" spans="1:256" ht="18">
      <c r="A73" s="723"/>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59"/>
      <c r="DQ73" s="459"/>
      <c r="DR73" s="459"/>
      <c r="DS73" s="459"/>
      <c r="DT73" s="459"/>
      <c r="DU73" s="459"/>
      <c r="DV73" s="459"/>
      <c r="DW73" s="459"/>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459"/>
      <c r="EY73" s="459"/>
      <c r="EZ73" s="459"/>
      <c r="FA73" s="459"/>
      <c r="FB73" s="459"/>
      <c r="FC73" s="459"/>
      <c r="FD73" s="459"/>
      <c r="FE73" s="459"/>
      <c r="FF73" s="459"/>
      <c r="FG73" s="459"/>
      <c r="FH73" s="459"/>
      <c r="FI73" s="459"/>
      <c r="FJ73" s="459"/>
      <c r="FK73" s="459"/>
      <c r="FL73" s="459"/>
      <c r="FM73" s="459"/>
      <c r="FN73" s="459"/>
      <c r="FO73" s="459"/>
      <c r="FP73" s="459"/>
      <c r="FQ73" s="459"/>
      <c r="FR73" s="459"/>
      <c r="FS73" s="459"/>
      <c r="FT73" s="459"/>
      <c r="FU73" s="459"/>
      <c r="FV73" s="459"/>
      <c r="FW73" s="459"/>
      <c r="FX73" s="459"/>
      <c r="FY73" s="459"/>
      <c r="FZ73" s="459"/>
      <c r="GA73" s="459"/>
      <c r="GB73" s="459"/>
      <c r="GC73" s="459"/>
      <c r="GD73" s="459"/>
      <c r="GE73" s="459"/>
      <c r="GF73" s="459"/>
      <c r="GG73" s="459"/>
      <c r="GH73" s="459"/>
      <c r="GI73" s="459"/>
      <c r="GJ73" s="459"/>
      <c r="GK73" s="459"/>
      <c r="GL73" s="459"/>
      <c r="GM73" s="459"/>
      <c r="GN73" s="459"/>
      <c r="GO73" s="459"/>
      <c r="GP73" s="459"/>
      <c r="GQ73" s="459"/>
      <c r="GR73" s="459"/>
      <c r="GS73" s="459"/>
      <c r="GT73" s="459"/>
      <c r="GU73" s="459"/>
      <c r="GV73" s="459"/>
      <c r="GW73" s="459"/>
      <c r="GX73" s="459"/>
      <c r="GY73" s="459"/>
      <c r="GZ73" s="459"/>
      <c r="HA73" s="459"/>
      <c r="HB73" s="459"/>
      <c r="HC73" s="459"/>
      <c r="HD73" s="459"/>
      <c r="HE73" s="459"/>
      <c r="HF73" s="459"/>
      <c r="HG73" s="459"/>
      <c r="HH73" s="459"/>
      <c r="HI73" s="459"/>
      <c r="HJ73" s="459"/>
      <c r="HK73" s="459"/>
      <c r="HL73" s="459"/>
      <c r="HM73" s="459"/>
      <c r="HN73" s="459"/>
      <c r="HO73" s="459"/>
      <c r="HP73" s="459"/>
      <c r="HQ73" s="459"/>
      <c r="HR73" s="459"/>
      <c r="HS73" s="459"/>
      <c r="HT73" s="459"/>
      <c r="HU73" s="459"/>
      <c r="HV73" s="459"/>
      <c r="HW73" s="459"/>
      <c r="HX73" s="459"/>
      <c r="HY73" s="459"/>
      <c r="HZ73" s="459"/>
      <c r="IA73" s="459"/>
      <c r="IB73" s="459"/>
      <c r="IC73" s="459"/>
      <c r="ID73" s="459"/>
      <c r="IE73" s="459"/>
      <c r="IF73" s="459"/>
      <c r="IG73" s="459"/>
      <c r="IH73" s="459"/>
      <c r="II73" s="459"/>
      <c r="IJ73" s="459"/>
      <c r="IK73" s="459"/>
      <c r="IL73" s="459"/>
      <c r="IM73" s="459"/>
      <c r="IN73" s="459"/>
      <c r="IO73" s="459"/>
      <c r="IP73" s="459"/>
      <c r="IQ73" s="459"/>
      <c r="IR73" s="459"/>
      <c r="IS73" s="459"/>
      <c r="IT73" s="459"/>
      <c r="IU73" s="459"/>
      <c r="IV73" s="459"/>
    </row>
    <row r="74" spans="1:256" ht="18">
      <c r="A74" s="484"/>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459"/>
      <c r="DJ74" s="459"/>
      <c r="DK74" s="459"/>
      <c r="DL74" s="459"/>
      <c r="DM74" s="459"/>
      <c r="DN74" s="459"/>
      <c r="DO74" s="459"/>
      <c r="DP74" s="459"/>
      <c r="DQ74" s="459"/>
      <c r="DR74" s="459"/>
      <c r="DS74" s="459"/>
      <c r="DT74" s="459"/>
      <c r="DU74" s="459"/>
      <c r="DV74" s="459"/>
      <c r="DW74" s="459"/>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459"/>
      <c r="EY74" s="459"/>
      <c r="EZ74" s="459"/>
      <c r="FA74" s="459"/>
      <c r="FB74" s="459"/>
      <c r="FC74" s="459"/>
      <c r="FD74" s="459"/>
      <c r="FE74" s="459"/>
      <c r="FF74" s="459"/>
      <c r="FG74" s="459"/>
      <c r="FH74" s="459"/>
      <c r="FI74" s="459"/>
      <c r="FJ74" s="459"/>
      <c r="FK74" s="459"/>
      <c r="FL74" s="459"/>
      <c r="FM74" s="459"/>
      <c r="FN74" s="459"/>
      <c r="FO74" s="459"/>
      <c r="FP74" s="459"/>
      <c r="FQ74" s="459"/>
      <c r="FR74" s="459"/>
      <c r="FS74" s="459"/>
      <c r="FT74" s="459"/>
      <c r="FU74" s="459"/>
      <c r="FV74" s="459"/>
      <c r="FW74" s="459"/>
      <c r="FX74" s="459"/>
      <c r="FY74" s="459"/>
      <c r="FZ74" s="459"/>
      <c r="GA74" s="459"/>
      <c r="GB74" s="459"/>
      <c r="GC74" s="459"/>
      <c r="GD74" s="459"/>
      <c r="GE74" s="459"/>
      <c r="GF74" s="459"/>
      <c r="GG74" s="459"/>
      <c r="GH74" s="459"/>
      <c r="GI74" s="459"/>
      <c r="GJ74" s="459"/>
      <c r="GK74" s="459"/>
      <c r="GL74" s="459"/>
      <c r="GM74" s="459"/>
      <c r="GN74" s="459"/>
      <c r="GO74" s="459"/>
      <c r="GP74" s="459"/>
      <c r="GQ74" s="459"/>
      <c r="GR74" s="459"/>
      <c r="GS74" s="459"/>
      <c r="GT74" s="459"/>
      <c r="GU74" s="459"/>
      <c r="GV74" s="459"/>
      <c r="GW74" s="459"/>
      <c r="GX74" s="459"/>
      <c r="GY74" s="459"/>
      <c r="GZ74" s="459"/>
      <c r="HA74" s="459"/>
      <c r="HB74" s="459"/>
      <c r="HC74" s="459"/>
      <c r="HD74" s="459"/>
      <c r="HE74" s="459"/>
      <c r="HF74" s="459"/>
      <c r="HG74" s="459"/>
      <c r="HH74" s="459"/>
      <c r="HI74" s="459"/>
      <c r="HJ74" s="459"/>
      <c r="HK74" s="459"/>
      <c r="HL74" s="459"/>
      <c r="HM74" s="459"/>
      <c r="HN74" s="459"/>
      <c r="HO74" s="459"/>
      <c r="HP74" s="459"/>
      <c r="HQ74" s="459"/>
      <c r="HR74" s="459"/>
      <c r="HS74" s="459"/>
      <c r="HT74" s="459"/>
      <c r="HU74" s="459"/>
      <c r="HV74" s="459"/>
      <c r="HW74" s="459"/>
      <c r="HX74" s="459"/>
      <c r="HY74" s="459"/>
      <c r="HZ74" s="459"/>
      <c r="IA74" s="459"/>
      <c r="IB74" s="459"/>
      <c r="IC74" s="459"/>
      <c r="ID74" s="459"/>
      <c r="IE74" s="459"/>
      <c r="IF74" s="459"/>
      <c r="IG74" s="459"/>
      <c r="IH74" s="459"/>
      <c r="II74" s="459"/>
      <c r="IJ74" s="459"/>
      <c r="IK74" s="459"/>
      <c r="IL74" s="459"/>
      <c r="IM74" s="459"/>
      <c r="IN74" s="459"/>
      <c r="IO74" s="459"/>
      <c r="IP74" s="459"/>
      <c r="IQ74" s="459"/>
      <c r="IR74" s="459"/>
      <c r="IS74" s="459"/>
      <c r="IT74" s="459"/>
      <c r="IU74" s="459"/>
      <c r="IV74" s="459"/>
    </row>
    <row r="75" spans="1:256" ht="18">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459"/>
      <c r="DJ75" s="459"/>
      <c r="DK75" s="459"/>
      <c r="DL75" s="459"/>
      <c r="DM75" s="459"/>
      <c r="DN75" s="459"/>
      <c r="DO75" s="459"/>
      <c r="DP75" s="459"/>
      <c r="DQ75" s="459"/>
      <c r="DR75" s="459"/>
      <c r="DS75" s="459"/>
      <c r="DT75" s="459"/>
      <c r="DU75" s="459"/>
      <c r="DV75" s="459"/>
      <c r="DW75" s="459"/>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459"/>
      <c r="EY75" s="459"/>
      <c r="EZ75" s="459"/>
      <c r="FA75" s="459"/>
      <c r="FB75" s="459"/>
      <c r="FC75" s="459"/>
      <c r="FD75" s="459"/>
      <c r="FE75" s="459"/>
      <c r="FF75" s="459"/>
      <c r="FG75" s="459"/>
      <c r="FH75" s="459"/>
      <c r="FI75" s="459"/>
      <c r="FJ75" s="459"/>
      <c r="FK75" s="459"/>
      <c r="FL75" s="459"/>
      <c r="FM75" s="459"/>
      <c r="FN75" s="459"/>
      <c r="FO75" s="459"/>
      <c r="FP75" s="459"/>
      <c r="FQ75" s="459"/>
      <c r="FR75" s="459"/>
      <c r="FS75" s="459"/>
      <c r="FT75" s="459"/>
      <c r="FU75" s="459"/>
      <c r="FV75" s="459"/>
      <c r="FW75" s="459"/>
      <c r="FX75" s="459"/>
      <c r="FY75" s="459"/>
      <c r="FZ75" s="459"/>
      <c r="GA75" s="459"/>
      <c r="GB75" s="459"/>
      <c r="GC75" s="459"/>
      <c r="GD75" s="459"/>
      <c r="GE75" s="459"/>
      <c r="GF75" s="459"/>
      <c r="GG75" s="459"/>
      <c r="GH75" s="459"/>
      <c r="GI75" s="459"/>
      <c r="GJ75" s="459"/>
      <c r="GK75" s="459"/>
      <c r="GL75" s="459"/>
      <c r="GM75" s="459"/>
      <c r="GN75" s="459"/>
      <c r="GO75" s="459"/>
      <c r="GP75" s="459"/>
      <c r="GQ75" s="459"/>
      <c r="GR75" s="459"/>
      <c r="GS75" s="459"/>
      <c r="GT75" s="459"/>
      <c r="GU75" s="459"/>
      <c r="GV75" s="459"/>
      <c r="GW75" s="459"/>
      <c r="GX75" s="459"/>
      <c r="GY75" s="459"/>
      <c r="GZ75" s="459"/>
      <c r="HA75" s="459"/>
      <c r="HB75" s="459"/>
      <c r="HC75" s="459"/>
      <c r="HD75" s="459"/>
      <c r="HE75" s="459"/>
      <c r="HF75" s="459"/>
      <c r="HG75" s="459"/>
      <c r="HH75" s="459"/>
      <c r="HI75" s="459"/>
      <c r="HJ75" s="459"/>
      <c r="HK75" s="459"/>
      <c r="HL75" s="459"/>
      <c r="HM75" s="459"/>
      <c r="HN75" s="459"/>
      <c r="HO75" s="459"/>
      <c r="HP75" s="459"/>
      <c r="HQ75" s="459"/>
      <c r="HR75" s="459"/>
      <c r="HS75" s="459"/>
      <c r="HT75" s="459"/>
      <c r="HU75" s="459"/>
      <c r="HV75" s="459"/>
      <c r="HW75" s="459"/>
      <c r="HX75" s="459"/>
      <c r="HY75" s="459"/>
      <c r="HZ75" s="459"/>
      <c r="IA75" s="459"/>
      <c r="IB75" s="459"/>
      <c r="IC75" s="459"/>
      <c r="ID75" s="459"/>
      <c r="IE75" s="459"/>
      <c r="IF75" s="459"/>
      <c r="IG75" s="459"/>
      <c r="IH75" s="459"/>
      <c r="II75" s="459"/>
      <c r="IJ75" s="459"/>
      <c r="IK75" s="459"/>
      <c r="IL75" s="459"/>
      <c r="IM75" s="459"/>
      <c r="IN75" s="459"/>
      <c r="IO75" s="459"/>
      <c r="IP75" s="459"/>
      <c r="IQ75" s="459"/>
      <c r="IR75" s="459"/>
      <c r="IS75" s="459"/>
      <c r="IT75" s="459"/>
      <c r="IU75" s="459"/>
      <c r="IV75" s="459"/>
    </row>
    <row r="76" spans="1:256" ht="18">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c r="HQ76" s="459"/>
      <c r="HR76" s="459"/>
      <c r="HS76" s="459"/>
      <c r="HT76" s="459"/>
      <c r="HU76" s="459"/>
      <c r="HV76" s="459"/>
      <c r="HW76" s="459"/>
      <c r="HX76" s="459"/>
      <c r="HY76" s="459"/>
      <c r="HZ76" s="459"/>
      <c r="IA76" s="459"/>
      <c r="IB76" s="459"/>
      <c r="IC76" s="459"/>
      <c r="ID76" s="459"/>
      <c r="IE76" s="459"/>
      <c r="IF76" s="459"/>
      <c r="IG76" s="459"/>
      <c r="IH76" s="459"/>
      <c r="II76" s="459"/>
      <c r="IJ76" s="459"/>
      <c r="IK76" s="459"/>
      <c r="IL76" s="459"/>
      <c r="IM76" s="459"/>
      <c r="IN76" s="459"/>
      <c r="IO76" s="459"/>
      <c r="IP76" s="459"/>
      <c r="IQ76" s="459"/>
      <c r="IR76" s="459"/>
      <c r="IS76" s="459"/>
      <c r="IT76" s="459"/>
      <c r="IU76" s="459"/>
      <c r="IV76" s="459"/>
    </row>
    <row r="77" spans="1:256" ht="18">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459"/>
      <c r="DJ77" s="459"/>
      <c r="DK77" s="459"/>
      <c r="DL77" s="459"/>
      <c r="DM77" s="459"/>
      <c r="DN77" s="459"/>
      <c r="DO77" s="459"/>
      <c r="DP77" s="459"/>
      <c r="DQ77" s="459"/>
      <c r="DR77" s="459"/>
      <c r="DS77" s="459"/>
      <c r="DT77" s="459"/>
      <c r="DU77" s="459"/>
      <c r="DV77" s="459"/>
      <c r="DW77" s="459"/>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459"/>
      <c r="EY77" s="459"/>
      <c r="EZ77" s="459"/>
      <c r="FA77" s="459"/>
      <c r="FB77" s="459"/>
      <c r="FC77" s="459"/>
      <c r="FD77" s="459"/>
      <c r="FE77" s="459"/>
      <c r="FF77" s="459"/>
      <c r="FG77" s="459"/>
      <c r="FH77" s="459"/>
      <c r="FI77" s="459"/>
      <c r="FJ77" s="459"/>
      <c r="FK77" s="459"/>
      <c r="FL77" s="459"/>
      <c r="FM77" s="459"/>
      <c r="FN77" s="459"/>
      <c r="FO77" s="459"/>
      <c r="FP77" s="459"/>
      <c r="FQ77" s="459"/>
      <c r="FR77" s="459"/>
      <c r="FS77" s="459"/>
      <c r="FT77" s="459"/>
      <c r="FU77" s="459"/>
      <c r="FV77" s="459"/>
      <c r="FW77" s="459"/>
      <c r="FX77" s="459"/>
      <c r="FY77" s="459"/>
      <c r="FZ77" s="459"/>
      <c r="GA77" s="459"/>
      <c r="GB77" s="459"/>
      <c r="GC77" s="459"/>
      <c r="GD77" s="459"/>
      <c r="GE77" s="459"/>
      <c r="GF77" s="459"/>
      <c r="GG77" s="459"/>
      <c r="GH77" s="459"/>
      <c r="GI77" s="459"/>
      <c r="GJ77" s="459"/>
      <c r="GK77" s="459"/>
      <c r="GL77" s="459"/>
      <c r="GM77" s="459"/>
      <c r="GN77" s="459"/>
      <c r="GO77" s="459"/>
      <c r="GP77" s="459"/>
      <c r="GQ77" s="459"/>
      <c r="GR77" s="459"/>
      <c r="GS77" s="459"/>
      <c r="GT77" s="459"/>
      <c r="GU77" s="459"/>
      <c r="GV77" s="459"/>
      <c r="GW77" s="459"/>
      <c r="GX77" s="459"/>
      <c r="GY77" s="459"/>
      <c r="GZ77" s="459"/>
      <c r="HA77" s="459"/>
      <c r="HB77" s="459"/>
      <c r="HC77" s="459"/>
      <c r="HD77" s="459"/>
      <c r="HE77" s="459"/>
      <c r="HF77" s="459"/>
      <c r="HG77" s="459"/>
      <c r="HH77" s="459"/>
      <c r="HI77" s="459"/>
      <c r="HJ77" s="459"/>
      <c r="HK77" s="459"/>
      <c r="HL77" s="459"/>
      <c r="HM77" s="459"/>
      <c r="HN77" s="459"/>
      <c r="HO77" s="459"/>
      <c r="HP77" s="459"/>
      <c r="HQ77" s="459"/>
      <c r="HR77" s="459"/>
      <c r="HS77" s="459"/>
      <c r="HT77" s="459"/>
      <c r="HU77" s="459"/>
      <c r="HV77" s="459"/>
      <c r="HW77" s="459"/>
      <c r="HX77" s="459"/>
      <c r="HY77" s="459"/>
      <c r="HZ77" s="459"/>
      <c r="IA77" s="459"/>
      <c r="IB77" s="459"/>
      <c r="IC77" s="459"/>
      <c r="ID77" s="459"/>
      <c r="IE77" s="459"/>
      <c r="IF77" s="459"/>
      <c r="IG77" s="459"/>
      <c r="IH77" s="459"/>
      <c r="II77" s="459"/>
      <c r="IJ77" s="459"/>
      <c r="IK77" s="459"/>
      <c r="IL77" s="459"/>
      <c r="IM77" s="459"/>
      <c r="IN77" s="459"/>
      <c r="IO77" s="459"/>
      <c r="IP77" s="459"/>
      <c r="IQ77" s="459"/>
      <c r="IR77" s="459"/>
      <c r="IS77" s="459"/>
      <c r="IT77" s="459"/>
      <c r="IU77" s="459"/>
      <c r="IV77" s="459"/>
    </row>
    <row r="78" spans="1:256" ht="18">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459"/>
      <c r="DJ78" s="459"/>
      <c r="DK78" s="459"/>
      <c r="DL78" s="459"/>
      <c r="DM78" s="459"/>
      <c r="DN78" s="459"/>
      <c r="DO78" s="459"/>
      <c r="DP78" s="459"/>
      <c r="DQ78" s="459"/>
      <c r="DR78" s="459"/>
      <c r="DS78" s="459"/>
      <c r="DT78" s="459"/>
      <c r="DU78" s="459"/>
      <c r="DV78" s="459"/>
      <c r="DW78" s="459"/>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459"/>
      <c r="EY78" s="459"/>
      <c r="EZ78" s="459"/>
      <c r="FA78" s="459"/>
      <c r="FB78" s="459"/>
      <c r="FC78" s="459"/>
      <c r="FD78" s="459"/>
      <c r="FE78" s="459"/>
      <c r="FF78" s="459"/>
      <c r="FG78" s="459"/>
      <c r="FH78" s="459"/>
      <c r="FI78" s="459"/>
      <c r="FJ78" s="459"/>
      <c r="FK78" s="459"/>
      <c r="FL78" s="459"/>
      <c r="FM78" s="459"/>
      <c r="FN78" s="459"/>
      <c r="FO78" s="459"/>
      <c r="FP78" s="459"/>
      <c r="FQ78" s="459"/>
      <c r="FR78" s="459"/>
      <c r="FS78" s="459"/>
      <c r="FT78" s="459"/>
      <c r="FU78" s="459"/>
      <c r="FV78" s="459"/>
      <c r="FW78" s="459"/>
      <c r="FX78" s="459"/>
      <c r="FY78" s="459"/>
      <c r="FZ78" s="459"/>
      <c r="GA78" s="459"/>
      <c r="GB78" s="459"/>
      <c r="GC78" s="459"/>
      <c r="GD78" s="459"/>
      <c r="GE78" s="459"/>
      <c r="GF78" s="459"/>
      <c r="GG78" s="459"/>
      <c r="GH78" s="459"/>
      <c r="GI78" s="459"/>
      <c r="GJ78" s="459"/>
      <c r="GK78" s="459"/>
      <c r="GL78" s="459"/>
      <c r="GM78" s="459"/>
      <c r="GN78" s="459"/>
      <c r="GO78" s="459"/>
      <c r="GP78" s="459"/>
      <c r="GQ78" s="459"/>
      <c r="GR78" s="459"/>
      <c r="GS78" s="459"/>
      <c r="GT78" s="459"/>
      <c r="GU78" s="459"/>
      <c r="GV78" s="459"/>
      <c r="GW78" s="459"/>
      <c r="GX78" s="459"/>
      <c r="GY78" s="459"/>
      <c r="GZ78" s="459"/>
      <c r="HA78" s="459"/>
      <c r="HB78" s="459"/>
      <c r="HC78" s="459"/>
      <c r="HD78" s="459"/>
      <c r="HE78" s="459"/>
      <c r="HF78" s="459"/>
      <c r="HG78" s="459"/>
      <c r="HH78" s="459"/>
      <c r="HI78" s="459"/>
      <c r="HJ78" s="459"/>
      <c r="HK78" s="459"/>
      <c r="HL78" s="459"/>
      <c r="HM78" s="459"/>
      <c r="HN78" s="459"/>
      <c r="HO78" s="459"/>
      <c r="HP78" s="459"/>
      <c r="HQ78" s="459"/>
      <c r="HR78" s="459"/>
      <c r="HS78" s="459"/>
      <c r="HT78" s="459"/>
      <c r="HU78" s="459"/>
      <c r="HV78" s="459"/>
      <c r="HW78" s="459"/>
      <c r="HX78" s="459"/>
      <c r="HY78" s="459"/>
      <c r="HZ78" s="459"/>
      <c r="IA78" s="459"/>
      <c r="IB78" s="459"/>
      <c r="IC78" s="459"/>
      <c r="ID78" s="459"/>
      <c r="IE78" s="459"/>
      <c r="IF78" s="459"/>
      <c r="IG78" s="459"/>
      <c r="IH78" s="459"/>
      <c r="II78" s="459"/>
      <c r="IJ78" s="459"/>
      <c r="IK78" s="459"/>
      <c r="IL78" s="459"/>
      <c r="IM78" s="459"/>
      <c r="IN78" s="459"/>
      <c r="IO78" s="459"/>
      <c r="IP78" s="459"/>
      <c r="IQ78" s="459"/>
      <c r="IR78" s="459"/>
      <c r="IS78" s="459"/>
      <c r="IT78" s="459"/>
      <c r="IU78" s="459"/>
      <c r="IV78" s="459"/>
    </row>
    <row r="79" spans="1:256" ht="18">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459"/>
      <c r="FH79" s="459"/>
      <c r="FI79" s="459"/>
      <c r="FJ79" s="459"/>
      <c r="FK79" s="459"/>
      <c r="FL79" s="459"/>
      <c r="FM79" s="459"/>
      <c r="FN79" s="459"/>
      <c r="FO79" s="459"/>
      <c r="FP79" s="459"/>
      <c r="FQ79" s="459"/>
      <c r="FR79" s="459"/>
      <c r="FS79" s="459"/>
      <c r="FT79" s="459"/>
      <c r="FU79" s="459"/>
      <c r="FV79" s="459"/>
      <c r="FW79" s="459"/>
      <c r="FX79" s="459"/>
      <c r="FY79" s="459"/>
      <c r="FZ79" s="459"/>
      <c r="GA79" s="459"/>
      <c r="GB79" s="459"/>
      <c r="GC79" s="459"/>
      <c r="GD79" s="459"/>
      <c r="GE79" s="459"/>
      <c r="GF79" s="459"/>
      <c r="GG79" s="459"/>
      <c r="GH79" s="459"/>
      <c r="GI79" s="459"/>
      <c r="GJ79" s="459"/>
      <c r="GK79" s="459"/>
      <c r="GL79" s="459"/>
      <c r="GM79" s="459"/>
      <c r="GN79" s="459"/>
      <c r="GO79" s="459"/>
      <c r="GP79" s="459"/>
      <c r="GQ79" s="459"/>
      <c r="GR79" s="459"/>
      <c r="GS79" s="459"/>
      <c r="GT79" s="459"/>
      <c r="GU79" s="459"/>
      <c r="GV79" s="459"/>
      <c r="GW79" s="459"/>
      <c r="GX79" s="459"/>
      <c r="GY79" s="459"/>
      <c r="GZ79" s="459"/>
      <c r="HA79" s="459"/>
      <c r="HB79" s="459"/>
      <c r="HC79" s="459"/>
      <c r="HD79" s="459"/>
      <c r="HE79" s="459"/>
      <c r="HF79" s="459"/>
      <c r="HG79" s="459"/>
      <c r="HH79" s="459"/>
      <c r="HI79" s="459"/>
      <c r="HJ79" s="459"/>
      <c r="HK79" s="459"/>
      <c r="HL79" s="459"/>
      <c r="HM79" s="459"/>
      <c r="HN79" s="459"/>
      <c r="HO79" s="459"/>
      <c r="HP79" s="459"/>
      <c r="HQ79" s="459"/>
      <c r="HR79" s="459"/>
      <c r="HS79" s="459"/>
      <c r="HT79" s="459"/>
      <c r="HU79" s="459"/>
      <c r="HV79" s="459"/>
      <c r="HW79" s="459"/>
      <c r="HX79" s="459"/>
      <c r="HY79" s="459"/>
      <c r="HZ79" s="459"/>
      <c r="IA79" s="459"/>
      <c r="IB79" s="459"/>
      <c r="IC79" s="459"/>
      <c r="ID79" s="459"/>
      <c r="IE79" s="459"/>
      <c r="IF79" s="459"/>
      <c r="IG79" s="459"/>
      <c r="IH79" s="459"/>
      <c r="II79" s="459"/>
      <c r="IJ79" s="459"/>
      <c r="IK79" s="459"/>
      <c r="IL79" s="459"/>
      <c r="IM79" s="459"/>
      <c r="IN79" s="459"/>
      <c r="IO79" s="459"/>
      <c r="IP79" s="459"/>
      <c r="IQ79" s="459"/>
      <c r="IR79" s="459"/>
      <c r="IS79" s="459"/>
      <c r="IT79" s="459"/>
      <c r="IU79" s="459"/>
      <c r="IV79" s="459"/>
    </row>
    <row r="80" spans="1:256" ht="18">
      <c r="A80" s="723"/>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row>
    <row r="81" spans="1:256" s="459" customFormat="1" ht="18"/>
    <row r="82" spans="1:256" ht="18">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row>
    <row r="83" spans="1:256" s="459" customFormat="1" ht="18"/>
    <row r="84" spans="1:256" s="459" customFormat="1" ht="18"/>
    <row r="85" spans="1:256" s="459" customFormat="1" ht="18"/>
    <row r="86" spans="1:256" ht="18">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c r="CJ86" s="459"/>
      <c r="CK86" s="459"/>
      <c r="CL86" s="459"/>
      <c r="CM86" s="459"/>
      <c r="CN86" s="459"/>
      <c r="CO86" s="459"/>
      <c r="CP86" s="459"/>
      <c r="CQ86" s="459"/>
      <c r="CR86" s="459"/>
      <c r="CS86" s="459"/>
      <c r="CT86" s="459"/>
      <c r="CU86" s="459"/>
      <c r="CV86" s="459"/>
      <c r="CW86" s="459"/>
      <c r="CX86" s="459"/>
      <c r="CY86" s="459"/>
      <c r="CZ86" s="459"/>
      <c r="DA86" s="459"/>
      <c r="DB86" s="459"/>
      <c r="DC86" s="459"/>
      <c r="DD86" s="459"/>
      <c r="DE86" s="459"/>
      <c r="DF86" s="459"/>
      <c r="DG86" s="459"/>
      <c r="DH86" s="459"/>
      <c r="DI86" s="459"/>
      <c r="DJ86" s="459"/>
      <c r="DK86" s="459"/>
      <c r="DL86" s="459"/>
      <c r="DM86" s="459"/>
      <c r="DN86" s="459"/>
      <c r="DO86" s="459"/>
      <c r="DP86" s="459"/>
      <c r="DQ86" s="459"/>
      <c r="DR86" s="459"/>
      <c r="DS86" s="459"/>
      <c r="DT86" s="459"/>
      <c r="DU86" s="459"/>
      <c r="DV86" s="459"/>
      <c r="DW86" s="459"/>
      <c r="DX86" s="459"/>
      <c r="DY86" s="459"/>
      <c r="DZ86" s="459"/>
      <c r="EA86" s="459"/>
      <c r="EB86" s="459"/>
      <c r="EC86" s="459"/>
      <c r="ED86" s="459"/>
      <c r="EE86" s="459"/>
      <c r="EF86" s="459"/>
      <c r="EG86" s="459"/>
      <c r="EH86" s="459"/>
      <c r="EI86" s="459"/>
      <c r="EJ86" s="459"/>
      <c r="EK86" s="459"/>
      <c r="EL86" s="459"/>
      <c r="EM86" s="459"/>
      <c r="EN86" s="459"/>
      <c r="EO86" s="459"/>
      <c r="EP86" s="459"/>
      <c r="EQ86" s="459"/>
      <c r="ER86" s="459"/>
      <c r="ES86" s="459"/>
      <c r="ET86" s="459"/>
      <c r="EU86" s="459"/>
      <c r="EV86" s="459"/>
      <c r="EW86" s="459"/>
      <c r="EX86" s="459"/>
      <c r="EY86" s="459"/>
      <c r="EZ86" s="459"/>
      <c r="FA86" s="459"/>
      <c r="FB86" s="459"/>
      <c r="FC86" s="459"/>
      <c r="FD86" s="459"/>
      <c r="FE86" s="459"/>
      <c r="FF86" s="459"/>
      <c r="FG86" s="459"/>
      <c r="FH86" s="459"/>
      <c r="FI86" s="459"/>
      <c r="FJ86" s="459"/>
      <c r="FK86" s="459"/>
      <c r="FL86" s="459"/>
      <c r="FM86" s="459"/>
      <c r="FN86" s="459"/>
      <c r="FO86" s="459"/>
      <c r="FP86" s="459"/>
      <c r="FQ86" s="459"/>
      <c r="FR86" s="459"/>
      <c r="FS86" s="459"/>
      <c r="FT86" s="459"/>
      <c r="FU86" s="459"/>
      <c r="FV86" s="459"/>
      <c r="FW86" s="459"/>
      <c r="FX86" s="459"/>
      <c r="FY86" s="459"/>
      <c r="FZ86" s="459"/>
      <c r="GA86" s="459"/>
      <c r="GB86" s="459"/>
      <c r="GC86" s="459"/>
      <c r="GD86" s="459"/>
      <c r="GE86" s="459"/>
      <c r="GF86" s="459"/>
      <c r="GG86" s="459"/>
      <c r="GH86" s="459"/>
      <c r="GI86" s="459"/>
      <c r="GJ86" s="459"/>
      <c r="GK86" s="459"/>
      <c r="GL86" s="459"/>
      <c r="GM86" s="459"/>
      <c r="GN86" s="459"/>
      <c r="GO86" s="459"/>
      <c r="GP86" s="459"/>
      <c r="GQ86" s="459"/>
      <c r="GR86" s="459"/>
      <c r="GS86" s="459"/>
      <c r="GT86" s="459"/>
      <c r="GU86" s="459"/>
      <c r="GV86" s="459"/>
      <c r="GW86" s="459"/>
      <c r="GX86" s="459"/>
      <c r="GY86" s="459"/>
      <c r="GZ86" s="459"/>
      <c r="HA86" s="459"/>
      <c r="HB86" s="459"/>
      <c r="HC86" s="459"/>
      <c r="HD86" s="459"/>
      <c r="HE86" s="459"/>
      <c r="HF86" s="459"/>
      <c r="HG86" s="459"/>
      <c r="HH86" s="459"/>
      <c r="HI86" s="459"/>
      <c r="HJ86" s="459"/>
      <c r="HK86" s="459"/>
      <c r="HL86" s="459"/>
      <c r="HM86" s="459"/>
      <c r="HN86" s="459"/>
      <c r="HO86" s="459"/>
      <c r="HP86" s="459"/>
      <c r="HQ86" s="459"/>
      <c r="HR86" s="459"/>
      <c r="HS86" s="459"/>
      <c r="HT86" s="459"/>
      <c r="HU86" s="459"/>
      <c r="HV86" s="459"/>
      <c r="HW86" s="459"/>
      <c r="HX86" s="459"/>
      <c r="HY86" s="459"/>
      <c r="HZ86" s="459"/>
      <c r="IA86" s="459"/>
      <c r="IB86" s="459"/>
      <c r="IC86" s="459"/>
      <c r="ID86" s="459"/>
      <c r="IE86" s="459"/>
      <c r="IF86" s="459"/>
      <c r="IG86" s="459"/>
      <c r="IH86" s="459"/>
      <c r="II86" s="459"/>
      <c r="IJ86" s="459"/>
      <c r="IK86" s="459"/>
      <c r="IL86" s="459"/>
      <c r="IM86" s="459"/>
      <c r="IN86" s="459"/>
      <c r="IO86" s="459"/>
      <c r="IP86" s="459"/>
      <c r="IQ86" s="459"/>
      <c r="IR86" s="459"/>
      <c r="IS86" s="459"/>
      <c r="IT86" s="459"/>
      <c r="IU86" s="459"/>
      <c r="IV86" s="459"/>
    </row>
    <row r="87" spans="1:256" s="459" customFormat="1" ht="18"/>
    <row r="88" spans="1:256" s="459" customFormat="1" ht="18"/>
    <row r="89" spans="1:256" s="459" customFormat="1" ht="18"/>
    <row r="90" spans="1:256" s="459" customFormat="1" ht="18"/>
    <row r="91" spans="1:256" s="459" customFormat="1" ht="18"/>
    <row r="92" spans="1:256" s="459" customFormat="1" ht="18"/>
    <row r="93" spans="1:256" s="459" customFormat="1" ht="18"/>
    <row r="94" spans="1:256" s="459" customFormat="1" ht="18"/>
    <row r="95" spans="1:256" s="459" customFormat="1" ht="18"/>
    <row r="96" spans="1:256" s="459" customFormat="1" ht="18"/>
    <row r="97" s="459" customFormat="1" ht="18"/>
    <row r="98" s="459" customFormat="1" ht="18"/>
    <row r="99" s="459" customFormat="1" ht="18"/>
    <row r="100" s="459" customFormat="1" ht="18"/>
    <row r="101" s="459" customFormat="1" ht="18"/>
    <row r="102" s="459" customFormat="1" ht="18"/>
    <row r="103" s="459" customFormat="1" ht="18"/>
    <row r="104" s="459" customFormat="1" ht="18"/>
    <row r="105" s="459" customFormat="1" ht="18"/>
    <row r="106" s="459" customFormat="1" ht="18"/>
    <row r="107" s="459" customFormat="1" ht="18"/>
    <row r="108" s="459" customFormat="1" ht="18"/>
    <row r="109" s="459" customFormat="1" ht="18"/>
    <row r="110" s="459" customFormat="1" ht="18"/>
    <row r="111" s="459" customFormat="1" ht="18"/>
    <row r="112" s="459" customFormat="1" ht="18"/>
    <row r="113" s="459" customFormat="1" ht="18"/>
    <row r="114" s="459" customFormat="1" ht="18"/>
    <row r="115" s="459" customFormat="1" ht="18"/>
    <row r="116" s="459" customFormat="1" ht="18"/>
    <row r="117" s="459" customFormat="1" ht="18"/>
    <row r="118" s="459" customFormat="1" ht="18"/>
    <row r="119" s="459" customFormat="1" ht="18"/>
    <row r="120" s="459" customFormat="1" ht="18"/>
    <row r="121" s="459" customFormat="1" ht="18"/>
    <row r="122" s="459" customFormat="1" ht="18"/>
    <row r="123" s="459" customFormat="1" ht="18"/>
    <row r="124" s="459" customFormat="1" ht="18"/>
    <row r="125" s="459" customFormat="1" ht="18"/>
    <row r="126" s="459" customFormat="1" ht="18"/>
    <row r="127" s="459" customFormat="1" ht="18"/>
    <row r="128" s="459" customFormat="1" ht="18"/>
    <row r="129" s="459" customFormat="1" ht="18"/>
    <row r="130" s="459" customFormat="1" ht="18"/>
    <row r="131" s="459" customFormat="1" ht="18"/>
    <row r="132" s="459" customFormat="1" ht="18"/>
    <row r="133" s="459" customFormat="1" ht="18"/>
    <row r="134" s="459" customFormat="1" ht="18"/>
    <row r="135" s="459" customFormat="1" ht="18"/>
    <row r="136" s="459" customFormat="1" ht="18"/>
  </sheetData>
  <pageMargins left="0.5" right="0.5" top="0.5" bottom="0.5" header="0" footer="0.25"/>
  <pageSetup scale="58"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workbookViewId="0"/>
  </sheetViews>
  <sheetFormatPr defaultColWidth="8.88671875" defaultRowHeight="12.75"/>
  <cols>
    <col min="1" max="1" width="53.5546875" style="1941" customWidth="1"/>
    <col min="2" max="2" width="1.88671875" style="1941" customWidth="1"/>
    <col min="3" max="3" width="2.88671875" style="1941" customWidth="1"/>
    <col min="4" max="4" width="20.109375" style="1941" customWidth="1"/>
    <col min="5" max="5" width="7.88671875" style="1941" customWidth="1"/>
    <col min="6" max="6" width="18.88671875" style="1941" customWidth="1"/>
    <col min="7" max="7" width="7.88671875" style="1941" customWidth="1"/>
    <col min="8" max="8" width="18.88671875" style="1941" customWidth="1"/>
    <col min="9" max="9" width="7.88671875" style="1941" customWidth="1"/>
    <col min="10" max="10" width="21.88671875" style="1941" customWidth="1"/>
    <col min="11" max="11" width="10.88671875" style="1941" customWidth="1"/>
    <col min="12" max="16384" width="8.88671875" style="1941"/>
  </cols>
  <sheetData>
    <row r="1" spans="1:10" ht="15">
      <c r="A1" s="653" t="s">
        <v>979</v>
      </c>
    </row>
    <row r="2" spans="1:10" ht="15">
      <c r="A2" s="1942"/>
    </row>
    <row r="3" spans="1:10" ht="18">
      <c r="A3" s="1943" t="s">
        <v>0</v>
      </c>
      <c r="B3" s="1944"/>
      <c r="C3" s="1944"/>
      <c r="D3" s="1944"/>
      <c r="E3" s="1944"/>
      <c r="F3" s="1944"/>
      <c r="G3" s="1943"/>
      <c r="H3" s="1943"/>
      <c r="I3" s="1943"/>
      <c r="J3" s="1946" t="s">
        <v>388</v>
      </c>
    </row>
    <row r="4" spans="1:10" ht="18">
      <c r="A4" s="1943" t="s">
        <v>389</v>
      </c>
      <c r="B4" s="1944"/>
      <c r="C4" s="1943"/>
      <c r="D4" s="1944"/>
      <c r="E4" s="1944"/>
      <c r="F4" s="1944"/>
      <c r="G4" s="1943"/>
      <c r="H4" s="1943"/>
      <c r="I4" s="1943"/>
      <c r="J4" s="1943"/>
    </row>
    <row r="5" spans="1:10" ht="18">
      <c r="A5" s="1943" t="s">
        <v>390</v>
      </c>
      <c r="B5" s="1944"/>
      <c r="C5" s="1943"/>
      <c r="D5" s="1944"/>
      <c r="E5" s="1944"/>
      <c r="F5" s="1944"/>
      <c r="G5" s="1943"/>
      <c r="H5" s="1943"/>
      <c r="I5" s="1943"/>
      <c r="J5" s="1943"/>
    </row>
    <row r="6" spans="1:10" ht="18">
      <c r="A6" s="1943" t="s">
        <v>1397</v>
      </c>
      <c r="B6" s="1944"/>
      <c r="C6" s="1943"/>
      <c r="D6" s="1944"/>
      <c r="E6" s="1944"/>
      <c r="F6" s="1944"/>
      <c r="G6" s="1943"/>
      <c r="H6" s="1943"/>
      <c r="I6" s="1943"/>
      <c r="J6" s="1943"/>
    </row>
    <row r="7" spans="1:10" ht="18">
      <c r="A7" s="1945" t="str">
        <f>'Sch 3 '!A7</f>
        <v>FOR THE MONTH OF FEBRUARY 2020</v>
      </c>
      <c r="B7" s="1944"/>
      <c r="C7" s="1943"/>
      <c r="D7" s="3206"/>
      <c r="E7" s="1944"/>
      <c r="F7" s="1944"/>
      <c r="G7" s="1943"/>
      <c r="H7" s="1943"/>
      <c r="I7" s="1943"/>
      <c r="J7" s="1943"/>
    </row>
    <row r="8" spans="1:10" ht="18">
      <c r="A8" s="1943" t="s">
        <v>1416</v>
      </c>
      <c r="B8" s="1944"/>
      <c r="C8" s="1943"/>
      <c r="D8" s="3206"/>
      <c r="E8" s="1944"/>
      <c r="F8" s="1944"/>
      <c r="G8" s="1943"/>
      <c r="H8" s="1943"/>
      <c r="I8" s="1943"/>
      <c r="J8" s="1943"/>
    </row>
    <row r="9" spans="1:10" ht="18">
      <c r="A9" s="1943"/>
      <c r="B9" s="1944"/>
      <c r="C9" s="1943"/>
      <c r="D9" s="3206"/>
      <c r="E9" s="1944"/>
      <c r="F9" s="1944"/>
      <c r="G9" s="1943"/>
      <c r="H9" s="1943"/>
      <c r="I9" s="1943"/>
      <c r="J9" s="1943"/>
    </row>
    <row r="10" spans="1:10" ht="18">
      <c r="A10" s="1943"/>
      <c r="B10" s="1943"/>
      <c r="C10" s="1943"/>
      <c r="D10" s="3207"/>
      <c r="E10" s="1943"/>
      <c r="F10" s="1943"/>
      <c r="G10" s="1943"/>
      <c r="H10" s="1943"/>
      <c r="I10" s="1943"/>
      <c r="J10" s="1943"/>
    </row>
    <row r="11" spans="1:10" ht="18">
      <c r="A11" s="1943"/>
      <c r="B11" s="1943"/>
      <c r="C11" s="1943"/>
      <c r="D11" s="3208"/>
      <c r="E11" s="1943"/>
      <c r="F11" s="1943"/>
      <c r="G11" s="1943"/>
      <c r="H11" s="1943"/>
      <c r="I11" s="1943"/>
      <c r="J11" s="1946"/>
    </row>
    <row r="12" spans="1:10" ht="18">
      <c r="A12" s="1943"/>
      <c r="B12" s="1943"/>
      <c r="C12" s="1943"/>
      <c r="D12" s="3208" t="s">
        <v>235</v>
      </c>
      <c r="E12" s="1943"/>
      <c r="F12" s="1943"/>
      <c r="G12" s="1943"/>
      <c r="H12" s="1943"/>
      <c r="I12" s="1943"/>
      <c r="J12" s="1946" t="s">
        <v>235</v>
      </c>
    </row>
    <row r="13" spans="1:10" ht="18">
      <c r="A13" s="1947" t="s">
        <v>359</v>
      </c>
      <c r="B13" s="1943"/>
      <c r="C13" s="1943"/>
      <c r="D13" s="3532" t="str">
        <f>'Sch 3 '!D11</f>
        <v>FEBRUARY 1, 2020</v>
      </c>
      <c r="E13" s="1943"/>
      <c r="F13" s="1946" t="s">
        <v>237</v>
      </c>
      <c r="G13" s="1943"/>
      <c r="H13" s="1946" t="s">
        <v>238</v>
      </c>
      <c r="I13" s="1943"/>
      <c r="J13" s="1948" t="str">
        <f>'Sch 3 '!L11</f>
        <v>FEBRUARY 29, 2020</v>
      </c>
    </row>
    <row r="14" spans="1:10" ht="18">
      <c r="A14" s="1947"/>
      <c r="B14" s="1943"/>
      <c r="C14" s="1943"/>
      <c r="D14" s="3591"/>
      <c r="E14" s="1943"/>
      <c r="F14" s="1949"/>
      <c r="G14" s="1943"/>
      <c r="H14" s="1950" t="s">
        <v>234</v>
      </c>
      <c r="I14" s="1943"/>
      <c r="J14" s="1949"/>
    </row>
    <row r="15" spans="1:10" ht="18">
      <c r="A15" s="1951" t="s">
        <v>391</v>
      </c>
      <c r="B15" s="1943"/>
      <c r="C15" s="1943"/>
      <c r="D15" s="3207"/>
      <c r="E15" s="3207"/>
      <c r="F15" s="3219"/>
      <c r="G15" s="3207"/>
      <c r="H15" s="3207"/>
      <c r="I15" s="3207"/>
      <c r="J15" s="3207"/>
    </row>
    <row r="16" spans="1:10" ht="25.35" customHeight="1">
      <c r="A16" s="1944" t="s">
        <v>392</v>
      </c>
      <c r="B16" s="1943"/>
      <c r="C16" s="1944"/>
      <c r="D16" s="1952">
        <v>2.8719999999999999</v>
      </c>
      <c r="E16" s="1952"/>
      <c r="F16" s="1952">
        <v>4.0000000000000001E-3</v>
      </c>
      <c r="G16" s="1952"/>
      <c r="H16" s="1952">
        <v>0</v>
      </c>
      <c r="I16" s="1952"/>
      <c r="J16" s="1952">
        <f>ROUND(D16+F16-H16,3)</f>
        <v>2.8759999999999999</v>
      </c>
    </row>
    <row r="17" spans="1:14" s="3705" customFormat="1" ht="25.35" customHeight="1">
      <c r="A17" s="3206" t="s">
        <v>1457</v>
      </c>
      <c r="B17" s="3206"/>
      <c r="C17" s="3206"/>
      <c r="D17" s="1956">
        <v>315.87299999999999</v>
      </c>
      <c r="E17" s="1954"/>
      <c r="F17" s="1956">
        <v>228.572</v>
      </c>
      <c r="G17" s="1954"/>
      <c r="H17" s="1956">
        <v>273.46899999999999</v>
      </c>
      <c r="I17" s="1954"/>
      <c r="J17" s="1955">
        <f>ROUND(D17+F17-H17,3)</f>
        <v>270.976</v>
      </c>
    </row>
    <row r="18" spans="1:14" ht="25.35" customHeight="1">
      <c r="A18" s="1953" t="s">
        <v>1394</v>
      </c>
      <c r="B18" s="1944"/>
      <c r="C18" s="1944"/>
      <c r="D18" s="1955">
        <v>2528.0369999999998</v>
      </c>
      <c r="E18" s="1954"/>
      <c r="F18" s="3533">
        <v>5579.0730000000003</v>
      </c>
      <c r="G18" s="1954"/>
      <c r="H18" s="3533">
        <v>5811.2479999999996</v>
      </c>
      <c r="I18" s="1954"/>
      <c r="J18" s="1955">
        <f>ROUND(D18+F18-H18,3)</f>
        <v>2295.8620000000001</v>
      </c>
    </row>
    <row r="19" spans="1:14" ht="25.35" customHeight="1">
      <c r="A19" s="1944" t="s">
        <v>1338</v>
      </c>
      <c r="B19" s="1944"/>
      <c r="C19" s="1944"/>
      <c r="D19" s="1956">
        <v>0</v>
      </c>
      <c r="E19" s="1954"/>
      <c r="F19" s="1956">
        <v>360.77499999999998</v>
      </c>
      <c r="G19" s="1954"/>
      <c r="H19" s="1956">
        <v>360.77499999999998</v>
      </c>
      <c r="I19" s="1954"/>
      <c r="J19" s="1955">
        <f>ROUND(D19+F19-H19,3)</f>
        <v>0</v>
      </c>
    </row>
    <row r="20" spans="1:14" ht="25.35" customHeight="1" thickBot="1">
      <c r="A20" s="1957" t="s">
        <v>393</v>
      </c>
      <c r="B20" s="1944"/>
      <c r="C20" s="1944"/>
      <c r="D20" s="1958">
        <f>ROUND(SUM(D16:D19),3)</f>
        <v>2846.7820000000002</v>
      </c>
      <c r="E20" s="3220"/>
      <c r="F20" s="1958">
        <f>ROUND(SUM(F16:F19),3)</f>
        <v>6168.424</v>
      </c>
      <c r="G20" s="3220"/>
      <c r="H20" s="1958">
        <f>ROUND(SUM(H16:H19),3)</f>
        <v>6445.4920000000002</v>
      </c>
      <c r="I20" s="3220"/>
      <c r="J20" s="1958">
        <f>ROUND(SUM(J16:J19),3)</f>
        <v>2569.7139999999999</v>
      </c>
      <c r="K20" s="1959"/>
      <c r="L20" s="1959"/>
      <c r="M20" s="1959"/>
      <c r="N20" s="1959"/>
    </row>
    <row r="21" spans="1:14" ht="18.75" thickTop="1">
      <c r="A21" s="1944"/>
      <c r="B21" s="1944"/>
      <c r="C21" s="1944"/>
      <c r="D21" s="3209"/>
      <c r="E21" s="1944"/>
      <c r="F21" s="1960"/>
      <c r="G21" s="1944"/>
      <c r="H21" s="1960"/>
      <c r="I21" s="1944"/>
      <c r="J21" s="1960"/>
    </row>
    <row r="22" spans="1:14" ht="18">
      <c r="A22" s="1944"/>
      <c r="B22" s="1944"/>
      <c r="C22" s="1944"/>
      <c r="D22" s="3209"/>
      <c r="E22" s="1944"/>
      <c r="F22" s="1960"/>
      <c r="G22" s="1944"/>
      <c r="H22" s="1960"/>
      <c r="I22" s="1944"/>
      <c r="J22" s="1960"/>
    </row>
    <row r="23" spans="1:14" ht="15.75">
      <c r="A23" s="3673" t="s">
        <v>1393</v>
      </c>
      <c r="B23" s="2213"/>
      <c r="C23" s="2213"/>
      <c r="D23" s="3583"/>
      <c r="E23" s="2213"/>
      <c r="F23" s="2213"/>
      <c r="G23" s="2213"/>
      <c r="H23" s="2213"/>
      <c r="I23" s="2213"/>
      <c r="J23" s="2213"/>
    </row>
    <row r="24" spans="1:14" ht="6.75" customHeight="1">
      <c r="A24" s="1944"/>
      <c r="B24" s="1944"/>
      <c r="C24" s="1944"/>
      <c r="D24" s="1960"/>
      <c r="E24" s="1944"/>
      <c r="F24" s="1960"/>
      <c r="G24" s="1944"/>
      <c r="H24" s="1960"/>
      <c r="I24" s="1944"/>
      <c r="J24" s="1960"/>
    </row>
    <row r="25" spans="1:14" ht="18">
      <c r="A25" s="2214" t="s">
        <v>1395</v>
      </c>
      <c r="B25" s="1944"/>
      <c r="C25" s="1944"/>
      <c r="D25" s="1944"/>
      <c r="E25" s="1944"/>
      <c r="F25" s="1944" t="s">
        <v>15</v>
      </c>
      <c r="G25" s="1944"/>
      <c r="H25" s="1944"/>
      <c r="I25" s="1944"/>
      <c r="J25" s="1944"/>
    </row>
    <row r="26" spans="1:14" ht="6" customHeight="1"/>
    <row r="27" spans="1:14" ht="59.25" customHeight="1">
      <c r="A27" s="3944" t="s">
        <v>1319</v>
      </c>
      <c r="B27" s="3944"/>
      <c r="C27" s="3944"/>
      <c r="D27" s="3944"/>
      <c r="E27" s="3944"/>
      <c r="F27" s="3944"/>
      <c r="G27" s="3944"/>
      <c r="H27" s="3944"/>
      <c r="I27" s="3944"/>
      <c r="J27" s="3944"/>
    </row>
    <row r="28" spans="1:14" ht="43.35" customHeight="1">
      <c r="A28" s="3945" t="s">
        <v>1605</v>
      </c>
      <c r="B28" s="3945"/>
      <c r="C28" s="3945"/>
      <c r="D28" s="3945"/>
      <c r="E28" s="3945"/>
      <c r="F28" s="3945"/>
      <c r="G28" s="3945"/>
      <c r="H28" s="3945"/>
      <c r="I28" s="3945"/>
      <c r="J28" s="3945"/>
    </row>
    <row r="29" spans="1:14" ht="18.75" customHeight="1">
      <c r="A29" s="3946"/>
      <c r="B29" s="3946"/>
      <c r="C29" s="3946"/>
      <c r="D29" s="3946"/>
      <c r="E29" s="3946"/>
      <c r="F29" s="3946"/>
      <c r="G29" s="3946"/>
      <c r="H29" s="3946"/>
      <c r="I29" s="3946"/>
      <c r="J29" s="3946"/>
    </row>
    <row r="30" spans="1:14" ht="18" customHeight="1">
      <c r="A30" s="1961"/>
      <c r="B30" s="1986"/>
      <c r="C30" s="1986"/>
      <c r="D30" s="1986"/>
      <c r="E30" s="1986"/>
      <c r="F30" s="1986"/>
      <c r="G30" s="1986"/>
      <c r="H30" s="1986"/>
      <c r="I30" s="1986"/>
      <c r="J30" s="1986"/>
    </row>
    <row r="31" spans="1:14" ht="20.25" customHeight="1">
      <c r="A31" s="3947"/>
      <c r="B31" s="3947"/>
      <c r="C31" s="3947"/>
      <c r="D31" s="3947"/>
      <c r="E31" s="3947"/>
      <c r="F31" s="3947"/>
      <c r="G31" s="3947"/>
      <c r="H31" s="3947"/>
      <c r="I31" s="3947"/>
      <c r="J31" s="3947"/>
    </row>
    <row r="32" spans="1:14" ht="20.25" customHeight="1">
      <c r="A32" s="1987"/>
      <c r="B32" s="1986"/>
      <c r="C32" s="1986"/>
      <c r="D32" s="1986"/>
      <c r="E32" s="1986"/>
      <c r="F32" s="1986"/>
      <c r="G32" s="1986"/>
      <c r="H32" s="1986"/>
      <c r="I32" s="1986"/>
      <c r="J32" s="1986"/>
    </row>
    <row r="33" spans="1:10" ht="20.25" customHeight="1">
      <c r="A33" s="1987"/>
      <c r="B33" s="1986"/>
      <c r="C33" s="1986"/>
      <c r="D33" s="1986"/>
      <c r="E33" s="1986"/>
      <c r="F33" s="1986"/>
      <c r="G33" s="1986"/>
      <c r="H33" s="1986"/>
      <c r="I33" s="1986"/>
      <c r="J33" s="1986"/>
    </row>
    <row r="34" spans="1:10" ht="20.25" customHeight="1">
      <c r="A34" s="1987"/>
      <c r="B34" s="1986"/>
      <c r="C34" s="1986"/>
      <c r="D34" s="1986"/>
      <c r="E34" s="1986"/>
      <c r="F34" s="1986"/>
      <c r="G34" s="1986"/>
      <c r="H34" s="1986"/>
      <c r="I34" s="1986"/>
      <c r="J34" s="1986"/>
    </row>
    <row r="35" spans="1:10" ht="20.25" customHeight="1">
      <c r="A35" s="1987"/>
      <c r="B35" s="1986"/>
      <c r="C35" s="1986"/>
      <c r="D35" s="1986"/>
      <c r="E35" s="1986"/>
      <c r="F35" s="1986"/>
      <c r="G35" s="1986"/>
      <c r="H35" s="1986"/>
      <c r="I35" s="1986"/>
      <c r="J35" s="1986"/>
    </row>
    <row r="36" spans="1:10" ht="20.25" customHeight="1">
      <c r="A36" s="1987"/>
      <c r="B36" s="1986"/>
      <c r="C36" s="1986"/>
      <c r="D36" s="1986"/>
      <c r="E36" s="1986"/>
      <c r="F36" s="1986"/>
      <c r="G36" s="1986"/>
      <c r="H36" s="1986"/>
      <c r="I36" s="1986"/>
      <c r="J36" s="1986"/>
    </row>
    <row r="37" spans="1:10" ht="20.25" customHeight="1">
      <c r="A37" s="1987"/>
      <c r="B37" s="1986"/>
      <c r="C37" s="1986"/>
      <c r="D37" s="1986"/>
      <c r="E37" s="1986"/>
      <c r="F37" s="1986"/>
      <c r="G37" s="1986"/>
      <c r="H37" s="1986"/>
      <c r="I37" s="1986"/>
      <c r="J37" s="1986"/>
    </row>
    <row r="38" spans="1:10" ht="20.25" customHeight="1">
      <c r="A38" s="1987"/>
      <c r="B38" s="1986"/>
      <c r="C38" s="1986"/>
      <c r="D38" s="1986"/>
      <c r="E38" s="1986"/>
      <c r="F38" s="1986"/>
      <c r="G38" s="1986"/>
      <c r="H38" s="1986"/>
      <c r="I38" s="1986"/>
      <c r="J38" s="1986"/>
    </row>
    <row r="39" spans="1:10" ht="20.25" customHeight="1">
      <c r="A39" s="1987"/>
      <c r="B39" s="1986"/>
      <c r="C39" s="1986"/>
      <c r="D39" s="1986"/>
      <c r="E39" s="1986"/>
      <c r="F39" s="1986"/>
      <c r="G39" s="1986"/>
      <c r="H39" s="1986"/>
      <c r="I39" s="1986"/>
      <c r="J39" s="1986"/>
    </row>
    <row r="40" spans="1:10" ht="20.25" customHeight="1">
      <c r="A40" s="1987"/>
      <c r="B40" s="1986"/>
      <c r="C40" s="1986"/>
      <c r="D40" s="1986"/>
      <c r="E40" s="1986"/>
      <c r="F40" s="1986"/>
      <c r="G40" s="1986"/>
      <c r="H40" s="1986"/>
      <c r="I40" s="1986"/>
      <c r="J40" s="1986"/>
    </row>
    <row r="41" spans="1:10" ht="20.25" customHeight="1">
      <c r="A41" s="1987"/>
      <c r="B41" s="1986"/>
      <c r="C41" s="1986"/>
      <c r="D41" s="1986"/>
      <c r="E41" s="1986"/>
      <c r="F41" s="1986"/>
      <c r="G41" s="1986"/>
      <c r="H41" s="1986"/>
      <c r="I41" s="1986"/>
      <c r="J41" s="1986"/>
    </row>
    <row r="42" spans="1:10" ht="20.25" customHeight="1">
      <c r="A42" s="1987"/>
      <c r="B42" s="1986"/>
      <c r="C42" s="1986"/>
      <c r="D42" s="1986"/>
      <c r="E42" s="1986"/>
      <c r="F42" s="1986"/>
      <c r="G42" s="1986"/>
      <c r="H42" s="1986"/>
      <c r="I42" s="1986"/>
      <c r="J42" s="1986"/>
    </row>
    <row r="43" spans="1:10" ht="20.25" customHeight="1">
      <c r="A43" s="1987"/>
      <c r="B43" s="1986"/>
      <c r="C43" s="1986"/>
      <c r="D43" s="1986"/>
      <c r="E43" s="1986"/>
      <c r="F43" s="1986"/>
      <c r="G43" s="1986"/>
      <c r="H43" s="1986"/>
      <c r="I43" s="1986"/>
      <c r="J43" s="1986"/>
    </row>
    <row r="44" spans="1:10" ht="21" customHeight="1"/>
    <row r="45" spans="1:10" ht="21" customHeight="1">
      <c r="A45" s="1987"/>
      <c r="B45" s="1986"/>
      <c r="C45" s="1986"/>
      <c r="D45" s="1986"/>
      <c r="E45" s="1986"/>
      <c r="F45" s="1986"/>
      <c r="G45" s="1986"/>
      <c r="H45" s="1986"/>
      <c r="I45" s="1986"/>
      <c r="J45" s="1986"/>
    </row>
    <row r="46" spans="1:10" ht="18" customHeight="1">
      <c r="A46" s="1962"/>
      <c r="B46" s="1963"/>
      <c r="C46" s="1964"/>
      <c r="D46" s="1965"/>
      <c r="E46" s="1964"/>
      <c r="F46" s="1965"/>
      <c r="G46" s="1964"/>
      <c r="H46" s="1965"/>
      <c r="I46" s="1966"/>
    </row>
    <row r="47" spans="1:10" ht="18" customHeight="1">
      <c r="A47" s="1967"/>
      <c r="B47" s="1963"/>
      <c r="C47" s="1963"/>
      <c r="D47" s="1965"/>
      <c r="E47" s="1963"/>
      <c r="F47" s="1968"/>
      <c r="G47" s="1965"/>
      <c r="H47" s="1965"/>
      <c r="I47" s="1966"/>
    </row>
    <row r="48" spans="1:10" ht="18" customHeight="1">
      <c r="A48" s="1967"/>
      <c r="B48" s="1963"/>
      <c r="C48" s="1963"/>
      <c r="D48" s="1965"/>
      <c r="E48" s="1963"/>
      <c r="F48" s="1968"/>
      <c r="G48" s="1965"/>
      <c r="H48" s="1965"/>
      <c r="I48" s="1966"/>
    </row>
    <row r="49" spans="1:9" ht="18" customHeight="1">
      <c r="A49" s="1967"/>
      <c r="B49" s="1963"/>
      <c r="C49" s="1963"/>
      <c r="D49" s="1965"/>
      <c r="E49" s="1963"/>
      <c r="F49" s="1968"/>
      <c r="G49" s="1965"/>
      <c r="H49" s="1965"/>
      <c r="I49" s="1966"/>
    </row>
    <row r="50" spans="1:9" ht="18" customHeight="1">
      <c r="A50" s="1967"/>
      <c r="B50" s="1963"/>
      <c r="C50" s="1963"/>
      <c r="D50" s="1965"/>
      <c r="E50" s="1963"/>
      <c r="F50" s="1965"/>
      <c r="G50" s="1965"/>
      <c r="H50" s="1969"/>
      <c r="I50" s="1966"/>
    </row>
    <row r="51" spans="1:9" ht="18" customHeight="1">
      <c r="A51" s="1970"/>
      <c r="B51" s="1963"/>
      <c r="C51" s="1963"/>
      <c r="D51" s="1965"/>
      <c r="E51" s="1963"/>
      <c r="F51" s="1965"/>
      <c r="G51" s="1965"/>
      <c r="H51" s="1965"/>
      <c r="I51" s="1966"/>
    </row>
    <row r="52" spans="1:9" ht="18" customHeight="1">
      <c r="A52" s="1971"/>
      <c r="B52" s="1963"/>
      <c r="C52" s="1963"/>
      <c r="D52" s="1965"/>
      <c r="E52" s="1963"/>
      <c r="F52" s="1969"/>
      <c r="G52" s="1965"/>
      <c r="H52" s="1965"/>
      <c r="I52" s="1966"/>
    </row>
    <row r="53" spans="1:9" ht="18" customHeight="1">
      <c r="A53" s="1967"/>
      <c r="B53" s="1963"/>
      <c r="C53" s="1963"/>
      <c r="D53" s="1965"/>
      <c r="E53" s="1963"/>
      <c r="F53" s="1968"/>
      <c r="G53" s="1965"/>
      <c r="H53" s="1965"/>
      <c r="I53" s="1966"/>
    </row>
    <row r="54" spans="1:9" ht="18" customHeight="1">
      <c r="A54" s="1967"/>
      <c r="B54" s="1963"/>
      <c r="C54" s="1963"/>
      <c r="D54" s="1965"/>
      <c r="E54" s="1963"/>
      <c r="F54" s="1972"/>
      <c r="G54" s="1965"/>
      <c r="H54" s="1969"/>
      <c r="I54" s="1966"/>
    </row>
    <row r="55" spans="1:9" ht="18" customHeight="1">
      <c r="A55" s="1970"/>
      <c r="B55" s="1963"/>
      <c r="C55" s="1964"/>
      <c r="D55" s="1973"/>
      <c r="E55" s="1964"/>
      <c r="G55" s="1964"/>
      <c r="H55" s="1973"/>
      <c r="I55" s="1966"/>
    </row>
  </sheetData>
  <mergeCells count="4">
    <mergeCell ref="A27:J27"/>
    <mergeCell ref="A28:J28"/>
    <mergeCell ref="A29:J29"/>
    <mergeCell ref="A31:J31"/>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workbookViewId="0"/>
  </sheetViews>
  <sheetFormatPr defaultColWidth="8.88671875" defaultRowHeight="12.75"/>
  <cols>
    <col min="1" max="1" width="40.109375" style="634" customWidth="1"/>
    <col min="2" max="2" width="2.109375" style="634" customWidth="1"/>
    <col min="3" max="3" width="17.109375" style="814" customWidth="1"/>
    <col min="4" max="4" width="2.109375" style="634" customWidth="1"/>
    <col min="5" max="5" width="15.44140625" style="634" customWidth="1"/>
    <col min="6" max="6" width="2.109375" style="634" customWidth="1"/>
    <col min="7" max="7" width="16.109375" style="634" customWidth="1"/>
    <col min="8" max="8" width="2.109375" style="634" customWidth="1"/>
    <col min="9" max="9" width="15.5546875" style="635" customWidth="1"/>
    <col min="10" max="10" width="2.109375" style="634" customWidth="1"/>
    <col min="11" max="11" width="16.44140625" style="635" bestFit="1" customWidth="1"/>
    <col min="12" max="12" width="2.109375" style="634" customWidth="1"/>
    <col min="13" max="13" width="17.109375" style="814" customWidth="1"/>
    <col min="14" max="14" width="1.88671875" style="634" customWidth="1"/>
    <col min="15" max="15" width="1.109375" style="634" customWidth="1"/>
    <col min="16" max="16" width="2" style="634" customWidth="1"/>
    <col min="17" max="17" width="15.44140625" style="634" customWidth="1"/>
    <col min="18" max="18" width="2.109375" style="634" customWidth="1"/>
    <col min="19" max="19" width="16.44140625" style="634" bestFit="1" customWidth="1"/>
    <col min="20" max="20" width="11.88671875" style="634" customWidth="1"/>
    <col min="21" max="21" width="12.44140625" style="634" customWidth="1"/>
    <col min="22" max="22" width="8" style="634" bestFit="1" customWidth="1"/>
    <col min="23" max="16384" width="8.88671875" style="634"/>
  </cols>
  <sheetData>
    <row r="1" spans="1:23" ht="15">
      <c r="A1" s="653" t="s">
        <v>979</v>
      </c>
    </row>
    <row r="2" spans="1:23" ht="15">
      <c r="A2" s="1627"/>
    </row>
    <row r="3" spans="1:23" ht="18">
      <c r="A3" s="633" t="s">
        <v>0</v>
      </c>
      <c r="S3" s="633" t="s">
        <v>394</v>
      </c>
    </row>
    <row r="4" spans="1:23" ht="18">
      <c r="A4" s="633" t="s">
        <v>185</v>
      </c>
      <c r="J4" s="634" t="s">
        <v>15</v>
      </c>
    </row>
    <row r="5" spans="1:23" ht="18">
      <c r="A5" s="633" t="s">
        <v>395</v>
      </c>
    </row>
    <row r="6" spans="1:23" ht="18">
      <c r="A6" s="1628" t="str">
        <f>'Cashflow Governmental'!A6</f>
        <v xml:space="preserve">FISCAL YEAR 2019-2020   </v>
      </c>
    </row>
    <row r="9" spans="1:23">
      <c r="C9" s="3685"/>
      <c r="D9" s="1555"/>
      <c r="E9" s="3948" t="s">
        <v>1482</v>
      </c>
      <c r="F9" s="3948"/>
      <c r="G9" s="3948"/>
      <c r="H9" s="1558"/>
      <c r="I9" s="3749" t="s">
        <v>1323</v>
      </c>
      <c r="J9" s="3750"/>
      <c r="K9" s="3750"/>
      <c r="L9" s="1555"/>
      <c r="M9" s="1555"/>
      <c r="N9" s="1555"/>
      <c r="O9" s="1560"/>
      <c r="P9" s="1555"/>
    </row>
    <row r="10" spans="1:23">
      <c r="C10" s="1563" t="s">
        <v>122</v>
      </c>
      <c r="D10" s="1562"/>
      <c r="E10" s="3744"/>
      <c r="F10" s="3745"/>
      <c r="G10" s="3746"/>
      <c r="H10" s="1555"/>
      <c r="I10" s="3747"/>
      <c r="J10" s="3748"/>
      <c r="K10" s="3748"/>
      <c r="L10" s="1555"/>
      <c r="M10" s="1563" t="s">
        <v>122</v>
      </c>
      <c r="N10" s="1555"/>
      <c r="O10" s="1564"/>
      <c r="P10" s="1555"/>
      <c r="Q10" s="1561" t="s">
        <v>939</v>
      </c>
      <c r="R10" s="1561"/>
      <c r="S10" s="1561"/>
    </row>
    <row r="11" spans="1:23">
      <c r="C11" s="1563" t="s">
        <v>396</v>
      </c>
      <c r="D11" s="1562"/>
      <c r="E11" s="3757" t="s">
        <v>7</v>
      </c>
      <c r="F11" s="1562"/>
      <c r="G11" s="1565" t="s">
        <v>1591</v>
      </c>
      <c r="H11" s="1555"/>
      <c r="I11" s="1562" t="s">
        <v>397</v>
      </c>
      <c r="J11" s="1557" t="s">
        <v>15</v>
      </c>
      <c r="K11" s="1562" t="str">
        <f>G11</f>
        <v>11 MONTHS ENDED</v>
      </c>
      <c r="L11" s="1555"/>
      <c r="M11" s="1563" t="s">
        <v>396</v>
      </c>
      <c r="N11" s="1555"/>
      <c r="O11" s="1564"/>
      <c r="P11" s="1555"/>
      <c r="Q11" s="1562" t="s">
        <v>397</v>
      </c>
      <c r="R11" s="1557" t="s">
        <v>15</v>
      </c>
      <c r="S11" s="1562" t="str">
        <f>K11</f>
        <v>11 MONTHS ENDED</v>
      </c>
    </row>
    <row r="12" spans="1:23">
      <c r="A12" s="1629" t="s">
        <v>398</v>
      </c>
      <c r="C12" s="3686" t="s">
        <v>1399</v>
      </c>
      <c r="D12" s="2205"/>
      <c r="E12" s="3758" t="s">
        <v>135</v>
      </c>
      <c r="F12" s="2205"/>
      <c r="G12" s="1630" t="s">
        <v>1593</v>
      </c>
      <c r="H12" s="1555"/>
      <c r="I12" s="1559" t="s">
        <v>135</v>
      </c>
      <c r="J12" s="1555"/>
      <c r="K12" s="1556" t="str">
        <f>G12</f>
        <v>FEBRUARY 29, 2020</v>
      </c>
      <c r="L12" s="1555"/>
      <c r="M12" s="1556" t="str">
        <f>K12</f>
        <v>FEBRUARY 29, 2020</v>
      </c>
      <c r="N12" s="1555"/>
      <c r="O12" s="1564"/>
      <c r="P12" s="1555"/>
      <c r="Q12" s="1559" t="str">
        <f>I12</f>
        <v>FEBRUARY</v>
      </c>
      <c r="R12" s="1555"/>
      <c r="S12" s="1556" t="str">
        <f>M12</f>
        <v>FEBRUARY 29, 2020</v>
      </c>
    </row>
    <row r="13" spans="1:23">
      <c r="K13" s="1585"/>
      <c r="O13" s="1631"/>
    </row>
    <row r="14" spans="1:23">
      <c r="A14" s="636" t="s">
        <v>399</v>
      </c>
      <c r="K14" s="1585"/>
      <c r="O14" s="1631"/>
      <c r="Q14" s="635"/>
    </row>
    <row r="15" spans="1:23" ht="12" customHeight="1">
      <c r="A15" s="636"/>
      <c r="K15" s="1585"/>
      <c r="M15" s="814" t="s">
        <v>15</v>
      </c>
      <c r="O15" s="1631"/>
      <c r="Q15" s="635"/>
    </row>
    <row r="16" spans="1:23">
      <c r="A16" s="634" t="s">
        <v>992</v>
      </c>
      <c r="B16" s="635"/>
      <c r="C16" s="3679">
        <f>ROUND(16747925.19,0)</f>
        <v>16747925</v>
      </c>
      <c r="D16" s="1584"/>
      <c r="E16" s="3679">
        <v>0</v>
      </c>
      <c r="F16" s="1584"/>
      <c r="G16" s="3679">
        <v>155154.95000000001</v>
      </c>
      <c r="H16" s="3679"/>
      <c r="I16" s="3679">
        <v>4737344</v>
      </c>
      <c r="J16" s="1584"/>
      <c r="K16" s="3679">
        <v>5457617</v>
      </c>
      <c r="L16" s="1584"/>
      <c r="M16" s="3679">
        <f>ROUND(SUM(C16)-SUM(K16)+SUM(G16),0)</f>
        <v>11445463</v>
      </c>
      <c r="N16" s="649"/>
      <c r="O16" s="1632"/>
      <c r="P16" s="635"/>
      <c r="Q16" s="3679">
        <v>142892</v>
      </c>
      <c r="R16" s="3679"/>
      <c r="S16" s="3679">
        <v>631951.38</v>
      </c>
      <c r="T16" s="638"/>
      <c r="U16" s="1584"/>
      <c r="V16" s="2199"/>
      <c r="W16" s="731"/>
    </row>
    <row r="17" spans="1:23">
      <c r="C17" s="815"/>
      <c r="D17" s="729"/>
      <c r="E17" s="640"/>
      <c r="F17" s="729"/>
      <c r="G17" s="815"/>
      <c r="H17" s="649"/>
      <c r="I17" s="640"/>
      <c r="J17" s="649"/>
      <c r="K17" s="1585"/>
      <c r="L17" s="649"/>
      <c r="M17" s="815"/>
      <c r="N17" s="649"/>
      <c r="O17" s="1632"/>
      <c r="P17" s="649"/>
      <c r="Q17" s="640"/>
      <c r="R17" s="649"/>
      <c r="S17" s="1585"/>
      <c r="U17" s="640"/>
      <c r="V17" s="730"/>
      <c r="W17" s="731"/>
    </row>
    <row r="18" spans="1:23">
      <c r="A18" s="634" t="s">
        <v>400</v>
      </c>
      <c r="C18" s="815"/>
      <c r="D18" s="729"/>
      <c r="E18" s="635"/>
      <c r="F18" s="729"/>
      <c r="G18" s="815"/>
      <c r="H18" s="649"/>
      <c r="J18" s="635"/>
      <c r="K18" s="1585"/>
      <c r="L18" s="649"/>
      <c r="M18" s="815"/>
      <c r="N18" s="649"/>
      <c r="O18" s="1632"/>
      <c r="P18" s="649"/>
      <c r="Q18" s="635"/>
      <c r="R18" s="635"/>
      <c r="S18" s="1585"/>
      <c r="U18" s="635"/>
      <c r="V18" s="730"/>
      <c r="W18" s="638"/>
    </row>
    <row r="19" spans="1:23" ht="12" customHeight="1">
      <c r="A19" s="634" t="s">
        <v>993</v>
      </c>
      <c r="C19" s="3681">
        <f>ROUND(2465599.69,0)</f>
        <v>2465600</v>
      </c>
      <c r="D19" s="1586"/>
      <c r="E19" s="3681">
        <v>0</v>
      </c>
      <c r="F19" s="1586"/>
      <c r="G19" s="3681">
        <v>-12617</v>
      </c>
      <c r="H19" s="3681"/>
      <c r="I19" s="3681">
        <v>462736</v>
      </c>
      <c r="J19" s="1586"/>
      <c r="K19" s="3681">
        <v>657629</v>
      </c>
      <c r="L19" s="1586" t="s">
        <v>15</v>
      </c>
      <c r="M19" s="3681">
        <f>ROUND(SUM(C19)-SUM(K19)+SUM(G19),0)</f>
        <v>1795354</v>
      </c>
      <c r="N19" s="649"/>
      <c r="O19" s="1632"/>
      <c r="P19" s="649" t="s">
        <v>15</v>
      </c>
      <c r="Q19" s="3681">
        <v>28743</v>
      </c>
      <c r="R19" s="3681"/>
      <c r="S19" s="3681">
        <v>70903.22</v>
      </c>
      <c r="T19" s="638"/>
      <c r="U19" s="815"/>
      <c r="V19" s="730"/>
      <c r="W19" s="731"/>
    </row>
    <row r="20" spans="1:23">
      <c r="A20" s="634" t="s">
        <v>401</v>
      </c>
      <c r="C20" s="3681">
        <v>0</v>
      </c>
      <c r="D20" s="1586"/>
      <c r="E20" s="3681">
        <v>0</v>
      </c>
      <c r="F20" s="1586"/>
      <c r="G20" s="3681">
        <v>0</v>
      </c>
      <c r="H20" s="3681"/>
      <c r="I20" s="3681">
        <v>0</v>
      </c>
      <c r="J20" s="1586"/>
      <c r="K20" s="3681">
        <v>0</v>
      </c>
      <c r="L20" s="1586"/>
      <c r="M20" s="3681">
        <f>ROUND(SUM(C20)-SUM(K20)+SUM(G20),2)</f>
        <v>0</v>
      </c>
      <c r="N20" s="649"/>
      <c r="O20" s="1632"/>
      <c r="P20" s="649"/>
      <c r="Q20" s="3681">
        <v>0</v>
      </c>
      <c r="R20" s="3681"/>
      <c r="S20" s="3681">
        <v>0</v>
      </c>
      <c r="T20" s="638"/>
      <c r="U20" s="815"/>
      <c r="V20" s="730"/>
      <c r="W20" s="731"/>
    </row>
    <row r="21" spans="1:23">
      <c r="A21" s="634" t="s">
        <v>1316</v>
      </c>
      <c r="C21" s="3681">
        <f>ROUND(321372380.81,0)</f>
        <v>321372381</v>
      </c>
      <c r="D21" s="1586"/>
      <c r="E21" s="3681">
        <v>0</v>
      </c>
      <c r="F21" s="1586"/>
      <c r="G21" s="3681">
        <v>2863627</v>
      </c>
      <c r="H21" s="3681"/>
      <c r="I21" s="3681">
        <v>15339930</v>
      </c>
      <c r="J21" s="1586"/>
      <c r="K21" s="3681">
        <v>24017982</v>
      </c>
      <c r="L21" s="1586"/>
      <c r="M21" s="3681">
        <f>ROUND(SUM(C21)-SUM(K21)+SUM(G21),0)</f>
        <v>300218026</v>
      </c>
      <c r="N21" s="649"/>
      <c r="O21" s="1632"/>
      <c r="P21" s="649"/>
      <c r="Q21" s="3681">
        <v>2592537</v>
      </c>
      <c r="R21" s="3681"/>
      <c r="S21" s="3681">
        <v>10910600.66</v>
      </c>
      <c r="T21" s="638"/>
      <c r="U21" s="815"/>
      <c r="V21" s="730"/>
      <c r="W21" s="731"/>
    </row>
    <row r="22" spans="1:23">
      <c r="A22" s="634" t="s">
        <v>402</v>
      </c>
      <c r="C22" s="3681">
        <f>ROUND(22144792.5,0)-1</f>
        <v>22144792</v>
      </c>
      <c r="D22" s="1586"/>
      <c r="E22" s="3681">
        <v>0</v>
      </c>
      <c r="F22" s="1586"/>
      <c r="G22" s="3681">
        <v>33541</v>
      </c>
      <c r="H22" s="3681"/>
      <c r="I22" s="3681">
        <v>3832869</v>
      </c>
      <c r="J22" s="1586"/>
      <c r="K22" s="3681">
        <v>5867035</v>
      </c>
      <c r="L22" s="1586"/>
      <c r="M22" s="3681">
        <f>ROUND(SUM(C22)-SUM(K22)+SUM(G22),0)</f>
        <v>16311298</v>
      </c>
      <c r="N22" s="649"/>
      <c r="O22" s="1632"/>
      <c r="P22" s="649"/>
      <c r="Q22" s="3681">
        <v>329088</v>
      </c>
      <c r="R22" s="3681"/>
      <c r="S22" s="3681">
        <v>889004.18</v>
      </c>
      <c r="T22" s="638"/>
      <c r="U22" s="815"/>
      <c r="V22" s="730"/>
      <c r="W22" s="731"/>
    </row>
    <row r="23" spans="1:23">
      <c r="A23" s="634" t="s">
        <v>994</v>
      </c>
      <c r="C23" s="3681">
        <f>ROUND(46724919.33,0)</f>
        <v>46724919</v>
      </c>
      <c r="D23" s="1586"/>
      <c r="E23" s="3681">
        <v>0</v>
      </c>
      <c r="F23" s="1586"/>
      <c r="G23" s="3681">
        <v>-27114</v>
      </c>
      <c r="H23" s="3681"/>
      <c r="I23" s="3681">
        <v>2374693</v>
      </c>
      <c r="J23" s="1586"/>
      <c r="K23" s="3681">
        <v>3658056</v>
      </c>
      <c r="L23" s="1586"/>
      <c r="M23" s="3681">
        <f>ROUND(SUM(C23)-SUM(K23)+SUM(G23),0)</f>
        <v>43039749</v>
      </c>
      <c r="N23" s="649"/>
      <c r="O23" s="1632"/>
      <c r="P23" s="649"/>
      <c r="Q23" s="3681">
        <v>152265</v>
      </c>
      <c r="R23" s="3681"/>
      <c r="S23" s="3681">
        <v>1317233.6399999999</v>
      </c>
      <c r="T23" s="638"/>
      <c r="U23" s="815"/>
      <c r="V23" s="730"/>
      <c r="W23" s="731"/>
    </row>
    <row r="24" spans="1:23">
      <c r="C24" s="3681"/>
      <c r="D24" s="815"/>
      <c r="E24" s="3680"/>
      <c r="F24" s="815"/>
      <c r="G24" s="3680"/>
      <c r="H24" s="3680"/>
      <c r="I24" s="3680"/>
      <c r="J24" s="815"/>
      <c r="K24" s="3680"/>
      <c r="L24" s="815"/>
      <c r="M24" s="3680"/>
      <c r="N24" s="649"/>
      <c r="O24" s="1632"/>
      <c r="P24" s="649"/>
      <c r="Q24" s="3681"/>
      <c r="R24" s="3681"/>
      <c r="S24" s="3681"/>
      <c r="U24" s="640"/>
      <c r="V24" s="730"/>
      <c r="W24" s="731"/>
    </row>
    <row r="25" spans="1:23">
      <c r="A25" s="634" t="s">
        <v>893</v>
      </c>
      <c r="C25" s="3681"/>
      <c r="D25" s="815"/>
      <c r="E25" s="3680"/>
      <c r="F25" s="815"/>
      <c r="G25" s="3680"/>
      <c r="H25" s="3680"/>
      <c r="I25" s="3680"/>
      <c r="J25" s="815"/>
      <c r="K25" s="3680"/>
      <c r="L25" s="815"/>
      <c r="M25" s="3680"/>
      <c r="N25" s="649"/>
      <c r="O25" s="1632"/>
      <c r="P25" s="649"/>
      <c r="Q25" s="3681"/>
      <c r="R25" s="3681"/>
      <c r="S25" s="3681"/>
      <c r="U25" s="640"/>
      <c r="V25" s="730"/>
      <c r="W25" s="638"/>
    </row>
    <row r="26" spans="1:23">
      <c r="A26" s="634" t="s">
        <v>1010</v>
      </c>
      <c r="C26" s="3681">
        <f>ROUND(1352814.93,0)</f>
        <v>1352815</v>
      </c>
      <c r="D26" s="1586"/>
      <c r="E26" s="3681">
        <v>0</v>
      </c>
      <c r="F26" s="1586"/>
      <c r="G26" s="3681">
        <v>0</v>
      </c>
      <c r="H26" s="3681"/>
      <c r="I26" s="3681">
        <v>0</v>
      </c>
      <c r="J26" s="1586"/>
      <c r="K26" s="3681">
        <v>154061</v>
      </c>
      <c r="L26" s="1586"/>
      <c r="M26" s="3681">
        <f>ROUND(SUM(C26)-SUM(K26)+SUM(G26),0)</f>
        <v>1198754</v>
      </c>
      <c r="N26" s="649"/>
      <c r="O26" s="1632"/>
      <c r="P26" s="649"/>
      <c r="Q26" s="3681">
        <v>0</v>
      </c>
      <c r="R26" s="3681"/>
      <c r="S26" s="3681">
        <v>55666.62</v>
      </c>
      <c r="T26" s="638"/>
      <c r="U26" s="815"/>
      <c r="V26" s="730"/>
      <c r="W26" s="731"/>
    </row>
    <row r="27" spans="1:23">
      <c r="C27" s="3681"/>
      <c r="D27" s="815" t="s">
        <v>15</v>
      </c>
      <c r="E27" s="3680"/>
      <c r="F27" s="815"/>
      <c r="G27" s="3680"/>
      <c r="H27" s="3680"/>
      <c r="I27" s="3680"/>
      <c r="J27" s="815"/>
      <c r="K27" s="3680"/>
      <c r="L27" s="815"/>
      <c r="M27" s="3680"/>
      <c r="N27" s="649"/>
      <c r="O27" s="1632"/>
      <c r="P27" s="649"/>
      <c r="Q27" s="3681"/>
      <c r="R27" s="3681"/>
      <c r="S27" s="3681"/>
      <c r="U27" s="640"/>
      <c r="V27" s="730"/>
      <c r="W27" s="731"/>
    </row>
    <row r="28" spans="1:23">
      <c r="A28" s="634" t="s">
        <v>1263</v>
      </c>
      <c r="C28" s="3681"/>
      <c r="D28" s="815" t="s">
        <v>15</v>
      </c>
      <c r="E28" s="3680"/>
      <c r="F28" s="815"/>
      <c r="G28" s="3680"/>
      <c r="H28" s="3680"/>
      <c r="I28" s="3680"/>
      <c r="J28" s="815"/>
      <c r="K28" s="3680"/>
      <c r="L28" s="815"/>
      <c r="M28" s="3680"/>
      <c r="N28" s="649"/>
      <c r="O28" s="1632"/>
      <c r="P28" s="649"/>
      <c r="Q28" s="3681"/>
      <c r="R28" s="3681"/>
      <c r="S28" s="3681"/>
      <c r="U28" s="640"/>
      <c r="V28" s="730"/>
    </row>
    <row r="29" spans="1:23">
      <c r="A29" s="634" t="s">
        <v>403</v>
      </c>
      <c r="C29" s="3681">
        <f>ROUND(6246.94,0)</f>
        <v>6247</v>
      </c>
      <c r="D29" s="1586"/>
      <c r="E29" s="3681">
        <v>0</v>
      </c>
      <c r="F29" s="1586"/>
      <c r="G29" s="3681">
        <v>0</v>
      </c>
      <c r="H29" s="3681"/>
      <c r="I29" s="3681">
        <v>3062.74</v>
      </c>
      <c r="J29" s="1586"/>
      <c r="K29" s="3681">
        <v>3063</v>
      </c>
      <c r="L29" s="1586"/>
      <c r="M29" s="3681">
        <f>ROUND(SUM(C29)-SUM(K29)+SUM(G29),0)</f>
        <v>3184</v>
      </c>
      <c r="N29" s="649"/>
      <c r="O29" s="1632"/>
      <c r="P29" s="649"/>
      <c r="Q29" s="3681">
        <v>125</v>
      </c>
      <c r="R29" s="3681"/>
      <c r="S29" s="3681">
        <v>249.94</v>
      </c>
      <c r="T29" s="638"/>
      <c r="U29" s="815"/>
      <c r="V29" s="730"/>
      <c r="W29" s="731"/>
    </row>
    <row r="30" spans="1:23">
      <c r="A30" s="634" t="s">
        <v>995</v>
      </c>
      <c r="C30" s="3681">
        <f>ROUND(5870168.98,0)</f>
        <v>5870169</v>
      </c>
      <c r="D30" s="1586"/>
      <c r="E30" s="3681">
        <v>0</v>
      </c>
      <c r="F30" s="1586"/>
      <c r="G30" s="3681">
        <v>-795</v>
      </c>
      <c r="H30" s="3681"/>
      <c r="I30" s="3681">
        <v>316284</v>
      </c>
      <c r="J30" s="1586"/>
      <c r="K30" s="3681">
        <v>372955</v>
      </c>
      <c r="L30" s="1586"/>
      <c r="M30" s="3681">
        <f>ROUND(SUM(C30)-SUM(K30)+SUM(G30),0)</f>
        <v>5496419</v>
      </c>
      <c r="N30" s="649"/>
      <c r="O30" s="1632"/>
      <c r="P30" s="649"/>
      <c r="Q30" s="3681">
        <v>12319</v>
      </c>
      <c r="R30" s="3681"/>
      <c r="S30" s="3681">
        <v>150670.51</v>
      </c>
      <c r="T30" s="638"/>
      <c r="U30" s="815"/>
      <c r="V30" s="730"/>
      <c r="W30" s="731"/>
    </row>
    <row r="31" spans="1:23">
      <c r="A31" s="634" t="s">
        <v>404</v>
      </c>
      <c r="C31" s="3681">
        <f>ROUND(10826301.39,0)</f>
        <v>10826301</v>
      </c>
      <c r="D31" s="1586"/>
      <c r="E31" s="3681">
        <v>0</v>
      </c>
      <c r="F31" s="1586"/>
      <c r="G31" s="3681">
        <v>109856</v>
      </c>
      <c r="H31" s="3681"/>
      <c r="I31" s="3681">
        <v>56783</v>
      </c>
      <c r="J31" s="1586"/>
      <c r="K31" s="3681">
        <v>4475735</v>
      </c>
      <c r="L31" s="1586"/>
      <c r="M31" s="3681">
        <f>ROUND(SUM(C31)-SUM(K31)+SUM(G31),0)</f>
        <v>6460422</v>
      </c>
      <c r="N31" s="649"/>
      <c r="O31" s="1632"/>
      <c r="P31" s="649"/>
      <c r="Q31" s="3681">
        <v>16869</v>
      </c>
      <c r="R31" s="3681"/>
      <c r="S31" s="3681">
        <v>303309.27</v>
      </c>
      <c r="T31" s="638"/>
      <c r="U31" s="815"/>
      <c r="V31" s="730"/>
      <c r="W31" s="731"/>
    </row>
    <row r="32" spans="1:23">
      <c r="C32" s="3681"/>
      <c r="D32" s="815"/>
      <c r="E32" s="3680"/>
      <c r="F32" s="815"/>
      <c r="G32" s="3680"/>
      <c r="H32" s="3680"/>
      <c r="I32" s="3680"/>
      <c r="J32" s="815"/>
      <c r="K32" s="3680"/>
      <c r="L32" s="815"/>
      <c r="M32" s="3680"/>
      <c r="N32" s="649"/>
      <c r="O32" s="1632"/>
      <c r="P32" s="649"/>
      <c r="Q32" s="3681"/>
      <c r="R32" s="3681"/>
      <c r="S32" s="3681"/>
      <c r="U32" s="640"/>
      <c r="V32" s="730"/>
      <c r="W32" s="731"/>
    </row>
    <row r="33" spans="1:24">
      <c r="A33" s="634" t="s">
        <v>405</v>
      </c>
      <c r="C33" s="3681"/>
      <c r="D33" s="815"/>
      <c r="E33" s="3680"/>
      <c r="F33" s="815"/>
      <c r="G33" s="3680"/>
      <c r="H33" s="3680"/>
      <c r="I33" s="3680"/>
      <c r="J33" s="815"/>
      <c r="K33" s="3680"/>
      <c r="L33" s="815"/>
      <c r="M33" s="3680"/>
      <c r="N33" s="649"/>
      <c r="O33" s="1632"/>
      <c r="P33" s="649"/>
      <c r="Q33" s="3681"/>
      <c r="R33" s="3681"/>
      <c r="S33" s="3681"/>
      <c r="U33" s="640"/>
      <c r="V33" s="730"/>
      <c r="W33" s="638"/>
    </row>
    <row r="34" spans="1:24">
      <c r="A34" s="634" t="s">
        <v>1264</v>
      </c>
      <c r="C34" s="3681">
        <f>ROUND(6831631.69,0)</f>
        <v>6831632</v>
      </c>
      <c r="D34" s="1586"/>
      <c r="E34" s="3681">
        <v>0</v>
      </c>
      <c r="F34" s="1586"/>
      <c r="G34" s="3681">
        <v>9798</v>
      </c>
      <c r="H34" s="3681"/>
      <c r="I34" s="3681">
        <v>731746</v>
      </c>
      <c r="J34" s="1586"/>
      <c r="K34" s="3681">
        <v>1473576</v>
      </c>
      <c r="L34" s="1586"/>
      <c r="M34" s="3681">
        <f>ROUND(SUM(C34)-SUM(K34)+SUM(G34),0)</f>
        <v>5367854</v>
      </c>
      <c r="N34" s="649"/>
      <c r="O34" s="1632"/>
      <c r="P34" s="649"/>
      <c r="Q34" s="3681">
        <v>77632</v>
      </c>
      <c r="R34" s="3681"/>
      <c r="S34" s="3681">
        <v>262261.27</v>
      </c>
      <c r="T34" s="638"/>
      <c r="U34" s="815"/>
      <c r="V34" s="730"/>
      <c r="W34" s="731"/>
    </row>
    <row r="35" spans="1:24">
      <c r="A35" s="634" t="s">
        <v>406</v>
      </c>
      <c r="C35" s="3681">
        <f>ROUND(107613084.85,0)</f>
        <v>107613085</v>
      </c>
      <c r="D35" s="1586"/>
      <c r="E35" s="3681">
        <v>0</v>
      </c>
      <c r="F35" s="1586"/>
      <c r="G35" s="3681">
        <v>287704</v>
      </c>
      <c r="H35" s="3681"/>
      <c r="I35" s="3681">
        <v>7567374</v>
      </c>
      <c r="J35" s="1586"/>
      <c r="K35" s="3681">
        <v>14955816</v>
      </c>
      <c r="L35" s="1586"/>
      <c r="M35" s="3681">
        <f>ROUND(SUM(C35)-SUM(K35)+SUM(G35),0)</f>
        <v>92944973</v>
      </c>
      <c r="N35" s="649"/>
      <c r="O35" s="1632"/>
      <c r="P35" s="649"/>
      <c r="Q35" s="3681">
        <v>434885</v>
      </c>
      <c r="R35" s="3681"/>
      <c r="S35" s="3681">
        <v>3859561.56</v>
      </c>
      <c r="T35" s="638"/>
      <c r="U35" s="815"/>
      <c r="V35" s="730"/>
      <c r="W35" s="731"/>
      <c r="X35" s="638"/>
    </row>
    <row r="36" spans="1:24">
      <c r="C36" s="3681"/>
      <c r="D36" s="815"/>
      <c r="E36" s="3680"/>
      <c r="F36" s="815"/>
      <c r="G36" s="3680"/>
      <c r="H36" s="3680"/>
      <c r="I36" s="3680"/>
      <c r="J36" s="815"/>
      <c r="K36" s="3680"/>
      <c r="L36" s="815"/>
      <c r="M36" s="3680"/>
      <c r="N36" s="649"/>
      <c r="O36" s="1632"/>
      <c r="P36" s="649"/>
      <c r="Q36" s="3681"/>
      <c r="R36" s="3681"/>
      <c r="S36" s="3681"/>
      <c r="U36" s="640"/>
      <c r="V36" s="730"/>
      <c r="W36" s="731"/>
    </row>
    <row r="37" spans="1:24">
      <c r="A37" s="634" t="s">
        <v>407</v>
      </c>
      <c r="C37" s="3681"/>
      <c r="D37" s="815"/>
      <c r="E37" s="3680"/>
      <c r="F37" s="815"/>
      <c r="G37" s="3680"/>
      <c r="H37" s="3680"/>
      <c r="I37" s="3680"/>
      <c r="J37" s="815"/>
      <c r="K37" s="3680"/>
      <c r="L37" s="815"/>
      <c r="M37" s="3680"/>
      <c r="N37" s="649"/>
      <c r="O37" s="1632"/>
      <c r="P37" s="649"/>
      <c r="Q37" s="3681"/>
      <c r="R37" s="3681"/>
      <c r="S37" s="3681"/>
      <c r="U37" s="1878"/>
      <c r="V37" s="730"/>
      <c r="W37" s="638"/>
    </row>
    <row r="38" spans="1:24">
      <c r="A38" s="634" t="s">
        <v>1317</v>
      </c>
      <c r="C38" s="3681">
        <f>ROUND(8500000,0)</f>
        <v>8500000</v>
      </c>
      <c r="D38" s="1586"/>
      <c r="E38" s="3681">
        <v>0</v>
      </c>
      <c r="F38" s="1586"/>
      <c r="G38" s="3681">
        <v>0</v>
      </c>
      <c r="H38" s="3681"/>
      <c r="I38" s="3681">
        <v>0</v>
      </c>
      <c r="J38" s="1586"/>
      <c r="K38" s="3681">
        <v>1860000</v>
      </c>
      <c r="L38" s="1586"/>
      <c r="M38" s="3681">
        <f>ROUND(SUM(C38)-SUM(K38)+SUM(G38),0)</f>
        <v>6640000</v>
      </c>
      <c r="N38" s="649"/>
      <c r="O38" s="1632"/>
      <c r="P38" s="649"/>
      <c r="Q38" s="3681">
        <v>0</v>
      </c>
      <c r="R38" s="3681"/>
      <c r="S38" s="3681">
        <v>243000</v>
      </c>
      <c r="T38" s="638"/>
      <c r="U38" s="815"/>
      <c r="V38" s="730"/>
      <c r="W38" s="731"/>
    </row>
    <row r="39" spans="1:24">
      <c r="A39" s="634" t="s">
        <v>996</v>
      </c>
      <c r="C39" s="3681">
        <f>ROUND(6225000,0)</f>
        <v>6225000</v>
      </c>
      <c r="D39" s="1586"/>
      <c r="E39" s="3681">
        <v>0</v>
      </c>
      <c r="F39" s="1586"/>
      <c r="G39" s="3681">
        <v>0</v>
      </c>
      <c r="H39" s="3681"/>
      <c r="I39" s="3681">
        <v>0</v>
      </c>
      <c r="J39" s="1586"/>
      <c r="K39" s="3681">
        <v>2190000</v>
      </c>
      <c r="L39" s="1586"/>
      <c r="M39" s="3681">
        <f>ROUND(SUM(C39)-SUM(K39)+SUM(G39),0)</f>
        <v>4035000</v>
      </c>
      <c r="N39" s="649"/>
      <c r="O39" s="1632"/>
      <c r="P39" s="649"/>
      <c r="Q39" s="3681">
        <v>0</v>
      </c>
      <c r="R39" s="3681"/>
      <c r="S39" s="3681">
        <v>120137.5</v>
      </c>
      <c r="T39" s="638"/>
      <c r="U39" s="815"/>
      <c r="V39" s="730"/>
      <c r="W39" s="731"/>
    </row>
    <row r="40" spans="1:24">
      <c r="C40" s="3681"/>
      <c r="D40" s="815"/>
      <c r="E40" s="3680"/>
      <c r="F40" s="815"/>
      <c r="G40" s="3680"/>
      <c r="H40" s="3680"/>
      <c r="I40" s="3680"/>
      <c r="J40" s="815"/>
      <c r="K40" s="3680"/>
      <c r="L40" s="815"/>
      <c r="M40" s="3680"/>
      <c r="N40" s="649"/>
      <c r="O40" s="1632"/>
      <c r="P40" s="649"/>
      <c r="Q40" s="3681"/>
      <c r="R40" s="3681"/>
      <c r="S40" s="3681"/>
      <c r="U40" s="1878"/>
      <c r="V40" s="730"/>
      <c r="W40" s="731"/>
    </row>
    <row r="41" spans="1:24">
      <c r="A41" s="634" t="s">
        <v>997</v>
      </c>
      <c r="C41" s="3681">
        <v>0</v>
      </c>
      <c r="D41" s="1586"/>
      <c r="E41" s="3681">
        <v>0</v>
      </c>
      <c r="F41" s="1586"/>
      <c r="G41" s="3681">
        <v>0</v>
      </c>
      <c r="H41" s="3681"/>
      <c r="I41" s="3681">
        <v>0</v>
      </c>
      <c r="J41" s="1586"/>
      <c r="K41" s="3681">
        <v>0</v>
      </c>
      <c r="L41" s="1586"/>
      <c r="M41" s="3681">
        <f>ROUND(SUM(C41)-SUM(K41)+SUM(G41),2)</f>
        <v>0</v>
      </c>
      <c r="N41" s="649"/>
      <c r="O41" s="1632"/>
      <c r="P41" s="649"/>
      <c r="Q41" s="3681">
        <v>0</v>
      </c>
      <c r="R41" s="3681"/>
      <c r="S41" s="3681">
        <v>0</v>
      </c>
      <c r="T41" s="638"/>
      <c r="U41" s="815"/>
      <c r="V41" s="730"/>
      <c r="W41" s="731"/>
    </row>
    <row r="42" spans="1:24">
      <c r="C42" s="3681"/>
      <c r="D42" s="1586"/>
      <c r="E42" s="3681"/>
      <c r="F42" s="1586"/>
      <c r="G42" s="3681"/>
      <c r="H42" s="3681"/>
      <c r="I42" s="3681"/>
      <c r="J42" s="1586"/>
      <c r="K42" s="3681"/>
      <c r="L42" s="1586"/>
      <c r="M42" s="3681"/>
      <c r="N42" s="649"/>
      <c r="O42" s="1632"/>
      <c r="P42" s="649"/>
      <c r="Q42" s="3681"/>
      <c r="R42" s="3681"/>
      <c r="S42" s="3681"/>
      <c r="U42" s="1878"/>
      <c r="V42" s="730"/>
      <c r="W42" s="731"/>
    </row>
    <row r="43" spans="1:24">
      <c r="A43" s="634" t="s">
        <v>408</v>
      </c>
      <c r="C43" s="3681">
        <f>ROUND(17772576.39,0)</f>
        <v>17772576</v>
      </c>
      <c r="D43" s="1586"/>
      <c r="E43" s="3681">
        <v>0</v>
      </c>
      <c r="F43" s="1586"/>
      <c r="G43" s="3681">
        <v>367188</v>
      </c>
      <c r="H43" s="3681"/>
      <c r="I43" s="3681">
        <v>204718</v>
      </c>
      <c r="J43" s="1586"/>
      <c r="K43" s="3681">
        <v>2622855</v>
      </c>
      <c r="L43" s="1586"/>
      <c r="M43" s="3681">
        <f>ROUND(SUM(C43)-SUM(K43)+SUM(G43),0)</f>
        <v>15516909</v>
      </c>
      <c r="N43" s="649"/>
      <c r="O43" s="1632"/>
      <c r="P43" s="649"/>
      <c r="Q43" s="3681">
        <v>53639</v>
      </c>
      <c r="R43" s="3681"/>
      <c r="S43" s="3681">
        <v>606275.27</v>
      </c>
      <c r="T43" s="638"/>
      <c r="U43" s="815"/>
      <c r="V43" s="730"/>
      <c r="W43" s="731"/>
    </row>
    <row r="44" spans="1:24">
      <c r="C44" s="3681"/>
      <c r="D44" s="1586"/>
      <c r="E44" s="3681"/>
      <c r="F44" s="1586"/>
      <c r="G44" s="3681"/>
      <c r="H44" s="3681"/>
      <c r="I44" s="3681"/>
      <c r="J44" s="1586"/>
      <c r="K44" s="3681"/>
      <c r="L44" s="1586"/>
      <c r="M44" s="3681"/>
      <c r="N44" s="649"/>
      <c r="O44" s="1632"/>
      <c r="P44" s="649"/>
      <c r="Q44" s="3681"/>
      <c r="R44" s="3681"/>
      <c r="S44" s="3681"/>
      <c r="U44" s="785"/>
      <c r="V44" s="730"/>
      <c r="W44" s="731"/>
    </row>
    <row r="45" spans="1:24">
      <c r="A45" s="634" t="s">
        <v>409</v>
      </c>
      <c r="C45" s="3681">
        <v>0</v>
      </c>
      <c r="D45" s="1586"/>
      <c r="E45" s="3681">
        <v>0</v>
      </c>
      <c r="F45" s="1586"/>
      <c r="G45" s="3681">
        <v>0</v>
      </c>
      <c r="H45" s="3681"/>
      <c r="I45" s="3681">
        <v>0</v>
      </c>
      <c r="J45" s="1586"/>
      <c r="K45" s="3681">
        <v>0</v>
      </c>
      <c r="L45" s="1586"/>
      <c r="M45" s="3681">
        <f>ROUND(SUM(C45)-SUM(K45)+SUM(G45),0)</f>
        <v>0</v>
      </c>
      <c r="N45" s="649"/>
      <c r="O45" s="1632"/>
      <c r="P45" s="649"/>
      <c r="Q45" s="3681">
        <v>0</v>
      </c>
      <c r="R45" s="3681"/>
      <c r="S45" s="3681">
        <v>0</v>
      </c>
      <c r="T45" s="638"/>
      <c r="U45" s="815"/>
      <c r="V45" s="730"/>
      <c r="W45" s="731"/>
    </row>
    <row r="46" spans="1:24">
      <c r="C46" s="3681"/>
      <c r="D46" s="1586"/>
      <c r="E46" s="3681"/>
      <c r="F46" s="1586"/>
      <c r="G46" s="3681"/>
      <c r="H46" s="3681"/>
      <c r="I46" s="3681"/>
      <c r="J46" s="1586"/>
      <c r="K46" s="3681"/>
      <c r="L46" s="1586"/>
      <c r="M46" s="3681"/>
      <c r="N46" s="649"/>
      <c r="O46" s="1632"/>
      <c r="P46" s="649"/>
      <c r="Q46" s="3681"/>
      <c r="R46" s="3681"/>
      <c r="S46" s="3681"/>
      <c r="U46" s="640"/>
      <c r="V46" s="730"/>
      <c r="W46" s="731"/>
    </row>
    <row r="47" spans="1:24">
      <c r="A47" s="634" t="s">
        <v>410</v>
      </c>
      <c r="C47" s="3681"/>
      <c r="D47" s="1587"/>
      <c r="E47" s="3682"/>
      <c r="F47" s="1587"/>
      <c r="G47" s="3682"/>
      <c r="H47" s="3682"/>
      <c r="I47" s="3682"/>
      <c r="J47" s="1587"/>
      <c r="K47" s="3682"/>
      <c r="L47" s="1587"/>
      <c r="M47" s="3682"/>
      <c r="N47" s="649"/>
      <c r="O47" s="1632"/>
      <c r="P47" s="649"/>
      <c r="Q47" s="3681"/>
      <c r="R47" s="3681"/>
      <c r="S47" s="3681"/>
      <c r="U47" s="1878"/>
      <c r="V47" s="730"/>
      <c r="W47" s="731"/>
    </row>
    <row r="48" spans="1:24">
      <c r="A48" s="634" t="s">
        <v>411</v>
      </c>
      <c r="C48" s="3681">
        <f>ROUND(641322675.69,0)</f>
        <v>641322676</v>
      </c>
      <c r="D48" s="1587"/>
      <c r="E48" s="3682">
        <v>0</v>
      </c>
      <c r="F48" s="1587"/>
      <c r="G48" s="3681">
        <v>6303945</v>
      </c>
      <c r="H48" s="3682"/>
      <c r="I48" s="3682">
        <v>22370652</v>
      </c>
      <c r="J48" s="1587"/>
      <c r="K48" s="3682">
        <v>28237517</v>
      </c>
      <c r="L48" s="1587"/>
      <c r="M48" s="3682">
        <f t="shared" ref="M48:M53" si="0">ROUND(SUM(C48)-SUM(K48)+SUM(G48),0)</f>
        <v>619389104</v>
      </c>
      <c r="N48" s="649"/>
      <c r="O48" s="1632"/>
      <c r="P48" s="649"/>
      <c r="Q48" s="3681">
        <v>1917161</v>
      </c>
      <c r="R48" s="3681"/>
      <c r="S48" s="3681">
        <v>17764209.609999999</v>
      </c>
      <c r="T48" s="1633"/>
      <c r="U48" s="815"/>
      <c r="V48" s="730"/>
      <c r="W48" s="731"/>
    </row>
    <row r="49" spans="1:23">
      <c r="A49" s="634" t="s">
        <v>412</v>
      </c>
      <c r="C49" s="3681">
        <f>ROUND(11884363.15,0)</f>
        <v>11884363</v>
      </c>
      <c r="D49" s="1587"/>
      <c r="E49" s="3682">
        <v>0</v>
      </c>
      <c r="F49" s="1587"/>
      <c r="G49" s="3681">
        <v>0</v>
      </c>
      <c r="H49" s="3682"/>
      <c r="I49" s="3682">
        <v>493592</v>
      </c>
      <c r="J49" s="1587"/>
      <c r="K49" s="3682">
        <v>976600</v>
      </c>
      <c r="L49" s="1587"/>
      <c r="M49" s="3682">
        <f t="shared" si="0"/>
        <v>10907763</v>
      </c>
      <c r="N49" s="649"/>
      <c r="O49" s="1632"/>
      <c r="P49" s="649"/>
      <c r="Q49" s="3681">
        <v>72090</v>
      </c>
      <c r="R49" s="3681"/>
      <c r="S49" s="3681">
        <v>351789.77</v>
      </c>
      <c r="T49" s="1633"/>
      <c r="U49" s="815"/>
      <c r="V49" s="730"/>
      <c r="W49" s="731"/>
    </row>
    <row r="50" spans="1:23">
      <c r="A50" s="634" t="s">
        <v>413</v>
      </c>
      <c r="C50" s="3681">
        <f>ROUND(42044726.22,0)</f>
        <v>42044726</v>
      </c>
      <c r="D50" s="1587"/>
      <c r="E50" s="3682">
        <v>0</v>
      </c>
      <c r="F50" s="1587"/>
      <c r="G50" s="3681">
        <v>1372382</v>
      </c>
      <c r="H50" s="3682"/>
      <c r="I50" s="3682">
        <v>1914805</v>
      </c>
      <c r="J50" s="1587"/>
      <c r="K50" s="3682">
        <v>1914805</v>
      </c>
      <c r="L50" s="1587"/>
      <c r="M50" s="3682">
        <f t="shared" si="0"/>
        <v>41502303</v>
      </c>
      <c r="N50" s="649"/>
      <c r="O50" s="1632"/>
      <c r="P50" s="649"/>
      <c r="Q50" s="3681">
        <v>257803</v>
      </c>
      <c r="R50" s="3681"/>
      <c r="S50" s="3681">
        <v>1153599.05</v>
      </c>
      <c r="T50" s="1633"/>
      <c r="U50" s="815"/>
      <c r="V50" s="730"/>
      <c r="W50" s="731"/>
    </row>
    <row r="51" spans="1:23">
      <c r="A51" s="634" t="s">
        <v>414</v>
      </c>
      <c r="C51" s="3681">
        <f>ROUND(94745140.81,0)</f>
        <v>94745141</v>
      </c>
      <c r="D51" s="1587"/>
      <c r="E51" s="3682">
        <v>0</v>
      </c>
      <c r="F51" s="1587"/>
      <c r="G51" s="3681">
        <v>3009919</v>
      </c>
      <c r="H51" s="3682"/>
      <c r="I51" s="3682">
        <v>3908712</v>
      </c>
      <c r="J51" s="1587"/>
      <c r="K51" s="3682">
        <v>3908712</v>
      </c>
      <c r="L51" s="1587"/>
      <c r="M51" s="3682">
        <f t="shared" si="0"/>
        <v>93846348</v>
      </c>
      <c r="N51" s="649"/>
      <c r="O51" s="1632"/>
      <c r="P51" s="649"/>
      <c r="Q51" s="3681">
        <v>778455</v>
      </c>
      <c r="R51" s="3681"/>
      <c r="S51" s="3681">
        <v>2761700.56</v>
      </c>
      <c r="T51" s="1633"/>
      <c r="U51" s="815"/>
      <c r="V51" s="730"/>
      <c r="W51" s="731"/>
    </row>
    <row r="52" spans="1:23">
      <c r="A52" s="634" t="s">
        <v>415</v>
      </c>
      <c r="C52" s="3681">
        <f>ROUND(13915297.45,0)</f>
        <v>13915297</v>
      </c>
      <c r="D52" s="1587"/>
      <c r="E52" s="3682">
        <v>0</v>
      </c>
      <c r="F52" s="1587"/>
      <c r="G52" s="3681">
        <v>-39774</v>
      </c>
      <c r="H52" s="3682"/>
      <c r="I52" s="3682">
        <v>751316</v>
      </c>
      <c r="J52" s="1587"/>
      <c r="K52" s="3682">
        <v>751316</v>
      </c>
      <c r="L52" s="1587"/>
      <c r="M52" s="3682">
        <f t="shared" si="0"/>
        <v>13124207</v>
      </c>
      <c r="N52" s="649"/>
      <c r="O52" s="1632"/>
      <c r="P52" s="649"/>
      <c r="Q52" s="3681">
        <v>59728</v>
      </c>
      <c r="R52" s="3681"/>
      <c r="S52" s="3681">
        <v>368741.09</v>
      </c>
      <c r="T52" s="1633"/>
      <c r="U52" s="815"/>
      <c r="V52" s="730"/>
      <c r="W52" s="731"/>
    </row>
    <row r="53" spans="1:23">
      <c r="A53" s="634" t="s">
        <v>894</v>
      </c>
      <c r="C53" s="3681">
        <f>ROUND(721891398.63,0)</f>
        <v>721891399</v>
      </c>
      <c r="D53" s="1586"/>
      <c r="E53" s="3681">
        <v>0</v>
      </c>
      <c r="F53" s="1586"/>
      <c r="G53" s="3681">
        <v>11348989</v>
      </c>
      <c r="H53" s="3681"/>
      <c r="I53" s="3681">
        <v>6879257</v>
      </c>
      <c r="J53" s="1586"/>
      <c r="K53" s="3681">
        <v>13226070</v>
      </c>
      <c r="L53" s="1586"/>
      <c r="M53" s="3681">
        <f t="shared" si="0"/>
        <v>720014318</v>
      </c>
      <c r="N53" s="649"/>
      <c r="O53" s="1632"/>
      <c r="P53" s="649"/>
      <c r="Q53" s="3681">
        <v>2983980</v>
      </c>
      <c r="R53" s="3681"/>
      <c r="S53" s="3681">
        <v>22177484.189999998</v>
      </c>
      <c r="T53" s="1633"/>
      <c r="U53" s="815"/>
      <c r="V53" s="730"/>
      <c r="W53" s="731"/>
    </row>
    <row r="54" spans="1:23">
      <c r="C54" s="3681"/>
      <c r="D54" s="1586"/>
      <c r="E54" s="3681"/>
      <c r="F54" s="1586"/>
      <c r="G54" s="3681"/>
      <c r="H54" s="3681"/>
      <c r="I54" s="3681"/>
      <c r="J54" s="1586"/>
      <c r="K54" s="3681"/>
      <c r="L54" s="1586"/>
      <c r="M54" s="3681"/>
      <c r="N54" s="649"/>
      <c r="O54" s="1632"/>
      <c r="P54" s="649"/>
      <c r="Q54" s="3681"/>
      <c r="R54" s="3681"/>
      <c r="S54" s="3681"/>
      <c r="U54" s="640"/>
      <c r="V54" s="730"/>
      <c r="W54" s="731"/>
    </row>
    <row r="55" spans="1:23">
      <c r="A55" s="634" t="s">
        <v>895</v>
      </c>
      <c r="C55" s="3681"/>
      <c r="D55" s="1586"/>
      <c r="E55" s="3681"/>
      <c r="F55" s="1586"/>
      <c r="G55" s="3681"/>
      <c r="H55" s="3681"/>
      <c r="I55" s="3681"/>
      <c r="J55" s="1586"/>
      <c r="K55" s="3681"/>
      <c r="L55" s="1586"/>
      <c r="M55" s="3681"/>
      <c r="N55" s="649"/>
      <c r="O55" s="1632"/>
      <c r="P55" s="649"/>
      <c r="Q55" s="3681"/>
      <c r="R55" s="3681"/>
      <c r="S55" s="3681"/>
      <c r="U55" s="1878"/>
      <c r="V55" s="730"/>
      <c r="W55" s="638"/>
    </row>
    <row r="56" spans="1:23">
      <c r="A56" s="634" t="s">
        <v>998</v>
      </c>
      <c r="C56" s="3681">
        <f>ROUND(741417.6,0)</f>
        <v>741418</v>
      </c>
      <c r="D56" s="1586"/>
      <c r="E56" s="3681">
        <v>0</v>
      </c>
      <c r="F56" s="1586"/>
      <c r="G56" s="3681">
        <v>-1803.55</v>
      </c>
      <c r="H56" s="3681"/>
      <c r="I56" s="3681">
        <v>22018</v>
      </c>
      <c r="J56" s="1586"/>
      <c r="K56" s="3681">
        <v>37842</v>
      </c>
      <c r="L56" s="1586"/>
      <c r="M56" s="3681">
        <f>ROUND(SUM(C56)-SUM(K56)+SUM(G56),0)</f>
        <v>701772</v>
      </c>
      <c r="N56" s="649"/>
      <c r="O56" s="1632"/>
      <c r="P56" s="649"/>
      <c r="Q56" s="3681">
        <v>247</v>
      </c>
      <c r="R56" s="3681"/>
      <c r="S56" s="3681">
        <v>19188.91</v>
      </c>
      <c r="T56" s="638"/>
      <c r="U56" s="815"/>
      <c r="V56" s="730"/>
      <c r="W56" s="731"/>
    </row>
    <row r="57" spans="1:23">
      <c r="A57" s="634" t="s">
        <v>968</v>
      </c>
      <c r="C57" s="3681">
        <f>ROUND(2597617.35,0)</f>
        <v>2597617</v>
      </c>
      <c r="D57" s="1586"/>
      <c r="E57" s="3681">
        <v>0</v>
      </c>
      <c r="F57" s="1586"/>
      <c r="G57" s="3681">
        <v>0</v>
      </c>
      <c r="H57" s="3681"/>
      <c r="I57" s="3681">
        <v>0</v>
      </c>
      <c r="J57" s="1586"/>
      <c r="K57" s="3681">
        <v>555054</v>
      </c>
      <c r="L57" s="1586"/>
      <c r="M57" s="3681">
        <f>ROUND(SUM(C57)-SUM(K57)+SUM(G57),0)</f>
        <v>2042563</v>
      </c>
      <c r="N57" s="649"/>
      <c r="O57" s="1632"/>
      <c r="P57" s="649"/>
      <c r="Q57" s="3681">
        <v>0</v>
      </c>
      <c r="R57" s="3681"/>
      <c r="S57" s="3681">
        <v>112616.68</v>
      </c>
      <c r="T57" s="638"/>
      <c r="U57" s="815"/>
      <c r="V57" s="730"/>
      <c r="W57" s="731"/>
    </row>
    <row r="58" spans="1:23" ht="13.5" customHeight="1">
      <c r="C58" s="3681"/>
      <c r="D58" s="1586"/>
      <c r="E58" s="3681"/>
      <c r="F58" s="1586"/>
      <c r="G58" s="3681"/>
      <c r="H58" s="3681"/>
      <c r="I58" s="3681"/>
      <c r="J58" s="1586"/>
      <c r="K58" s="3681"/>
      <c r="L58" s="1586"/>
      <c r="M58" s="3681"/>
      <c r="N58" s="649"/>
      <c r="O58" s="1632"/>
      <c r="P58" s="649"/>
      <c r="Q58" s="3681"/>
      <c r="R58" s="3681"/>
      <c r="S58" s="3681"/>
      <c r="U58" s="640"/>
      <c r="V58" s="730"/>
      <c r="W58" s="731"/>
    </row>
    <row r="59" spans="1:23">
      <c r="A59" s="634" t="s">
        <v>1302</v>
      </c>
      <c r="C59" s="3681">
        <f>ROUND(179020225.27,0)</f>
        <v>179020225</v>
      </c>
      <c r="D59" s="1586"/>
      <c r="E59" s="3681">
        <v>0</v>
      </c>
      <c r="F59" s="1586"/>
      <c r="G59" s="3681">
        <v>0</v>
      </c>
      <c r="H59" s="3681"/>
      <c r="I59" s="3681">
        <v>9437108</v>
      </c>
      <c r="J59" s="1586"/>
      <c r="K59" s="3681">
        <v>9437108</v>
      </c>
      <c r="L59" s="1586"/>
      <c r="M59" s="3681">
        <f>ROUND(SUM(C59)-SUM(K59)+SUM(G59),0)</f>
        <v>169583117</v>
      </c>
      <c r="N59" s="649"/>
      <c r="O59" s="1632"/>
      <c r="P59" s="649"/>
      <c r="Q59" s="3681">
        <v>2251632</v>
      </c>
      <c r="R59" s="3681"/>
      <c r="S59" s="3681">
        <v>6478766.6200000001</v>
      </c>
      <c r="T59" s="638"/>
      <c r="U59" s="815"/>
      <c r="V59" s="730"/>
      <c r="W59" s="731"/>
    </row>
    <row r="60" spans="1:23" ht="13.5" customHeight="1">
      <c r="C60" s="3681"/>
      <c r="D60" s="1586"/>
      <c r="E60" s="3681"/>
      <c r="F60" s="1586"/>
      <c r="G60" s="3681"/>
      <c r="H60" s="3681"/>
      <c r="I60" s="3681"/>
      <c r="J60" s="1586"/>
      <c r="K60" s="3681"/>
      <c r="L60" s="1586"/>
      <c r="M60" s="3681"/>
      <c r="N60" s="649"/>
      <c r="O60" s="1632"/>
      <c r="P60" s="649"/>
      <c r="Q60" s="3681"/>
      <c r="R60" s="3681"/>
      <c r="S60" s="3681"/>
      <c r="U60" s="640"/>
      <c r="V60" s="730"/>
      <c r="W60" s="731"/>
    </row>
    <row r="61" spans="1:23">
      <c r="A61" s="634" t="s">
        <v>416</v>
      </c>
      <c r="C61" s="3681"/>
      <c r="D61" s="1586"/>
      <c r="E61" s="3681"/>
      <c r="F61" s="1586"/>
      <c r="G61" s="3681"/>
      <c r="H61" s="3681"/>
      <c r="I61" s="3681"/>
      <c r="J61" s="1586"/>
      <c r="K61" s="3681"/>
      <c r="L61" s="1586"/>
      <c r="M61" s="3681"/>
      <c r="N61" s="649"/>
      <c r="O61" s="1632"/>
      <c r="P61" s="649"/>
      <c r="Q61" s="3681"/>
      <c r="R61" s="3681"/>
      <c r="S61" s="3681"/>
      <c r="U61" s="1878"/>
      <c r="V61" s="730"/>
      <c r="W61" s="638"/>
    </row>
    <row r="62" spans="1:23">
      <c r="A62" s="634" t="s">
        <v>413</v>
      </c>
      <c r="C62" s="3681">
        <f>ROUND(3018694.6,0)</f>
        <v>3018695</v>
      </c>
      <c r="D62" s="1586"/>
      <c r="E62" s="3681">
        <v>0</v>
      </c>
      <c r="F62" s="1586"/>
      <c r="G62" s="3681">
        <v>0</v>
      </c>
      <c r="H62" s="3681"/>
      <c r="I62" s="3681">
        <v>0</v>
      </c>
      <c r="J62" s="1586"/>
      <c r="K62" s="3681">
        <v>928596</v>
      </c>
      <c r="L62" s="1586"/>
      <c r="M62" s="3681">
        <f>ROUND(SUM(C62)-SUM(K62)+SUM(G62),0)</f>
        <v>2090099</v>
      </c>
      <c r="N62" s="649"/>
      <c r="O62" s="1632"/>
      <c r="P62" s="649"/>
      <c r="Q62" s="3681">
        <v>0</v>
      </c>
      <c r="R62" s="3681"/>
      <c r="S62" s="3681">
        <v>113588.62</v>
      </c>
      <c r="T62" s="638"/>
      <c r="U62" s="815"/>
      <c r="V62" s="730"/>
      <c r="W62" s="731"/>
    </row>
    <row r="63" spans="1:23">
      <c r="A63" s="634" t="s">
        <v>417</v>
      </c>
      <c r="C63" s="3681">
        <v>0</v>
      </c>
      <c r="D63" s="1586"/>
      <c r="E63" s="3681">
        <v>0</v>
      </c>
      <c r="F63" s="1586"/>
      <c r="G63" s="3681">
        <v>0</v>
      </c>
      <c r="H63" s="3681"/>
      <c r="I63" s="3681">
        <v>0</v>
      </c>
      <c r="J63" s="1586"/>
      <c r="K63" s="1586">
        <v>0</v>
      </c>
      <c r="L63" s="1586"/>
      <c r="M63" s="3681">
        <f>ROUND(SUM(C63)-SUM(K63)+SUM(G63),2)</f>
        <v>0</v>
      </c>
      <c r="N63" s="649"/>
      <c r="O63" s="1632"/>
      <c r="P63" s="649"/>
      <c r="Q63" s="3681">
        <v>0</v>
      </c>
      <c r="R63" s="3681"/>
      <c r="S63" s="3681">
        <v>0</v>
      </c>
      <c r="T63" s="638"/>
      <c r="U63" s="815"/>
      <c r="V63" s="730"/>
      <c r="W63" s="731"/>
    </row>
    <row r="64" spans="1:23">
      <c r="B64" s="649"/>
      <c r="C64" s="3687"/>
      <c r="D64" s="1634"/>
      <c r="E64" s="3683"/>
      <c r="F64" s="1634"/>
      <c r="G64" s="3683"/>
      <c r="H64" s="3683"/>
      <c r="I64" s="3683"/>
      <c r="J64" s="3683"/>
      <c r="K64" s="3683"/>
      <c r="L64" s="3683"/>
      <c r="M64" s="3683"/>
      <c r="N64" s="649"/>
      <c r="O64" s="1632"/>
      <c r="P64" s="649"/>
      <c r="Q64" s="1635"/>
      <c r="R64" s="649"/>
      <c r="S64" s="1636"/>
      <c r="T64" s="644"/>
    </row>
    <row r="65" spans="1:23" ht="15" customHeight="1" thickBot="1">
      <c r="A65" s="636" t="s">
        <v>418</v>
      </c>
      <c r="B65" s="1637"/>
      <c r="C65" s="3684">
        <f>ROUND(SUM(C16:C63),2)</f>
        <v>2285634999</v>
      </c>
      <c r="D65" s="2200"/>
      <c r="E65" s="3684">
        <f>ROUND(SUM(E16:E64),2)</f>
        <v>0</v>
      </c>
      <c r="F65" s="2200"/>
      <c r="G65" s="3684">
        <f>ROUND(SUM(G16:G63),2)</f>
        <v>25780000.399999999</v>
      </c>
      <c r="H65" s="1637"/>
      <c r="I65" s="3684">
        <f>ROUND(SUM(I16:I63),2)</f>
        <v>81404999.739999995</v>
      </c>
      <c r="J65" s="1637"/>
      <c r="K65" s="3684">
        <f>ROUND(SUM(K16:K63),0)</f>
        <v>127740000</v>
      </c>
      <c r="L65" s="1637"/>
      <c r="M65" s="3684">
        <f>ROUND(SUM(M16:M63),2)</f>
        <v>2183674999</v>
      </c>
      <c r="N65" s="1638"/>
      <c r="O65" s="1639"/>
      <c r="P65" s="1637"/>
      <c r="Q65" s="3684">
        <f>ROUND(SUM(Q16:Q63),2)</f>
        <v>12162090</v>
      </c>
      <c r="R65" s="1637"/>
      <c r="S65" s="3684">
        <f>ROUND(SUM(S16:S63),0)</f>
        <v>70722510</v>
      </c>
      <c r="T65" s="1640"/>
      <c r="U65" s="2200"/>
      <c r="V65" s="786"/>
      <c r="W65" s="786"/>
    </row>
    <row r="66" spans="1:23" ht="15" customHeight="1" thickTop="1">
      <c r="A66" s="1641"/>
      <c r="B66" s="1642"/>
      <c r="C66" s="883"/>
      <c r="D66" s="1640"/>
      <c r="E66" s="1643"/>
      <c r="F66" s="1640"/>
      <c r="G66" s="1643"/>
      <c r="H66" s="1642"/>
      <c r="I66" s="1640"/>
      <c r="J66" s="1642"/>
      <c r="K66" s="1644"/>
      <c r="L66" s="1642"/>
      <c r="M66" s="883"/>
      <c r="N66" s="636"/>
      <c r="O66" s="636"/>
      <c r="P66" s="1642"/>
      <c r="Q66" s="1644"/>
      <c r="R66" s="1642"/>
      <c r="S66" s="1640"/>
      <c r="U66" s="787"/>
      <c r="V66" s="787"/>
      <c r="W66" s="787"/>
    </row>
    <row r="67" spans="1:23">
      <c r="A67" s="1645" t="s">
        <v>1483</v>
      </c>
      <c r="B67" s="644"/>
      <c r="C67" s="887"/>
      <c r="D67" s="644"/>
      <c r="E67" s="644"/>
      <c r="F67" s="644"/>
      <c r="H67" s="649"/>
      <c r="I67" s="634"/>
      <c r="J67" s="649"/>
      <c r="K67" s="634"/>
      <c r="L67" s="649"/>
      <c r="N67" s="644"/>
      <c r="P67" s="732"/>
    </row>
    <row r="68" spans="1:23">
      <c r="A68" s="732"/>
      <c r="C68" s="887"/>
      <c r="D68" s="644"/>
      <c r="E68" s="788"/>
      <c r="F68" s="644"/>
      <c r="G68" s="644"/>
      <c r="H68" s="730"/>
      <c r="I68" s="649"/>
      <c r="J68" s="730"/>
      <c r="K68" s="649"/>
      <c r="L68" s="731"/>
      <c r="O68" s="644"/>
      <c r="P68" s="731"/>
      <c r="Q68" s="1905"/>
      <c r="R68" s="638"/>
      <c r="S68" s="1905"/>
    </row>
    <row r="69" spans="1:23">
      <c r="A69" s="650"/>
      <c r="E69" s="1646"/>
      <c r="G69" s="648"/>
      <c r="I69" s="640"/>
      <c r="K69" s="640"/>
      <c r="Q69" s="638"/>
      <c r="S69" s="638"/>
      <c r="T69" s="637"/>
    </row>
    <row r="70" spans="1:23">
      <c r="E70" s="649"/>
      <c r="G70" s="649"/>
      <c r="M70" s="815"/>
      <c r="O70" s="644"/>
      <c r="Q70" s="732"/>
    </row>
    <row r="71" spans="1:23">
      <c r="D71" s="638"/>
      <c r="E71" s="639"/>
      <c r="F71" s="638"/>
      <c r="G71" s="639"/>
      <c r="I71" s="640"/>
      <c r="K71" s="640"/>
      <c r="M71" s="641"/>
      <c r="O71" s="644"/>
      <c r="Q71" s="645"/>
      <c r="S71" s="638"/>
    </row>
    <row r="72" spans="1:23">
      <c r="D72" s="638"/>
      <c r="E72" s="639"/>
      <c r="F72" s="638"/>
      <c r="G72" s="731"/>
      <c r="I72" s="640"/>
      <c r="K72" s="640"/>
      <c r="M72" s="884"/>
      <c r="O72" s="644"/>
      <c r="Q72" s="731"/>
      <c r="S72" s="638"/>
    </row>
    <row r="73" spans="1:23">
      <c r="D73" s="638"/>
      <c r="E73" s="639"/>
      <c r="F73" s="638"/>
      <c r="G73" s="729"/>
      <c r="I73" s="640"/>
      <c r="K73" s="640"/>
      <c r="M73" s="815"/>
      <c r="O73" s="644"/>
      <c r="Q73" s="785"/>
      <c r="S73" s="638"/>
    </row>
    <row r="74" spans="1:23">
      <c r="D74" s="638"/>
      <c r="E74" s="639"/>
      <c r="F74" s="638"/>
      <c r="G74" s="639"/>
      <c r="I74" s="640"/>
      <c r="K74" s="640"/>
      <c r="M74" s="641"/>
      <c r="O74" s="644"/>
      <c r="Q74" s="645"/>
      <c r="S74" s="638"/>
      <c r="T74" s="637"/>
    </row>
    <row r="75" spans="1:23">
      <c r="D75" s="638"/>
      <c r="E75" s="639"/>
      <c r="F75" s="638"/>
      <c r="G75" s="639"/>
      <c r="I75" s="640"/>
      <c r="K75" s="640"/>
      <c r="M75" s="641"/>
      <c r="O75" s="644"/>
      <c r="Q75" s="645"/>
      <c r="S75" s="638"/>
    </row>
    <row r="76" spans="1:23">
      <c r="D76" s="638"/>
      <c r="E76" s="639"/>
      <c r="F76" s="638"/>
      <c r="G76" s="731"/>
      <c r="I76" s="640"/>
      <c r="K76" s="640"/>
      <c r="M76" s="884"/>
      <c r="O76" s="644"/>
      <c r="Q76" s="731"/>
      <c r="S76" s="638"/>
    </row>
    <row r="77" spans="1:23">
      <c r="D77" s="638"/>
      <c r="E77" s="639"/>
      <c r="F77" s="638"/>
      <c r="G77" s="729"/>
      <c r="I77" s="640"/>
      <c r="K77" s="640"/>
      <c r="M77" s="815"/>
      <c r="O77" s="644"/>
      <c r="Q77" s="785"/>
      <c r="S77" s="638"/>
    </row>
    <row r="78" spans="1:23">
      <c r="B78" s="644"/>
      <c r="C78" s="887"/>
      <c r="D78" s="789"/>
      <c r="E78" s="790"/>
      <c r="F78" s="789"/>
      <c r="G78" s="790"/>
      <c r="H78" s="644"/>
      <c r="I78" s="791"/>
      <c r="J78" s="644"/>
      <c r="K78" s="791"/>
      <c r="L78" s="644"/>
      <c r="M78" s="885"/>
      <c r="N78" s="644"/>
      <c r="O78" s="644"/>
      <c r="P78" s="644"/>
      <c r="Q78" s="792"/>
      <c r="R78" s="644"/>
      <c r="S78" s="789"/>
    </row>
    <row r="79" spans="1:23">
      <c r="A79" s="644"/>
      <c r="B79" s="644"/>
      <c r="C79" s="3688"/>
      <c r="D79" s="643"/>
      <c r="E79" s="793"/>
      <c r="F79" s="643"/>
      <c r="G79" s="793"/>
      <c r="H79" s="642"/>
      <c r="I79" s="646"/>
      <c r="J79" s="642"/>
      <c r="K79" s="646"/>
      <c r="L79" s="642"/>
      <c r="M79" s="886"/>
      <c r="N79" s="642"/>
      <c r="O79" s="642"/>
      <c r="P79" s="642"/>
      <c r="Q79" s="793"/>
      <c r="R79" s="642"/>
      <c r="S79" s="643"/>
    </row>
    <row r="80" spans="1:23">
      <c r="A80" s="642"/>
      <c r="C80" s="883"/>
      <c r="D80" s="787"/>
      <c r="E80" s="787"/>
      <c r="F80" s="787"/>
      <c r="G80" s="787"/>
      <c r="H80" s="636"/>
      <c r="I80" s="784"/>
      <c r="J80" s="636"/>
      <c r="K80" s="784"/>
      <c r="L80" s="636"/>
      <c r="M80" s="883"/>
      <c r="N80" s="636"/>
      <c r="O80" s="636"/>
      <c r="P80" s="636"/>
      <c r="Q80" s="787"/>
      <c r="R80" s="636"/>
      <c r="S80" s="787"/>
    </row>
    <row r="81" spans="1:13">
      <c r="A81" s="636"/>
    </row>
    <row r="82" spans="1:13">
      <c r="C82" s="3689"/>
      <c r="D82" s="732"/>
      <c r="F82" s="732"/>
    </row>
    <row r="83" spans="1:13">
      <c r="C83" s="3690"/>
      <c r="D83" s="650"/>
      <c r="E83" s="788"/>
      <c r="F83" s="650"/>
      <c r="G83" s="788"/>
      <c r="H83" s="644"/>
      <c r="I83" s="647"/>
      <c r="J83" s="644"/>
      <c r="K83" s="647"/>
      <c r="L83" s="644"/>
      <c r="M83" s="887"/>
    </row>
    <row r="84" spans="1:13">
      <c r="E84" s="1588"/>
      <c r="G84" s="733"/>
    </row>
    <row r="85" spans="1:13">
      <c r="E85" s="1647"/>
      <c r="G85" s="648"/>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88671875" defaultRowHeight="12.75"/>
  <cols>
    <col min="1" max="1" width="3.88671875" style="1648" customWidth="1"/>
    <col min="2" max="2" width="43.88671875" style="1648" customWidth="1"/>
    <col min="3" max="3" width="2.109375" style="1648" customWidth="1"/>
    <col min="4" max="4" width="13.88671875" style="1648" customWidth="1"/>
    <col min="5" max="5" width="2.109375" style="1648" customWidth="1"/>
    <col min="6" max="6" width="24" style="1648" bestFit="1" customWidth="1"/>
    <col min="7" max="7" width="2.109375" style="1648" customWidth="1"/>
    <col min="8" max="8" width="20.109375" style="1648" customWidth="1"/>
    <col min="9" max="9" width="2.109375" style="1648" customWidth="1"/>
    <col min="10" max="10" width="17.88671875" style="1648" bestFit="1" customWidth="1"/>
    <col min="11" max="11" width="2.109375" style="1648" customWidth="1"/>
    <col min="12" max="12" width="17.88671875" style="1648" bestFit="1" customWidth="1"/>
    <col min="13" max="13" width="2.109375" style="1648" customWidth="1"/>
    <col min="14" max="14" width="19.88671875" style="1648" bestFit="1" customWidth="1"/>
    <col min="15" max="15" width="2.109375" style="1648" customWidth="1"/>
    <col min="16" max="16" width="18.44140625" style="1648" bestFit="1" customWidth="1"/>
    <col min="17" max="17" width="2.109375" style="1648" customWidth="1"/>
    <col min="18" max="18" width="19.88671875" style="1648" customWidth="1"/>
    <col min="19" max="19" width="2.109375" style="1648" customWidth="1"/>
    <col min="20" max="20" width="19.88671875" style="1648" bestFit="1" customWidth="1"/>
    <col min="21" max="21" width="2.109375" style="1648" customWidth="1"/>
    <col min="22" max="22" width="20.88671875" style="1648" bestFit="1" customWidth="1"/>
    <col min="23" max="23" width="17.109375" style="1648" customWidth="1"/>
    <col min="24" max="24" width="18.5546875" style="1648" customWidth="1"/>
    <col min="25" max="25" width="35.109375" style="1648" bestFit="1" customWidth="1"/>
    <col min="26" max="16384" width="8.88671875" style="1648"/>
  </cols>
  <sheetData>
    <row r="1" spans="1:23" ht="15">
      <c r="B1" s="948" t="s">
        <v>979</v>
      </c>
    </row>
    <row r="2" spans="1:23" ht="16.5">
      <c r="B2" s="2106"/>
      <c r="C2" s="2106"/>
      <c r="D2" s="2106"/>
      <c r="E2" s="2106"/>
      <c r="F2" s="2106"/>
      <c r="G2" s="2106"/>
      <c r="H2" s="2106"/>
      <c r="I2" s="2106"/>
      <c r="J2" s="2106"/>
      <c r="K2" s="2106"/>
      <c r="L2" s="2106"/>
      <c r="M2" s="2106"/>
      <c r="N2" s="2106"/>
      <c r="O2" s="2106"/>
      <c r="P2" s="2106"/>
      <c r="Q2" s="2106"/>
      <c r="R2" s="2106"/>
      <c r="S2" s="2106"/>
      <c r="T2" s="2106"/>
      <c r="U2" s="2106"/>
      <c r="V2" s="2106"/>
      <c r="W2" s="2107"/>
    </row>
    <row r="3" spans="1:23" ht="18">
      <c r="A3" s="1649"/>
      <c r="B3" s="2108" t="s">
        <v>0</v>
      </c>
      <c r="C3" s="2109"/>
      <c r="D3" s="2109"/>
      <c r="E3" s="2109"/>
      <c r="F3" s="2106"/>
      <c r="G3" s="2106"/>
      <c r="H3" s="2106"/>
      <c r="I3" s="2106"/>
      <c r="J3" s="2106"/>
      <c r="K3" s="2106"/>
      <c r="L3" s="2106"/>
      <c r="M3" s="2106"/>
      <c r="N3" s="2106"/>
      <c r="O3" s="2106"/>
      <c r="P3" s="2106"/>
      <c r="Q3" s="2106"/>
      <c r="R3" s="2106"/>
      <c r="S3" s="2106"/>
      <c r="T3" s="2106"/>
      <c r="U3" s="2106"/>
      <c r="V3" s="2110" t="s">
        <v>419</v>
      </c>
      <c r="W3" s="2111"/>
    </row>
    <row r="4" spans="1:23" ht="18">
      <c r="A4" s="1649"/>
      <c r="B4" s="2108" t="s">
        <v>420</v>
      </c>
      <c r="C4" s="2109"/>
      <c r="D4" s="2109"/>
      <c r="E4" s="2109"/>
      <c r="F4" s="2106"/>
      <c r="G4" s="2106"/>
      <c r="H4" s="2106"/>
      <c r="I4" s="2106"/>
      <c r="J4" s="2106"/>
      <c r="K4" s="2106"/>
      <c r="L4" s="2106"/>
      <c r="M4" s="2106"/>
      <c r="N4" s="2106"/>
      <c r="O4" s="2106"/>
      <c r="P4" s="2106"/>
      <c r="Q4" s="2106"/>
      <c r="R4" s="2106"/>
      <c r="S4" s="2106"/>
      <c r="T4" s="2106"/>
      <c r="U4" s="2106"/>
      <c r="V4" s="2112"/>
      <c r="W4" s="2107"/>
    </row>
    <row r="5" spans="1:23" ht="18">
      <c r="A5" s="1649"/>
      <c r="B5" s="2108" t="s">
        <v>421</v>
      </c>
      <c r="C5" s="2109"/>
      <c r="D5" s="2109"/>
      <c r="E5" s="2109"/>
      <c r="F5" s="2106"/>
      <c r="G5" s="2106"/>
      <c r="H5" s="2106"/>
      <c r="I5" s="2106"/>
      <c r="J5" s="2106"/>
      <c r="K5" s="2106"/>
      <c r="L5" s="2106"/>
      <c r="M5" s="2106"/>
      <c r="N5" s="2106"/>
      <c r="O5" s="2106"/>
      <c r="P5" s="2106"/>
      <c r="Q5" s="2106"/>
      <c r="R5" s="2106"/>
      <c r="S5" s="2106"/>
      <c r="T5" s="2106"/>
      <c r="U5" s="2106"/>
      <c r="V5" s="2106"/>
      <c r="W5" s="2107"/>
    </row>
    <row r="6" spans="1:23" ht="18">
      <c r="A6" s="1649"/>
      <c r="B6" s="2113" t="s">
        <v>1602</v>
      </c>
      <c r="C6" s="2114"/>
      <c r="D6" s="2109"/>
      <c r="E6" s="2109"/>
      <c r="F6" s="2106"/>
      <c r="G6" s="2106"/>
      <c r="H6" s="2106"/>
      <c r="I6" s="2106"/>
      <c r="J6" s="2106"/>
      <c r="K6" s="2106"/>
      <c r="L6" s="2106"/>
      <c r="M6" s="2106"/>
      <c r="N6" s="2106"/>
      <c r="O6" s="2106"/>
      <c r="P6" s="2106"/>
      <c r="Q6" s="2106"/>
      <c r="R6" s="2106"/>
      <c r="S6" s="2106"/>
      <c r="T6" s="2106"/>
      <c r="U6" s="2106"/>
      <c r="V6" s="2106"/>
      <c r="W6" s="2107"/>
    </row>
    <row r="7" spans="1:23" ht="16.5">
      <c r="A7" s="1649"/>
      <c r="B7" s="2115"/>
      <c r="C7" s="2115"/>
      <c r="D7" s="2109"/>
      <c r="E7" s="2109"/>
      <c r="F7" s="2106"/>
      <c r="G7" s="2106"/>
      <c r="H7" s="2106"/>
      <c r="I7" s="2106"/>
      <c r="J7" s="2106"/>
      <c r="K7" s="2106"/>
      <c r="L7" s="2106"/>
      <c r="M7" s="2106"/>
      <c r="N7" s="2106"/>
      <c r="O7" s="2106"/>
      <c r="P7" s="2106"/>
      <c r="Q7" s="2106"/>
      <c r="R7" s="2106"/>
      <c r="S7" s="2106"/>
      <c r="T7" s="2106"/>
      <c r="U7" s="2106"/>
      <c r="V7" s="2106"/>
      <c r="W7" s="2107"/>
    </row>
    <row r="8" spans="1:23" ht="5.25" customHeight="1">
      <c r="B8" s="2116"/>
      <c r="C8" s="2116"/>
      <c r="D8" s="2106"/>
      <c r="E8" s="2106"/>
      <c r="F8" s="2106"/>
      <c r="G8" s="2106"/>
      <c r="H8" s="2106"/>
      <c r="I8" s="2106"/>
      <c r="J8" s="2106"/>
      <c r="K8" s="2106"/>
      <c r="L8" s="2106"/>
      <c r="M8" s="2106"/>
      <c r="N8" s="2106"/>
      <c r="O8" s="2106"/>
      <c r="P8" s="2106"/>
      <c r="Q8" s="2106"/>
      <c r="R8" s="2106"/>
      <c r="S8" s="2106"/>
      <c r="T8" s="2106"/>
      <c r="U8" s="2106"/>
      <c r="V8" s="2106"/>
      <c r="W8" s="2107"/>
    </row>
    <row r="9" spans="1:23" ht="16.5">
      <c r="B9" s="2106"/>
      <c r="C9" s="2106"/>
      <c r="E9" s="2117"/>
      <c r="F9" s="2117"/>
      <c r="G9" s="2117"/>
      <c r="H9" s="2117"/>
      <c r="I9" s="2117"/>
      <c r="J9" s="2117" t="s">
        <v>422</v>
      </c>
      <c r="K9" s="2117"/>
      <c r="L9" s="2117"/>
      <c r="M9" s="2117"/>
      <c r="N9" s="2117"/>
      <c r="O9" s="2117"/>
      <c r="P9" s="2117"/>
      <c r="Q9" s="2117"/>
      <c r="R9" s="2106"/>
      <c r="S9" s="2106"/>
      <c r="T9" s="2106"/>
      <c r="U9" s="2106"/>
      <c r="V9" s="2106"/>
      <c r="W9" s="2107"/>
    </row>
    <row r="10" spans="1:23" ht="16.5">
      <c r="B10" s="2106"/>
      <c r="C10" s="2106"/>
      <c r="D10" s="2117" t="s">
        <v>122</v>
      </c>
      <c r="E10" s="2118"/>
      <c r="F10" s="2118" t="s">
        <v>105</v>
      </c>
      <c r="G10" s="2118"/>
      <c r="H10" s="2118" t="s">
        <v>424</v>
      </c>
      <c r="I10" s="2118"/>
      <c r="J10" s="2118" t="s">
        <v>425</v>
      </c>
      <c r="K10" s="2118"/>
      <c r="L10" s="2118" t="s">
        <v>426</v>
      </c>
      <c r="M10" s="2118"/>
      <c r="N10" s="2118" t="s">
        <v>10</v>
      </c>
      <c r="O10" s="2118"/>
      <c r="P10" s="2118" t="s">
        <v>896</v>
      </c>
      <c r="Q10" s="2118"/>
      <c r="R10" s="2106"/>
      <c r="S10" s="2106"/>
      <c r="T10" s="2106"/>
      <c r="U10" s="2106"/>
      <c r="V10" s="2106"/>
      <c r="W10" s="2107"/>
    </row>
    <row r="11" spans="1:23" ht="16.5">
      <c r="B11" s="2106"/>
      <c r="C11" s="2106"/>
      <c r="D11" s="2118" t="s">
        <v>423</v>
      </c>
      <c r="E11" s="2118"/>
      <c r="F11" s="2118" t="s">
        <v>122</v>
      </c>
      <c r="G11" s="2118"/>
      <c r="H11" s="2118" t="s">
        <v>428</v>
      </c>
      <c r="I11" s="2118"/>
      <c r="J11" s="2118" t="s">
        <v>429</v>
      </c>
      <c r="K11" s="2118"/>
      <c r="L11" s="2118" t="s">
        <v>430</v>
      </c>
      <c r="M11" s="2118"/>
      <c r="N11" s="2119" t="s">
        <v>431</v>
      </c>
      <c r="O11" s="2118"/>
      <c r="P11" s="2118" t="s">
        <v>897</v>
      </c>
      <c r="Q11" s="2118"/>
      <c r="R11" s="2121" t="s">
        <v>432</v>
      </c>
      <c r="S11" s="2121"/>
      <c r="T11" s="2121"/>
      <c r="U11" s="2106"/>
      <c r="V11" s="2106"/>
      <c r="W11" s="2107"/>
    </row>
    <row r="12" spans="1:23" ht="16.5">
      <c r="B12" s="2106"/>
      <c r="C12" s="2106"/>
      <c r="D12" s="2118" t="s">
        <v>427</v>
      </c>
      <c r="E12" s="2118"/>
      <c r="F12" s="2118" t="s">
        <v>11</v>
      </c>
      <c r="G12" s="2118"/>
      <c r="H12" s="2118" t="s">
        <v>433</v>
      </c>
      <c r="I12" s="2118"/>
      <c r="J12" s="2118" t="s">
        <v>434</v>
      </c>
      <c r="K12" s="2118"/>
      <c r="L12" s="2118" t="s">
        <v>435</v>
      </c>
      <c r="M12" s="2118"/>
      <c r="N12" s="2119" t="s">
        <v>434</v>
      </c>
      <c r="O12" s="2119"/>
      <c r="P12" s="2118" t="s">
        <v>434</v>
      </c>
      <c r="Q12" s="2118"/>
      <c r="R12" s="2120" t="s">
        <v>1592</v>
      </c>
      <c r="S12" s="2120"/>
      <c r="T12" s="2120"/>
      <c r="U12" s="2106"/>
      <c r="V12" s="2117" t="s">
        <v>898</v>
      </c>
      <c r="W12" s="2122"/>
    </row>
    <row r="13" spans="1:23" ht="16.5">
      <c r="A13" s="1650"/>
      <c r="B13" s="2123" t="s">
        <v>443</v>
      </c>
      <c r="C13" s="2124"/>
      <c r="D13" s="2125" t="s">
        <v>436</v>
      </c>
      <c r="E13" s="2122"/>
      <c r="F13" s="2125" t="s">
        <v>437</v>
      </c>
      <c r="G13" s="2122"/>
      <c r="H13" s="2126" t="s">
        <v>438</v>
      </c>
      <c r="I13" s="2122"/>
      <c r="J13" s="2126" t="s">
        <v>439</v>
      </c>
      <c r="K13" s="2122"/>
      <c r="L13" s="2126" t="s">
        <v>440</v>
      </c>
      <c r="M13" s="2122"/>
      <c r="N13" s="2127" t="s">
        <v>441</v>
      </c>
      <c r="O13" s="2122"/>
      <c r="P13" s="2127" t="s">
        <v>899</v>
      </c>
      <c r="Q13" s="2122"/>
      <c r="R13" s="2128">
        <v>2020</v>
      </c>
      <c r="S13" s="2128"/>
      <c r="T13" s="2128">
        <v>2019</v>
      </c>
      <c r="U13" s="2122"/>
      <c r="V13" s="2129" t="s">
        <v>442</v>
      </c>
      <c r="W13" s="2122"/>
    </row>
    <row r="14" spans="1:23" ht="16.5">
      <c r="B14" s="2124" t="s">
        <v>444</v>
      </c>
      <c r="C14" s="2124"/>
      <c r="D14" s="2130"/>
      <c r="E14" s="2130"/>
      <c r="F14" s="2131"/>
      <c r="G14" s="2131"/>
      <c r="H14" s="2132"/>
      <c r="I14" s="2132"/>
      <c r="J14" s="2132"/>
      <c r="K14" s="2132"/>
      <c r="L14" s="2132"/>
      <c r="M14" s="2132"/>
      <c r="N14" s="2130"/>
      <c r="O14" s="2130"/>
      <c r="P14" s="2130"/>
      <c r="Q14" s="2130"/>
      <c r="R14" s="2132"/>
      <c r="S14" s="2132"/>
      <c r="T14" s="2133"/>
      <c r="U14" s="2133"/>
      <c r="V14" s="2134"/>
      <c r="W14" s="2107"/>
    </row>
    <row r="15" spans="1:23" ht="16.5">
      <c r="A15" s="1651"/>
      <c r="B15" s="2116" t="s">
        <v>445</v>
      </c>
      <c r="C15" s="2116"/>
      <c r="D15" s="2135">
        <v>0</v>
      </c>
      <c r="E15" s="2135"/>
      <c r="F15" s="2135">
        <v>71889337</v>
      </c>
      <c r="G15" s="2136"/>
      <c r="H15" s="2135">
        <v>0</v>
      </c>
      <c r="I15" s="2136"/>
      <c r="J15" s="2135">
        <v>0</v>
      </c>
      <c r="K15" s="2136"/>
      <c r="L15" s="2135">
        <v>0</v>
      </c>
      <c r="M15" s="2136"/>
      <c r="N15" s="2135">
        <v>0</v>
      </c>
      <c r="O15" s="2136"/>
      <c r="P15" s="2135">
        <v>0</v>
      </c>
      <c r="Q15" s="2136"/>
      <c r="R15" s="2135">
        <f>ROUND(SUM(D15:Q15),0)</f>
        <v>71889337</v>
      </c>
      <c r="S15" s="2135"/>
      <c r="T15" s="3665">
        <v>106180968</v>
      </c>
      <c r="U15" s="2136"/>
      <c r="V15" s="2137">
        <f>ROUND(R15-T15,0)</f>
        <v>-34291631</v>
      </c>
      <c r="W15" s="2135"/>
    </row>
    <row r="16" spans="1:23" ht="16.5">
      <c r="A16" s="1651"/>
      <c r="B16" s="2106" t="s">
        <v>446</v>
      </c>
      <c r="C16" s="2106"/>
      <c r="D16" s="2138"/>
      <c r="E16" s="2138"/>
      <c r="F16" s="2138"/>
      <c r="G16" s="2138"/>
      <c r="H16" s="2138"/>
      <c r="I16" s="2138"/>
      <c r="J16" s="2138"/>
      <c r="K16" s="2136"/>
      <c r="L16" s="2138"/>
      <c r="M16" s="2139"/>
      <c r="N16" s="2138"/>
      <c r="O16" s="2139"/>
      <c r="P16" s="2138"/>
      <c r="Q16" s="2139"/>
      <c r="R16" s="2139"/>
      <c r="S16" s="2139"/>
      <c r="T16" s="3666"/>
      <c r="U16" s="2139"/>
      <c r="V16" s="2140"/>
      <c r="W16" s="2135"/>
    </row>
    <row r="17" spans="1:23" ht="16.5">
      <c r="A17" s="1651"/>
      <c r="B17" s="2106" t="s">
        <v>1257</v>
      </c>
      <c r="C17" s="2106"/>
      <c r="D17" s="2138">
        <v>0</v>
      </c>
      <c r="E17" s="2138">
        <v>0</v>
      </c>
      <c r="F17" s="2138">
        <v>54551063</v>
      </c>
      <c r="G17" s="2138">
        <v>0</v>
      </c>
      <c r="H17" s="2138">
        <v>0</v>
      </c>
      <c r="I17" s="2138">
        <v>0</v>
      </c>
      <c r="J17" s="2138">
        <v>0</v>
      </c>
      <c r="K17" s="2138">
        <v>0</v>
      </c>
      <c r="L17" s="2138">
        <v>0</v>
      </c>
      <c r="M17" s="2138">
        <v>0</v>
      </c>
      <c r="N17" s="2138">
        <v>0</v>
      </c>
      <c r="O17" s="2138">
        <v>0</v>
      </c>
      <c r="P17" s="2138">
        <v>0</v>
      </c>
      <c r="Q17" s="2138">
        <v>0</v>
      </c>
      <c r="R17" s="2139">
        <f>ROUND(SUM(D17:Q17),0)</f>
        <v>54551063</v>
      </c>
      <c r="S17" s="2139"/>
      <c r="T17" s="3667">
        <v>57690325</v>
      </c>
      <c r="U17" s="2141"/>
      <c r="V17" s="2141">
        <f t="shared" ref="V17:V26" si="0">SUM(R17-T17,0)</f>
        <v>-3139262</v>
      </c>
      <c r="W17" s="2135"/>
    </row>
    <row r="18" spans="1:23" ht="16.5">
      <c r="A18" s="1651"/>
      <c r="B18" s="2106" t="s">
        <v>1258</v>
      </c>
      <c r="C18" s="2106"/>
      <c r="D18" s="2138">
        <v>0</v>
      </c>
      <c r="E18" s="2138">
        <v>0</v>
      </c>
      <c r="F18" s="2138">
        <v>0</v>
      </c>
      <c r="G18" s="2138">
        <v>0</v>
      </c>
      <c r="H18" s="2138">
        <v>0</v>
      </c>
      <c r="I18" s="2138">
        <v>0</v>
      </c>
      <c r="J18" s="2138">
        <v>0</v>
      </c>
      <c r="K18" s="2138">
        <v>0</v>
      </c>
      <c r="L18" s="2138">
        <v>0</v>
      </c>
      <c r="M18" s="2138">
        <v>0</v>
      </c>
      <c r="N18" s="2138">
        <v>895515205</v>
      </c>
      <c r="O18" s="2138"/>
      <c r="P18" s="2138">
        <v>239836331</v>
      </c>
      <c r="Q18" s="2138">
        <v>0</v>
      </c>
      <c r="R18" s="2139">
        <f t="shared" ref="R18:R26" si="1">ROUND(SUM(D18:Q18),0)</f>
        <v>1135351536</v>
      </c>
      <c r="S18" s="2139"/>
      <c r="T18" s="2138">
        <v>949851395</v>
      </c>
      <c r="U18" s="2141"/>
      <c r="V18" s="2141">
        <f t="shared" si="0"/>
        <v>185500141</v>
      </c>
      <c r="W18" s="2135"/>
    </row>
    <row r="19" spans="1:23" ht="16.5">
      <c r="A19" s="1651"/>
      <c r="B19" s="2106" t="s">
        <v>447</v>
      </c>
      <c r="C19" s="2106"/>
      <c r="D19" s="2138">
        <v>0</v>
      </c>
      <c r="E19" s="2138">
        <v>0</v>
      </c>
      <c r="F19" s="2138">
        <v>0</v>
      </c>
      <c r="G19" s="2138">
        <v>0</v>
      </c>
      <c r="H19" s="2138">
        <v>26157902</v>
      </c>
      <c r="I19" s="2138">
        <v>0</v>
      </c>
      <c r="J19" s="2138">
        <v>0</v>
      </c>
      <c r="K19" s="2138">
        <v>0</v>
      </c>
      <c r="L19" s="2138">
        <v>0</v>
      </c>
      <c r="M19" s="2138">
        <v>0</v>
      </c>
      <c r="N19" s="2138">
        <v>0</v>
      </c>
      <c r="O19" s="2138"/>
      <c r="P19" s="2138">
        <v>0</v>
      </c>
      <c r="Q19" s="2138">
        <v>0</v>
      </c>
      <c r="R19" s="2139">
        <f>ROUND(SUM(D19:Q19),0)</f>
        <v>26157902</v>
      </c>
      <c r="S19" s="2139"/>
      <c r="T19" s="2138">
        <v>26132003</v>
      </c>
      <c r="U19" s="2141"/>
      <c r="V19" s="2141">
        <f t="shared" si="0"/>
        <v>25899</v>
      </c>
      <c r="W19" s="2135"/>
    </row>
    <row r="20" spans="1:23" ht="16.5">
      <c r="A20" s="1651"/>
      <c r="B20" s="2106" t="s">
        <v>999</v>
      </c>
      <c r="C20" s="2106"/>
      <c r="D20" s="2138">
        <v>0</v>
      </c>
      <c r="E20" s="2138">
        <v>0</v>
      </c>
      <c r="F20" s="2138">
        <v>0</v>
      </c>
      <c r="G20" s="2138">
        <v>0</v>
      </c>
      <c r="H20" s="2138">
        <v>0</v>
      </c>
      <c r="I20" s="2138">
        <v>0</v>
      </c>
      <c r="J20" s="2138">
        <v>0</v>
      </c>
      <c r="K20" s="2138">
        <v>0</v>
      </c>
      <c r="L20" s="2138">
        <v>7095969</v>
      </c>
      <c r="M20" s="2138">
        <v>0</v>
      </c>
      <c r="N20" s="2138">
        <v>0</v>
      </c>
      <c r="O20" s="2138"/>
      <c r="P20" s="2138">
        <v>0</v>
      </c>
      <c r="Q20" s="2138">
        <v>0</v>
      </c>
      <c r="R20" s="2139">
        <f>ROUND(SUM(D20:Q20),0)</f>
        <v>7095969</v>
      </c>
      <c r="S20" s="2139"/>
      <c r="T20" s="2138">
        <v>112061495</v>
      </c>
      <c r="U20" s="2142"/>
      <c r="V20" s="2141">
        <f t="shared" si="0"/>
        <v>-104965526</v>
      </c>
      <c r="W20" s="2135"/>
    </row>
    <row r="21" spans="1:23" ht="16.5">
      <c r="A21" s="1651"/>
      <c r="B21" s="2106" t="s">
        <v>843</v>
      </c>
      <c r="C21" s="2106"/>
      <c r="D21" s="2138">
        <v>0</v>
      </c>
      <c r="E21" s="2138">
        <v>0</v>
      </c>
      <c r="F21" s="2138">
        <v>31720944</v>
      </c>
      <c r="G21" s="2138">
        <v>0</v>
      </c>
      <c r="H21" s="2138">
        <v>0</v>
      </c>
      <c r="I21" s="2138">
        <v>0</v>
      </c>
      <c r="J21" s="2138">
        <v>0</v>
      </c>
      <c r="K21" s="2138">
        <v>0</v>
      </c>
      <c r="L21" s="2138">
        <v>0</v>
      </c>
      <c r="M21" s="2138">
        <v>0</v>
      </c>
      <c r="N21" s="2138">
        <v>0</v>
      </c>
      <c r="O21" s="2138"/>
      <c r="P21" s="2138">
        <v>0</v>
      </c>
      <c r="Q21" s="2138">
        <v>0</v>
      </c>
      <c r="R21" s="2139">
        <f t="shared" si="1"/>
        <v>31720944</v>
      </c>
      <c r="S21" s="2139"/>
      <c r="T21" s="2138">
        <v>25540485</v>
      </c>
      <c r="U21" s="2142"/>
      <c r="V21" s="2141">
        <f t="shared" si="0"/>
        <v>6180459</v>
      </c>
      <c r="W21" s="2135"/>
    </row>
    <row r="22" spans="1:23" ht="16.5">
      <c r="A22" s="1651"/>
      <c r="B22" s="2106" t="s">
        <v>1259</v>
      </c>
      <c r="C22" s="2106"/>
      <c r="D22" s="2138">
        <v>0</v>
      </c>
      <c r="E22" s="2138">
        <v>0</v>
      </c>
      <c r="F22" s="2138">
        <v>5928700</v>
      </c>
      <c r="G22" s="2138">
        <v>0</v>
      </c>
      <c r="H22" s="2138">
        <v>0</v>
      </c>
      <c r="I22" s="2138">
        <v>0</v>
      </c>
      <c r="J22" s="2138">
        <v>0</v>
      </c>
      <c r="K22" s="2138">
        <v>0</v>
      </c>
      <c r="L22" s="2138">
        <v>0</v>
      </c>
      <c r="M22" s="2138">
        <v>0</v>
      </c>
      <c r="N22" s="2138">
        <v>0</v>
      </c>
      <c r="O22" s="2138"/>
      <c r="P22" s="2138">
        <v>0</v>
      </c>
      <c r="Q22" s="2138">
        <v>0</v>
      </c>
      <c r="R22" s="2139">
        <f t="shared" si="1"/>
        <v>5928700</v>
      </c>
      <c r="S22" s="2139"/>
      <c r="T22" s="2138">
        <v>4586528</v>
      </c>
      <c r="U22" s="2141"/>
      <c r="V22" s="2141">
        <f t="shared" si="0"/>
        <v>1342172</v>
      </c>
      <c r="W22" s="2135"/>
    </row>
    <row r="23" spans="1:23" ht="16.5">
      <c r="A23" s="1651"/>
      <c r="B23" s="2106" t="s">
        <v>1260</v>
      </c>
      <c r="C23" s="2106"/>
      <c r="D23" s="2138">
        <v>0</v>
      </c>
      <c r="E23" s="2138">
        <v>0</v>
      </c>
      <c r="F23" s="2138">
        <v>18022938</v>
      </c>
      <c r="G23" s="2138">
        <v>0</v>
      </c>
      <c r="H23" s="2138">
        <v>0</v>
      </c>
      <c r="I23" s="2138">
        <v>0</v>
      </c>
      <c r="J23" s="2138">
        <v>0</v>
      </c>
      <c r="K23" s="2138">
        <v>0</v>
      </c>
      <c r="L23" s="2138">
        <v>0</v>
      </c>
      <c r="M23" s="2138">
        <v>0</v>
      </c>
      <c r="N23" s="2138">
        <v>0</v>
      </c>
      <c r="O23" s="2138"/>
      <c r="P23" s="2138">
        <v>0</v>
      </c>
      <c r="Q23" s="2138">
        <v>0</v>
      </c>
      <c r="R23" s="2139">
        <f t="shared" si="1"/>
        <v>18022938</v>
      </c>
      <c r="S23" s="2139"/>
      <c r="T23" s="2138">
        <v>17145625</v>
      </c>
      <c r="U23" s="2141"/>
      <c r="V23" s="2141">
        <f t="shared" si="0"/>
        <v>877313</v>
      </c>
      <c r="W23" s="2135"/>
    </row>
    <row r="24" spans="1:23" ht="16.5">
      <c r="A24" s="1651"/>
      <c r="B24" s="2106" t="s">
        <v>448</v>
      </c>
      <c r="C24" s="2106"/>
      <c r="D24" s="2138">
        <v>0</v>
      </c>
      <c r="E24" s="2138">
        <v>0</v>
      </c>
      <c r="F24" s="2138">
        <v>0</v>
      </c>
      <c r="G24" s="2138">
        <v>0</v>
      </c>
      <c r="H24" s="2138">
        <v>0</v>
      </c>
      <c r="I24" s="2138">
        <v>0</v>
      </c>
      <c r="J24" s="2138">
        <v>0</v>
      </c>
      <c r="K24" s="2138">
        <v>0</v>
      </c>
      <c r="L24" s="2138">
        <v>0</v>
      </c>
      <c r="M24" s="2138">
        <v>0</v>
      </c>
      <c r="N24" s="2138">
        <v>17269722</v>
      </c>
      <c r="O24" s="2138"/>
      <c r="P24" s="2138">
        <v>0</v>
      </c>
      <c r="Q24" s="2138">
        <v>0</v>
      </c>
      <c r="R24" s="2139">
        <f t="shared" si="1"/>
        <v>17269722</v>
      </c>
      <c r="S24" s="2139"/>
      <c r="T24" s="3667">
        <v>33203788</v>
      </c>
      <c r="U24" s="2141"/>
      <c r="V24" s="2141">
        <f t="shared" si="0"/>
        <v>-15934066</v>
      </c>
      <c r="W24" s="2135"/>
    </row>
    <row r="25" spans="1:23" ht="16.5">
      <c r="A25" s="1651"/>
      <c r="B25" s="2106" t="s">
        <v>449</v>
      </c>
      <c r="C25" s="2106"/>
      <c r="D25" s="2138">
        <v>0</v>
      </c>
      <c r="E25" s="2138">
        <v>0</v>
      </c>
      <c r="F25" s="2138">
        <v>15734765</v>
      </c>
      <c r="G25" s="2138">
        <v>0</v>
      </c>
      <c r="H25" s="2138">
        <v>0</v>
      </c>
      <c r="I25" s="2138">
        <v>0</v>
      </c>
      <c r="J25" s="2138">
        <v>0</v>
      </c>
      <c r="K25" s="2138">
        <v>0</v>
      </c>
      <c r="L25" s="2138">
        <v>0</v>
      </c>
      <c r="M25" s="2138">
        <v>0</v>
      </c>
      <c r="N25" s="2138">
        <v>1907968</v>
      </c>
      <c r="O25" s="2138"/>
      <c r="P25" s="2138">
        <v>0</v>
      </c>
      <c r="Q25" s="2138">
        <v>0</v>
      </c>
      <c r="R25" s="2139">
        <f t="shared" si="1"/>
        <v>17642733</v>
      </c>
      <c r="S25" s="2139"/>
      <c r="T25" s="3667">
        <v>17219183</v>
      </c>
      <c r="U25" s="2141"/>
      <c r="V25" s="2141">
        <f t="shared" si="0"/>
        <v>423550</v>
      </c>
      <c r="W25" s="2135"/>
    </row>
    <row r="26" spans="1:23" ht="16.5">
      <c r="A26" s="1651"/>
      <c r="B26" s="2106" t="s">
        <v>1261</v>
      </c>
      <c r="C26" s="2106"/>
      <c r="D26" s="2138">
        <v>0</v>
      </c>
      <c r="E26" s="2138">
        <v>0</v>
      </c>
      <c r="F26" s="2138">
        <v>0</v>
      </c>
      <c r="G26" s="2138">
        <v>0</v>
      </c>
      <c r="H26" s="2138">
        <v>0</v>
      </c>
      <c r="I26" s="2138">
        <v>0</v>
      </c>
      <c r="J26" s="2138">
        <v>21302971</v>
      </c>
      <c r="K26" s="2138">
        <v>0</v>
      </c>
      <c r="L26" s="2138">
        <v>0</v>
      </c>
      <c r="M26" s="2138">
        <v>0</v>
      </c>
      <c r="N26" s="2138">
        <v>0</v>
      </c>
      <c r="O26" s="2138"/>
      <c r="P26" s="2138">
        <v>0</v>
      </c>
      <c r="Q26" s="2138">
        <v>0</v>
      </c>
      <c r="R26" s="2139">
        <f t="shared" si="1"/>
        <v>21302971</v>
      </c>
      <c r="S26" s="2139"/>
      <c r="T26" s="3667">
        <v>27129517</v>
      </c>
      <c r="U26" s="2141"/>
      <c r="V26" s="2141">
        <f t="shared" si="0"/>
        <v>-5826546</v>
      </c>
      <c r="W26" s="2135"/>
    </row>
    <row r="27" spans="1:23" ht="16.5">
      <c r="A27" s="1651"/>
      <c r="B27" s="2106" t="s">
        <v>450</v>
      </c>
      <c r="C27" s="2106"/>
      <c r="D27" s="2143"/>
      <c r="E27" s="2143"/>
      <c r="F27" s="2143"/>
      <c r="G27" s="2143"/>
      <c r="H27" s="2143"/>
      <c r="I27" s="2143"/>
      <c r="J27" s="2143"/>
      <c r="K27" s="2143"/>
      <c r="L27" s="2143"/>
      <c r="M27" s="2143"/>
      <c r="N27" s="2143"/>
      <c r="O27" s="2143"/>
      <c r="P27" s="2143"/>
      <c r="Q27" s="2143"/>
      <c r="R27" s="2139"/>
      <c r="S27" s="2139"/>
      <c r="T27" s="3667"/>
      <c r="U27" s="2141"/>
      <c r="V27" s="2139"/>
      <c r="W27" s="2135"/>
    </row>
    <row r="28" spans="1:23" ht="16.5">
      <c r="A28" s="1651"/>
      <c r="B28" s="2106" t="s">
        <v>451</v>
      </c>
      <c r="C28" s="2106"/>
      <c r="D28" s="2138">
        <v>0</v>
      </c>
      <c r="E28" s="2138">
        <v>0</v>
      </c>
      <c r="F28" s="2138">
        <v>0</v>
      </c>
      <c r="G28" s="2138">
        <v>0</v>
      </c>
      <c r="H28" s="2138">
        <v>0</v>
      </c>
      <c r="I28" s="2138">
        <v>0</v>
      </c>
      <c r="J28" s="2138">
        <v>0</v>
      </c>
      <c r="K28" s="2138">
        <v>0</v>
      </c>
      <c r="L28" s="2138">
        <v>0</v>
      </c>
      <c r="M28" s="2138">
        <v>0</v>
      </c>
      <c r="N28" s="2138">
        <v>0</v>
      </c>
      <c r="O28" s="2138"/>
      <c r="P28" s="2138">
        <v>0</v>
      </c>
      <c r="Q28" s="2138">
        <v>0</v>
      </c>
      <c r="R28" s="2139">
        <f>ROUND(SUM(D28:Q28),0)</f>
        <v>0</v>
      </c>
      <c r="S28" s="2139"/>
      <c r="T28" s="3667">
        <v>35457621</v>
      </c>
      <c r="U28" s="2141"/>
      <c r="V28" s="2141">
        <f>SUM(R28-T28,0)</f>
        <v>-35457621</v>
      </c>
      <c r="W28" s="2135"/>
    </row>
    <row r="29" spans="1:23" ht="16.5">
      <c r="A29" s="1651"/>
      <c r="B29" s="2106" t="s">
        <v>953</v>
      </c>
      <c r="C29" s="2106"/>
      <c r="D29" s="2138"/>
      <c r="E29" s="2138"/>
      <c r="F29" s="2138"/>
      <c r="G29" s="2139"/>
      <c r="H29" s="2138"/>
      <c r="I29" s="2138"/>
      <c r="J29" s="2138"/>
      <c r="K29" s="2139"/>
      <c r="L29" s="2138"/>
      <c r="M29" s="2139"/>
      <c r="N29" s="2138"/>
      <c r="O29" s="2139"/>
      <c r="P29" s="2138"/>
      <c r="Q29" s="2139"/>
      <c r="R29" s="2139"/>
      <c r="S29" s="2139"/>
      <c r="T29" s="3667"/>
      <c r="U29" s="2141"/>
      <c r="V29" s="2139"/>
      <c r="W29" s="2135"/>
    </row>
    <row r="30" spans="1:23" ht="17.100000000000001" customHeight="1">
      <c r="A30" s="1651"/>
      <c r="B30" s="2106" t="s">
        <v>952</v>
      </c>
      <c r="C30" s="2106"/>
      <c r="D30" s="2138">
        <v>0</v>
      </c>
      <c r="E30" s="2138"/>
      <c r="F30" s="2138">
        <v>448180780</v>
      </c>
      <c r="G30" s="2139"/>
      <c r="H30" s="2138">
        <v>0</v>
      </c>
      <c r="I30" s="2138"/>
      <c r="J30" s="2138">
        <v>0</v>
      </c>
      <c r="K30" s="2139"/>
      <c r="L30" s="2138">
        <v>0</v>
      </c>
      <c r="M30" s="2139"/>
      <c r="N30" s="2138">
        <v>0</v>
      </c>
      <c r="O30" s="2139"/>
      <c r="P30" s="2138">
        <v>0</v>
      </c>
      <c r="Q30" s="2139"/>
      <c r="R30" s="2139">
        <f>ROUND(SUM(D30:Q30),0)</f>
        <v>448180780</v>
      </c>
      <c r="S30" s="2139"/>
      <c r="T30" s="3704">
        <v>199621712</v>
      </c>
      <c r="U30" s="2141"/>
      <c r="V30" s="2141">
        <f t="shared" ref="V30:V41" si="2">SUM(R30-T30,0)</f>
        <v>248559068</v>
      </c>
      <c r="W30" s="2135"/>
    </row>
    <row r="31" spans="1:23" ht="16.5">
      <c r="A31" s="1651"/>
      <c r="B31" s="2106" t="s">
        <v>951</v>
      </c>
      <c r="C31" s="2106"/>
      <c r="D31" s="2138">
        <v>0</v>
      </c>
      <c r="E31" s="2138">
        <v>0</v>
      </c>
      <c r="F31" s="2138">
        <v>21772000</v>
      </c>
      <c r="G31" s="2138">
        <v>0</v>
      </c>
      <c r="H31" s="2138">
        <v>0</v>
      </c>
      <c r="I31" s="2138">
        <v>0</v>
      </c>
      <c r="J31" s="2138">
        <v>0</v>
      </c>
      <c r="K31" s="2138">
        <v>0</v>
      </c>
      <c r="L31" s="2138">
        <v>0</v>
      </c>
      <c r="M31" s="2138">
        <v>0</v>
      </c>
      <c r="N31" s="2138">
        <v>0</v>
      </c>
      <c r="O31" s="2138"/>
      <c r="P31" s="2138">
        <v>0</v>
      </c>
      <c r="Q31" s="2138">
        <v>0</v>
      </c>
      <c r="R31" s="2139">
        <f>ROUND(SUM(D31:Q31),0)</f>
        <v>21772000</v>
      </c>
      <c r="S31" s="2139"/>
      <c r="T31" s="2138">
        <v>36892075</v>
      </c>
      <c r="U31" s="2141"/>
      <c r="V31" s="2141">
        <f t="shared" si="2"/>
        <v>-15120075</v>
      </c>
      <c r="W31" s="2135"/>
    </row>
    <row r="32" spans="1:23" ht="16.5">
      <c r="A32" s="1651"/>
      <c r="B32" s="2106" t="s">
        <v>900</v>
      </c>
      <c r="C32" s="2106"/>
      <c r="D32" s="2138">
        <v>0</v>
      </c>
      <c r="E32" s="2138">
        <v>0</v>
      </c>
      <c r="F32" s="2138">
        <v>0</v>
      </c>
      <c r="G32" s="2138">
        <v>0</v>
      </c>
      <c r="H32" s="2138">
        <v>0</v>
      </c>
      <c r="I32" s="2138">
        <v>0</v>
      </c>
      <c r="J32" s="2138">
        <v>0</v>
      </c>
      <c r="K32" s="2138">
        <v>0</v>
      </c>
      <c r="L32" s="2138">
        <v>0</v>
      </c>
      <c r="M32" s="2138">
        <v>0</v>
      </c>
      <c r="N32" s="2138">
        <v>27320113</v>
      </c>
      <c r="O32" s="2138"/>
      <c r="P32" s="2138">
        <v>0</v>
      </c>
      <c r="Q32" s="2138">
        <v>0</v>
      </c>
      <c r="R32" s="2139">
        <f>ROUND(SUM(D32:Q32),0)</f>
        <v>27320113</v>
      </c>
      <c r="S32" s="2139"/>
      <c r="T32" s="2138">
        <v>30877100</v>
      </c>
      <c r="U32" s="2141"/>
      <c r="V32" s="2141">
        <f t="shared" si="2"/>
        <v>-3556987</v>
      </c>
      <c r="W32" s="2135"/>
    </row>
    <row r="33" spans="1:25" ht="16.5">
      <c r="A33" s="1651"/>
      <c r="B33" s="2106" t="s">
        <v>452</v>
      </c>
      <c r="C33" s="2106"/>
      <c r="D33" s="2138"/>
      <c r="E33" s="2138"/>
      <c r="F33" s="2138"/>
      <c r="G33" s="2138"/>
      <c r="H33" s="2138"/>
      <c r="I33" s="2138"/>
      <c r="J33" s="2138"/>
      <c r="K33" s="2138"/>
      <c r="L33" s="2138"/>
      <c r="M33" s="2138"/>
      <c r="N33" s="2138"/>
      <c r="O33" s="2138"/>
      <c r="P33" s="2138"/>
      <c r="Q33" s="2138"/>
      <c r="R33" s="2139"/>
      <c r="S33" s="2139"/>
      <c r="T33" s="3667"/>
      <c r="U33" s="2141"/>
      <c r="V33" s="2139"/>
      <c r="W33" s="2135"/>
    </row>
    <row r="34" spans="1:25" ht="16.5">
      <c r="A34" s="1651"/>
      <c r="B34" s="2106" t="s">
        <v>453</v>
      </c>
      <c r="C34" s="2106"/>
      <c r="D34" s="2138">
        <v>0</v>
      </c>
      <c r="E34" s="2138">
        <v>0</v>
      </c>
      <c r="F34" s="2138">
        <v>448350</v>
      </c>
      <c r="G34" s="2138">
        <v>0</v>
      </c>
      <c r="H34" s="2138">
        <v>0</v>
      </c>
      <c r="I34" s="2138">
        <v>0</v>
      </c>
      <c r="J34" s="2138">
        <v>0</v>
      </c>
      <c r="K34" s="2138">
        <v>0</v>
      </c>
      <c r="L34" s="2138">
        <v>0</v>
      </c>
      <c r="M34" s="2138">
        <v>0</v>
      </c>
      <c r="N34" s="2138">
        <v>0</v>
      </c>
      <c r="O34" s="2138"/>
      <c r="P34" s="2138">
        <v>0</v>
      </c>
      <c r="Q34" s="2138">
        <v>0</v>
      </c>
      <c r="R34" s="2139">
        <f t="shared" ref="R34:R39" si="3">ROUND(SUM(D34:Q34),0)</f>
        <v>448350</v>
      </c>
      <c r="S34" s="2139"/>
      <c r="T34" s="2138">
        <v>1023950</v>
      </c>
      <c r="U34" s="2142"/>
      <c r="V34" s="2141">
        <f t="shared" si="2"/>
        <v>-575600</v>
      </c>
      <c r="W34" s="2135"/>
    </row>
    <row r="35" spans="1:25" ht="16.5">
      <c r="A35" s="1651"/>
      <c r="B35" s="2144" t="s">
        <v>454</v>
      </c>
      <c r="C35" s="2145"/>
      <c r="D35" s="2138">
        <v>0</v>
      </c>
      <c r="E35" s="2138">
        <v>0</v>
      </c>
      <c r="F35" s="2138">
        <v>0</v>
      </c>
      <c r="G35" s="2138">
        <v>0</v>
      </c>
      <c r="H35" s="2138">
        <v>0</v>
      </c>
      <c r="I35" s="2138">
        <v>0</v>
      </c>
      <c r="J35" s="2138">
        <v>0</v>
      </c>
      <c r="K35" s="2138">
        <v>0</v>
      </c>
      <c r="L35" s="2138">
        <v>0</v>
      </c>
      <c r="M35" s="2138">
        <v>0</v>
      </c>
      <c r="N35" s="2138">
        <v>0</v>
      </c>
      <c r="O35" s="2138"/>
      <c r="P35" s="2138">
        <v>0</v>
      </c>
      <c r="Q35" s="2138">
        <v>0</v>
      </c>
      <c r="R35" s="2139">
        <f t="shared" si="3"/>
        <v>0</v>
      </c>
      <c r="S35" s="2139"/>
      <c r="T35" s="2138">
        <v>2777000</v>
      </c>
      <c r="U35" s="2142"/>
      <c r="V35" s="2141">
        <f t="shared" si="2"/>
        <v>-2777000</v>
      </c>
      <c r="W35" s="2135"/>
    </row>
    <row r="36" spans="1:25" ht="16.5">
      <c r="A36" s="1651"/>
      <c r="B36" s="2106" t="s">
        <v>1257</v>
      </c>
      <c r="C36" s="2106"/>
      <c r="D36" s="2138">
        <v>0</v>
      </c>
      <c r="E36" s="2138">
        <v>0</v>
      </c>
      <c r="F36" s="2138">
        <v>78840807</v>
      </c>
      <c r="G36" s="2138">
        <v>0</v>
      </c>
      <c r="H36" s="2138">
        <v>0</v>
      </c>
      <c r="I36" s="2138">
        <v>0</v>
      </c>
      <c r="J36" s="2138">
        <v>0</v>
      </c>
      <c r="K36" s="2138">
        <v>0</v>
      </c>
      <c r="L36" s="2138">
        <v>0</v>
      </c>
      <c r="M36" s="2138">
        <v>0</v>
      </c>
      <c r="N36" s="2138">
        <v>0</v>
      </c>
      <c r="O36" s="2138"/>
      <c r="P36" s="2138">
        <v>0</v>
      </c>
      <c r="Q36" s="2138">
        <v>0</v>
      </c>
      <c r="R36" s="2139">
        <f t="shared" si="3"/>
        <v>78840807</v>
      </c>
      <c r="S36" s="2139"/>
      <c r="T36" s="2138">
        <v>170037784</v>
      </c>
      <c r="U36" s="2142"/>
      <c r="V36" s="2141">
        <f t="shared" si="2"/>
        <v>-91196977</v>
      </c>
      <c r="W36" s="2135"/>
    </row>
    <row r="37" spans="1:25" ht="16.5">
      <c r="A37" s="1651"/>
      <c r="B37" s="2144" t="s">
        <v>455</v>
      </c>
      <c r="C37" s="2145"/>
      <c r="D37" s="2138">
        <v>0</v>
      </c>
      <c r="E37" s="2138">
        <v>0</v>
      </c>
      <c r="F37" s="2138">
        <v>0</v>
      </c>
      <c r="G37" s="2138">
        <v>0</v>
      </c>
      <c r="H37" s="2138">
        <v>0</v>
      </c>
      <c r="I37" s="2138">
        <v>0</v>
      </c>
      <c r="J37" s="2138">
        <v>0</v>
      </c>
      <c r="K37" s="2138">
        <v>0</v>
      </c>
      <c r="L37" s="2138">
        <v>0</v>
      </c>
      <c r="M37" s="2138">
        <v>0</v>
      </c>
      <c r="N37" s="2138">
        <v>0</v>
      </c>
      <c r="O37" s="2138"/>
      <c r="P37" s="2138">
        <v>0</v>
      </c>
      <c r="Q37" s="2138">
        <v>0</v>
      </c>
      <c r="R37" s="2139">
        <f t="shared" si="3"/>
        <v>0</v>
      </c>
      <c r="S37" s="2139"/>
      <c r="T37" s="2138">
        <v>362000</v>
      </c>
      <c r="U37" s="2141"/>
      <c r="V37" s="2141">
        <f t="shared" si="2"/>
        <v>-362000</v>
      </c>
      <c r="W37" s="2135"/>
    </row>
    <row r="38" spans="1:25" ht="16.5">
      <c r="A38" s="1651"/>
      <c r="B38" s="2116" t="s">
        <v>456</v>
      </c>
      <c r="C38" s="2116"/>
      <c r="D38" s="2138">
        <v>0</v>
      </c>
      <c r="E38" s="2138">
        <v>0</v>
      </c>
      <c r="F38" s="2138">
        <v>555750</v>
      </c>
      <c r="G38" s="2138">
        <v>0</v>
      </c>
      <c r="H38" s="2138">
        <v>0</v>
      </c>
      <c r="I38" s="2138">
        <v>0</v>
      </c>
      <c r="J38" s="2138">
        <v>0</v>
      </c>
      <c r="K38" s="2138">
        <v>0</v>
      </c>
      <c r="L38" s="2138">
        <v>0</v>
      </c>
      <c r="M38" s="2138">
        <v>0</v>
      </c>
      <c r="N38" s="2138">
        <v>0</v>
      </c>
      <c r="O38" s="2138"/>
      <c r="P38" s="2138">
        <v>0</v>
      </c>
      <c r="Q38" s="2138">
        <v>0</v>
      </c>
      <c r="R38" s="2139">
        <f t="shared" si="3"/>
        <v>555750</v>
      </c>
      <c r="S38" s="2139"/>
      <c r="T38" s="2138">
        <v>1081432</v>
      </c>
      <c r="U38" s="2141"/>
      <c r="V38" s="2141">
        <f t="shared" si="2"/>
        <v>-525682</v>
      </c>
      <c r="W38" s="2135"/>
    </row>
    <row r="39" spans="1:25" ht="16.5">
      <c r="A39" s="1651"/>
      <c r="B39" s="2144" t="s">
        <v>1170</v>
      </c>
      <c r="C39" s="2145"/>
      <c r="D39" s="2138">
        <v>0</v>
      </c>
      <c r="E39" s="2138">
        <v>0</v>
      </c>
      <c r="F39" s="2138">
        <v>0</v>
      </c>
      <c r="G39" s="2138">
        <v>0</v>
      </c>
      <c r="H39" s="2138">
        <v>0</v>
      </c>
      <c r="I39" s="2138">
        <v>0</v>
      </c>
      <c r="J39" s="2138">
        <v>0</v>
      </c>
      <c r="K39" s="2138">
        <v>0</v>
      </c>
      <c r="L39" s="2138">
        <v>0</v>
      </c>
      <c r="M39" s="2138">
        <v>0</v>
      </c>
      <c r="N39" s="2138">
        <v>0</v>
      </c>
      <c r="O39" s="2138"/>
      <c r="P39" s="2138">
        <v>0</v>
      </c>
      <c r="Q39" s="2138">
        <v>0</v>
      </c>
      <c r="R39" s="2139">
        <f t="shared" si="3"/>
        <v>0</v>
      </c>
      <c r="S39" s="2139"/>
      <c r="T39" s="2138">
        <v>0</v>
      </c>
      <c r="U39" s="2141"/>
      <c r="V39" s="2141">
        <f t="shared" si="2"/>
        <v>0</v>
      </c>
      <c r="W39" s="2135"/>
    </row>
    <row r="40" spans="1:25" ht="16.5">
      <c r="A40" s="1650"/>
      <c r="B40" s="2106" t="s">
        <v>1012</v>
      </c>
      <c r="C40" s="2106"/>
      <c r="D40" s="2138">
        <v>0</v>
      </c>
      <c r="E40" s="2138">
        <v>0</v>
      </c>
      <c r="F40" s="2138">
        <v>0</v>
      </c>
      <c r="G40" s="2138">
        <v>0</v>
      </c>
      <c r="H40" s="2138">
        <v>0</v>
      </c>
      <c r="I40" s="2138">
        <v>0</v>
      </c>
      <c r="J40" s="2138">
        <v>0</v>
      </c>
      <c r="K40" s="2138">
        <v>0</v>
      </c>
      <c r="L40" s="2138">
        <v>0</v>
      </c>
      <c r="M40" s="2138">
        <v>0</v>
      </c>
      <c r="N40" s="2138">
        <v>92438900</v>
      </c>
      <c r="O40" s="2138"/>
      <c r="P40" s="2138">
        <v>0</v>
      </c>
      <c r="Q40" s="2138">
        <v>0</v>
      </c>
      <c r="R40" s="2139">
        <f>ROUND(SUM(D40:Q40),0)</f>
        <v>92438900</v>
      </c>
      <c r="S40" s="2139"/>
      <c r="T40" s="2138">
        <v>424841311</v>
      </c>
      <c r="U40" s="2146"/>
      <c r="V40" s="2141">
        <f t="shared" si="2"/>
        <v>-332402411</v>
      </c>
      <c r="W40" s="2135"/>
      <c r="Y40" s="1652"/>
    </row>
    <row r="41" spans="1:25" ht="16.5">
      <c r="B41" s="2106" t="s">
        <v>457</v>
      </c>
      <c r="C41" s="2106"/>
      <c r="D41" s="2138">
        <v>0</v>
      </c>
      <c r="E41" s="2138">
        <v>0</v>
      </c>
      <c r="F41" s="2138">
        <v>1770144</v>
      </c>
      <c r="G41" s="2138">
        <v>0</v>
      </c>
      <c r="H41" s="2138">
        <v>0</v>
      </c>
      <c r="I41" s="2138">
        <v>0</v>
      </c>
      <c r="J41" s="2138">
        <v>0</v>
      </c>
      <c r="K41" s="2138">
        <v>0</v>
      </c>
      <c r="L41" s="2138">
        <v>0</v>
      </c>
      <c r="M41" s="2138">
        <v>0</v>
      </c>
      <c r="N41" s="2138">
        <v>0</v>
      </c>
      <c r="O41" s="2138"/>
      <c r="P41" s="2138">
        <v>0</v>
      </c>
      <c r="Q41" s="2138">
        <v>0</v>
      </c>
      <c r="R41" s="2139">
        <f>ROUND(SUM(D41:Q41),0)</f>
        <v>1770144</v>
      </c>
      <c r="S41" s="2139"/>
      <c r="T41" s="3667">
        <v>985972</v>
      </c>
      <c r="U41" s="2147"/>
      <c r="V41" s="2141">
        <f t="shared" si="2"/>
        <v>784172</v>
      </c>
      <c r="W41" s="2135"/>
    </row>
    <row r="42" spans="1:25" ht="16.5">
      <c r="A42" s="1653"/>
      <c r="B42" s="2109" t="s">
        <v>458</v>
      </c>
      <c r="C42" s="2109"/>
      <c r="D42" s="2112"/>
      <c r="E42" s="2112"/>
      <c r="F42" s="2112"/>
      <c r="G42" s="2112"/>
      <c r="H42" s="2148"/>
      <c r="I42" s="2148"/>
      <c r="J42" s="2140"/>
      <c r="K42" s="2140"/>
      <c r="L42" s="2140"/>
      <c r="M42" s="2140"/>
      <c r="N42" s="2148"/>
      <c r="O42" s="2148"/>
      <c r="P42" s="2148"/>
      <c r="Q42" s="2148"/>
      <c r="R42" s="2148"/>
      <c r="S42" s="2148"/>
      <c r="T42" s="2148"/>
      <c r="U42" s="2149"/>
      <c r="V42" s="2139"/>
      <c r="W42" s="2135"/>
    </row>
    <row r="43" spans="1:25" s="1649" customFormat="1" ht="17.25" thickBot="1">
      <c r="B43" s="2150" t="s">
        <v>459</v>
      </c>
      <c r="C43" s="2114"/>
      <c r="D43" s="2151">
        <f>ROUND(SUM(D15:D41),0)</f>
        <v>0</v>
      </c>
      <c r="E43" s="2152"/>
      <c r="F43" s="2151">
        <f>ROUND(SUM(F15:F41),0)</f>
        <v>749415578</v>
      </c>
      <c r="G43" s="2152"/>
      <c r="H43" s="2151">
        <f>ROUND(SUM(H15:H41),0)</f>
        <v>26157902</v>
      </c>
      <c r="I43" s="2152"/>
      <c r="J43" s="2151">
        <f>ROUND(SUM(J15:J41),0)</f>
        <v>21302971</v>
      </c>
      <c r="K43" s="2153"/>
      <c r="L43" s="2151">
        <f>ROUND(SUM(L15:L41),0)</f>
        <v>7095969</v>
      </c>
      <c r="M43" s="2153"/>
      <c r="N43" s="2151">
        <f>ROUND(SUM(N15:N41),0)</f>
        <v>1034451908</v>
      </c>
      <c r="O43" s="2152"/>
      <c r="P43" s="2151">
        <f>ROUND(SUM(P15:P41),0)</f>
        <v>239836331</v>
      </c>
      <c r="Q43" s="2152"/>
      <c r="R43" s="2151">
        <f>ROUND(SUM(R15:R41),0)</f>
        <v>2078260659</v>
      </c>
      <c r="S43" s="2152"/>
      <c r="T43" s="2151">
        <f>ROUND(SUM(T15:T41),0)</f>
        <v>2280699269</v>
      </c>
      <c r="U43" s="2152"/>
      <c r="V43" s="2151">
        <f>ROUND(SUM(V15:V41),0)</f>
        <v>-202438610</v>
      </c>
      <c r="W43" s="2135"/>
    </row>
    <row r="44" spans="1:25" ht="17.25" thickTop="1">
      <c r="B44" s="2154"/>
      <c r="C44" s="2154"/>
      <c r="D44" s="2106"/>
      <c r="E44" s="2106"/>
      <c r="F44" s="2106"/>
      <c r="G44" s="2106"/>
      <c r="H44" s="2106"/>
      <c r="I44" s="2106"/>
      <c r="J44" s="2106"/>
      <c r="K44" s="2106"/>
      <c r="L44" s="2106"/>
      <c r="M44" s="2106"/>
      <c r="N44" s="2106"/>
      <c r="O44" s="2106"/>
      <c r="P44" s="2106"/>
      <c r="Q44" s="2106"/>
      <c r="R44" s="2106"/>
      <c r="S44" s="2106"/>
      <c r="T44" s="2106"/>
      <c r="U44" s="2106"/>
      <c r="V44" s="2155"/>
      <c r="W44" s="2107"/>
    </row>
    <row r="45" spans="1:25" ht="16.5">
      <c r="B45" s="2106"/>
      <c r="C45" s="2106"/>
      <c r="D45" s="2106"/>
      <c r="E45" s="2106"/>
      <c r="F45" s="2106"/>
      <c r="G45" s="2106"/>
      <c r="H45" s="2106"/>
      <c r="I45" s="2106"/>
      <c r="J45" s="2106"/>
      <c r="K45" s="2106"/>
      <c r="L45" s="2106"/>
      <c r="M45" s="2106"/>
      <c r="N45" s="2106"/>
      <c r="O45" s="2106"/>
      <c r="P45" s="2106"/>
      <c r="Q45" s="2106"/>
      <c r="R45" s="3565"/>
      <c r="S45" s="2106"/>
      <c r="T45" s="2106"/>
      <c r="U45" s="2106"/>
      <c r="V45" s="2106"/>
    </row>
    <row r="46" spans="1:25" ht="15">
      <c r="B46" s="1654"/>
      <c r="R46" s="3566"/>
    </row>
    <row r="47" spans="1:25" ht="15">
      <c r="B47" s="1654"/>
    </row>
    <row r="48" spans="1:25" ht="15">
      <c r="B48" s="1654"/>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39"/>
  <sheetViews>
    <sheetView showGridLines="0" workbookViewId="0"/>
  </sheetViews>
  <sheetFormatPr defaultColWidth="8.88671875" defaultRowHeight="15"/>
  <cols>
    <col min="1" max="1" width="2.109375" style="1354" customWidth="1"/>
    <col min="2" max="4" width="9.88671875" style="1354" customWidth="1"/>
    <col min="5" max="5" width="10.44140625" style="1354" customWidth="1"/>
    <col min="6" max="6" width="14.88671875" style="1354" customWidth="1"/>
    <col min="7" max="7" width="1.109375" style="1354" customWidth="1"/>
    <col min="8" max="8" width="16.88671875" style="1354" customWidth="1"/>
    <col min="9" max="9" width="1.109375" style="1354" customWidth="1"/>
    <col min="10" max="10" width="16.88671875" style="1354" bestFit="1" customWidth="1"/>
    <col min="11" max="11" width="9.88671875" style="1354" customWidth="1"/>
    <col min="12" max="12" width="15.88671875" style="1354" customWidth="1"/>
    <col min="13" max="16384" width="8.88671875" style="1354"/>
  </cols>
  <sheetData>
    <row r="1" spans="2:12">
      <c r="B1" s="3714" t="s">
        <v>979</v>
      </c>
    </row>
    <row r="2" spans="2:12">
      <c r="B2" s="837"/>
    </row>
    <row r="3" spans="2:12" ht="15.75">
      <c r="B3" s="728" t="s">
        <v>0</v>
      </c>
      <c r="J3" s="1217" t="s">
        <v>1169</v>
      </c>
    </row>
    <row r="4" spans="2:12" ht="15.75">
      <c r="B4" s="838" t="s">
        <v>1168</v>
      </c>
    </row>
    <row r="5" spans="2:12" ht="15.75">
      <c r="B5" s="1988" t="s">
        <v>1589</v>
      </c>
      <c r="C5" s="1989"/>
      <c r="D5" s="1989"/>
      <c r="E5" s="1989"/>
      <c r="F5" s="1989"/>
      <c r="G5" s="1989"/>
      <c r="H5" s="1989"/>
      <c r="I5" s="1989"/>
      <c r="J5" s="1989"/>
      <c r="K5" s="1989"/>
      <c r="L5" s="1989"/>
    </row>
    <row r="6" spans="2:12" ht="15.75">
      <c r="B6" s="1988" t="s">
        <v>881</v>
      </c>
      <c r="C6" s="1989"/>
      <c r="D6" s="1989"/>
      <c r="E6" s="1989"/>
      <c r="F6" s="1989"/>
      <c r="G6" s="1989"/>
      <c r="H6" s="1989"/>
      <c r="I6" s="1989"/>
      <c r="J6" s="1989"/>
      <c r="K6" s="1989"/>
      <c r="L6" s="1989"/>
    </row>
    <row r="7" spans="2:12" ht="15.75">
      <c r="B7" s="1988" t="s">
        <v>1416</v>
      </c>
      <c r="C7" s="1990"/>
      <c r="D7" s="1990"/>
      <c r="E7" s="1990"/>
      <c r="F7" s="1990"/>
      <c r="G7" s="1990"/>
      <c r="H7" s="1990"/>
      <c r="I7" s="1990"/>
      <c r="J7" s="1990"/>
      <c r="K7" s="1990"/>
      <c r="L7" s="1990"/>
    </row>
    <row r="8" spans="2:12">
      <c r="B8" s="406"/>
      <c r="G8" s="406"/>
      <c r="I8" s="406"/>
    </row>
    <row r="9" spans="2:12" ht="15.75">
      <c r="B9" s="406"/>
      <c r="F9" s="407" t="s">
        <v>7</v>
      </c>
      <c r="G9" s="406"/>
      <c r="H9" s="408" t="s">
        <v>461</v>
      </c>
      <c r="I9" s="406"/>
      <c r="J9" s="407" t="s">
        <v>460</v>
      </c>
    </row>
    <row r="10" spans="2:12" ht="15.75">
      <c r="B10" s="406"/>
      <c r="F10" s="409" t="s">
        <v>1599</v>
      </c>
      <c r="G10" s="406"/>
      <c r="H10" s="408" t="s">
        <v>463</v>
      </c>
      <c r="I10" s="406"/>
      <c r="J10" s="408" t="s">
        <v>462</v>
      </c>
    </row>
    <row r="11" spans="2:12" ht="15.75">
      <c r="B11" s="406"/>
      <c r="F11" s="1939"/>
      <c r="G11" s="406"/>
      <c r="H11" s="1939"/>
      <c r="I11" s="406"/>
      <c r="J11" s="1939"/>
    </row>
    <row r="12" spans="2:12" ht="15.75">
      <c r="B12" s="410" t="s">
        <v>971</v>
      </c>
      <c r="G12" s="406"/>
      <c r="I12" s="406"/>
      <c r="J12" s="727"/>
      <c r="K12" s="727"/>
    </row>
    <row r="13" spans="2:12">
      <c r="B13" s="406"/>
      <c r="G13" s="406"/>
      <c r="I13" s="406"/>
      <c r="J13" s="727"/>
      <c r="K13" s="727"/>
    </row>
    <row r="14" spans="2:12">
      <c r="B14" s="673" t="s">
        <v>970</v>
      </c>
      <c r="F14" s="3216">
        <v>26149.200000000001</v>
      </c>
      <c r="G14" s="3216"/>
      <c r="H14" s="3568">
        <v>19871.8</v>
      </c>
      <c r="I14" s="1355"/>
      <c r="J14" s="3216">
        <v>17272.7</v>
      </c>
      <c r="K14" s="727"/>
    </row>
    <row r="15" spans="2:12">
      <c r="B15" s="673" t="s">
        <v>969</v>
      </c>
      <c r="F15" s="3217">
        <v>1.609E-2</v>
      </c>
      <c r="G15" s="725"/>
      <c r="H15" s="3569">
        <v>2.085E-2</v>
      </c>
      <c r="I15" s="817"/>
      <c r="J15" s="3217">
        <v>2.1919999999999999E-2</v>
      </c>
      <c r="K15" s="727"/>
    </row>
    <row r="16" spans="2:12">
      <c r="B16" s="817" t="s">
        <v>464</v>
      </c>
      <c r="F16" s="3218">
        <v>32.908000000000001</v>
      </c>
      <c r="G16" s="3570"/>
      <c r="H16" s="3571">
        <v>385.70299999999997</v>
      </c>
      <c r="I16" s="913"/>
      <c r="J16" s="3218">
        <v>334.928</v>
      </c>
      <c r="K16" s="727"/>
    </row>
    <row r="17" spans="2:11">
      <c r="B17" s="406"/>
      <c r="J17" s="727"/>
      <c r="K17" s="412"/>
    </row>
    <row r="18" spans="2:11">
      <c r="B18" s="888"/>
      <c r="C18" s="1356"/>
      <c r="D18" s="1356"/>
      <c r="E18" s="1356"/>
      <c r="F18" s="1356"/>
      <c r="G18" s="1356"/>
      <c r="H18" s="1356"/>
      <c r="I18" s="1356"/>
      <c r="J18" s="3235"/>
      <c r="K18" s="888"/>
    </row>
    <row r="19" spans="2:11">
      <c r="B19" s="888"/>
      <c r="C19" s="1356"/>
      <c r="D19" s="1356"/>
      <c r="E19" s="1356"/>
      <c r="F19" s="1356"/>
      <c r="G19" s="1356"/>
      <c r="H19" s="1356"/>
      <c r="I19" s="1356"/>
      <c r="J19" s="3235"/>
      <c r="K19" s="888"/>
    </row>
    <row r="20" spans="2:11" ht="18">
      <c r="B20" s="889" t="s">
        <v>465</v>
      </c>
      <c r="C20" s="890"/>
      <c r="D20" s="890"/>
      <c r="E20" s="1356"/>
      <c r="F20" s="1356"/>
      <c r="G20" s="1356"/>
      <c r="H20" s="1356"/>
      <c r="I20" s="1356"/>
      <c r="J20" s="3235"/>
      <c r="K20" s="888"/>
    </row>
    <row r="21" spans="2:11">
      <c r="B21" s="888"/>
      <c r="C21" s="1356"/>
      <c r="D21" s="1356"/>
      <c r="E21" s="1356"/>
      <c r="F21" s="1356"/>
      <c r="G21" s="632"/>
      <c r="H21" s="632" t="str">
        <f>F10</f>
        <v>FEBRUARY 2020</v>
      </c>
      <c r="I21" s="2187"/>
      <c r="J21" s="3670" t="s">
        <v>1600</v>
      </c>
      <c r="K21" s="888"/>
    </row>
    <row r="22" spans="2:11">
      <c r="B22" s="888"/>
      <c r="C22" s="891" t="s">
        <v>466</v>
      </c>
      <c r="D22" s="1356"/>
      <c r="E22" s="1357" t="s">
        <v>15</v>
      </c>
      <c r="F22" s="1356"/>
      <c r="G22" s="892"/>
      <c r="H22" s="1993" t="s">
        <v>467</v>
      </c>
      <c r="I22" s="892"/>
      <c r="J22" s="3671" t="s">
        <v>467</v>
      </c>
      <c r="K22" s="888"/>
    </row>
    <row r="23" spans="2:11">
      <c r="B23" s="888"/>
      <c r="C23" s="1357" t="s">
        <v>468</v>
      </c>
      <c r="D23" s="1356"/>
      <c r="E23" s="1356"/>
      <c r="F23" s="1356"/>
      <c r="G23" s="1358"/>
      <c r="H23" s="1359">
        <v>6380.1</v>
      </c>
      <c r="I23" s="1358"/>
      <c r="J23" s="3854">
        <v>4857.5</v>
      </c>
      <c r="K23" s="888"/>
    </row>
    <row r="24" spans="2:11">
      <c r="B24" s="888"/>
      <c r="C24" s="1357" t="s">
        <v>469</v>
      </c>
      <c r="D24" s="1356"/>
      <c r="E24" s="1356"/>
      <c r="F24" s="1356"/>
      <c r="G24" s="1358"/>
      <c r="H24" s="1360">
        <v>374.2</v>
      </c>
      <c r="I24" s="1358"/>
      <c r="J24" s="3855">
        <v>30.8</v>
      </c>
      <c r="K24" s="888"/>
    </row>
    <row r="25" spans="2:11">
      <c r="B25" s="888"/>
      <c r="C25" s="1357" t="s">
        <v>470</v>
      </c>
      <c r="D25" s="1356"/>
      <c r="E25" s="1356"/>
      <c r="F25" s="1356"/>
      <c r="G25" s="1361"/>
      <c r="H25" s="1360">
        <v>16066.9</v>
      </c>
      <c r="I25" s="1361"/>
      <c r="J25" s="3856">
        <v>15829</v>
      </c>
      <c r="K25" s="888" t="s">
        <v>15</v>
      </c>
    </row>
    <row r="26" spans="2:11">
      <c r="B26" s="888"/>
      <c r="C26" s="1357" t="s">
        <v>471</v>
      </c>
      <c r="D26" s="1356"/>
      <c r="E26" s="1356"/>
      <c r="F26" s="1356"/>
      <c r="G26" s="1361"/>
      <c r="H26" s="1360">
        <v>2942.3</v>
      </c>
      <c r="I26" s="1361"/>
      <c r="J26" s="3856">
        <v>2961.9</v>
      </c>
      <c r="K26" s="888" t="s">
        <v>15</v>
      </c>
    </row>
    <row r="27" spans="2:11">
      <c r="B27" s="888"/>
      <c r="C27" s="893" t="s">
        <v>844</v>
      </c>
      <c r="D27" s="1356"/>
      <c r="E27" s="1356"/>
      <c r="F27" s="1356"/>
      <c r="G27" s="1362"/>
      <c r="H27" s="1360">
        <v>78</v>
      </c>
      <c r="I27" s="1362"/>
      <c r="J27" s="3856">
        <v>168</v>
      </c>
      <c r="K27" s="888"/>
    </row>
    <row r="28" spans="2:11" ht="16.5" thickBot="1">
      <c r="B28" s="888"/>
      <c r="C28" s="1356"/>
      <c r="D28" s="1356"/>
      <c r="E28" s="1356"/>
      <c r="F28" s="1356"/>
      <c r="G28" s="411"/>
      <c r="H28" s="1940">
        <f>ROUND(SUM(H23:H27),1)</f>
        <v>25841.5</v>
      </c>
      <c r="I28" s="411"/>
      <c r="J28" s="3584">
        <f>ROUND(SUM(J23:J27),1)</f>
        <v>23847.200000000001</v>
      </c>
      <c r="K28" s="888"/>
    </row>
    <row r="29" spans="2:11" ht="15.75" thickTop="1">
      <c r="B29" s="406"/>
      <c r="G29" s="1363"/>
      <c r="H29" s="1363"/>
      <c r="I29" s="1363"/>
      <c r="J29" s="727"/>
      <c r="K29" s="406"/>
    </row>
    <row r="30" spans="2:11">
      <c r="B30" s="406"/>
      <c r="K30" s="406"/>
    </row>
    <row r="31" spans="2:11" ht="15.75">
      <c r="B31" s="410"/>
      <c r="K31" s="406"/>
    </row>
    <row r="32" spans="2:11" ht="192.75" customHeight="1">
      <c r="B32" s="3949" t="s">
        <v>984</v>
      </c>
      <c r="C32" s="3949"/>
      <c r="D32" s="3949"/>
      <c r="E32" s="3949"/>
      <c r="F32" s="3949"/>
      <c r="G32" s="3949"/>
      <c r="H32" s="3949"/>
      <c r="I32" s="3949"/>
      <c r="J32" s="3949"/>
      <c r="K32" s="406"/>
    </row>
    <row r="34" spans="2:12" ht="15" customHeight="1">
      <c r="B34" s="659" t="s">
        <v>972</v>
      </c>
      <c r="C34" s="726"/>
      <c r="D34" s="726"/>
      <c r="E34" s="726"/>
      <c r="F34" s="726"/>
      <c r="G34" s="726"/>
      <c r="H34" s="726"/>
      <c r="I34" s="726"/>
      <c r="J34" s="726"/>
      <c r="K34" s="726"/>
      <c r="L34" s="726"/>
    </row>
    <row r="35" spans="2:12" ht="17.25" customHeight="1">
      <c r="B35" s="724"/>
      <c r="C35" s="727"/>
      <c r="D35" s="727"/>
      <c r="E35" s="727"/>
      <c r="F35" s="727"/>
      <c r="G35" s="727"/>
      <c r="H35" s="727"/>
      <c r="I35" s="727"/>
      <c r="J35" s="727"/>
      <c r="K35" s="727"/>
      <c r="L35" s="412"/>
    </row>
    <row r="36" spans="2:12">
      <c r="B36" s="817"/>
      <c r="C36" s="817"/>
      <c r="D36" s="727"/>
      <c r="E36" s="727"/>
      <c r="F36" s="727"/>
      <c r="G36" s="727"/>
      <c r="H36" s="727"/>
      <c r="I36" s="727"/>
      <c r="J36" s="727"/>
      <c r="K36" s="727"/>
      <c r="L36" s="412"/>
    </row>
    <row r="37" spans="2:12">
      <c r="B37" s="724"/>
      <c r="C37" s="725"/>
      <c r="D37" s="727"/>
      <c r="E37" s="727"/>
      <c r="F37" s="727"/>
      <c r="G37" s="727"/>
      <c r="H37" s="727"/>
      <c r="I37" s="727"/>
      <c r="J37" s="727"/>
      <c r="K37" s="727"/>
      <c r="L37" s="412"/>
    </row>
    <row r="38" spans="2:12">
      <c r="B38" s="406"/>
      <c r="C38" s="817" t="s">
        <v>15</v>
      </c>
      <c r="D38" s="406"/>
      <c r="E38" s="406"/>
      <c r="F38" s="406"/>
      <c r="G38" s="406"/>
      <c r="H38" s="406"/>
      <c r="I38" s="406"/>
      <c r="J38" s="406"/>
    </row>
    <row r="39" spans="2:12">
      <c r="C39" s="817" t="s">
        <v>15</v>
      </c>
    </row>
  </sheetData>
  <mergeCells count="1">
    <mergeCell ref="B32:J32"/>
  </mergeCells>
  <printOptions horizontalCentered="1"/>
  <pageMargins left="0.5" right="0.5" top="1" bottom="0.5" header="0.5" footer="0.25"/>
  <pageSetup scale="71"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workbookViewId="0"/>
  </sheetViews>
  <sheetFormatPr defaultColWidth="8.88671875" defaultRowHeight="15"/>
  <cols>
    <col min="1" max="1" width="45.44140625" style="1776" customWidth="1"/>
    <col min="2" max="2" width="17" style="1600" bestFit="1" customWidth="1"/>
    <col min="3" max="3" width="1.88671875" style="1600" customWidth="1"/>
    <col min="4" max="4" width="17" style="1600" bestFit="1" customWidth="1"/>
    <col min="5" max="5" width="1.88671875" style="1599" customWidth="1"/>
    <col min="6" max="6" width="17.109375" style="1600" customWidth="1"/>
    <col min="7" max="7" width="1.88671875" style="1599" customWidth="1"/>
    <col min="8" max="8" width="17.5546875" style="1600" customWidth="1"/>
    <col min="9" max="9" width="1.88671875" style="1827" customWidth="1"/>
    <col min="10" max="10" width="16.44140625" style="1781" customWidth="1"/>
    <col min="11" max="11" width="1.88671875" style="1781" customWidth="1"/>
    <col min="12" max="12" width="17" style="1781" bestFit="1" customWidth="1"/>
    <col min="13" max="13" width="1.88671875" style="1827" customWidth="1"/>
    <col min="14" max="14" width="17.5546875" style="1781" customWidth="1"/>
    <col min="15" max="15" width="1.88671875" style="1827" customWidth="1"/>
    <col min="16" max="16" width="17.109375" style="1781" customWidth="1"/>
    <col min="17" max="17" width="1.88671875" style="1827" customWidth="1"/>
    <col min="18" max="18" width="13.88671875" style="1781" customWidth="1"/>
    <col min="19" max="19" width="1.88671875" style="1827" customWidth="1"/>
    <col min="20" max="20" width="13.88671875" style="1781" customWidth="1"/>
    <col min="21" max="21" width="1.88671875" style="1827" customWidth="1"/>
    <col min="22" max="22" width="13.88671875" style="1781" customWidth="1"/>
    <col min="23" max="23" width="1.88671875" style="1827" customWidth="1"/>
    <col min="24" max="24" width="13.88671875" style="1781" customWidth="1"/>
    <col min="25" max="25" width="1.88671875" style="1827" customWidth="1"/>
    <col min="26" max="26" width="21.88671875" style="1828" customWidth="1"/>
    <col min="27" max="27" width="1.5546875" style="1794" customWidth="1"/>
    <col min="28" max="28" width="18.88671875" style="1776" bestFit="1" customWidth="1"/>
    <col min="29" max="29" width="12.88671875" style="1776" bestFit="1" customWidth="1"/>
    <col min="30" max="16384" width="8.88671875" style="1776"/>
  </cols>
  <sheetData>
    <row r="1" spans="1:40">
      <c r="A1" s="1532" t="s">
        <v>979</v>
      </c>
      <c r="B1" s="1324"/>
      <c r="C1" s="1324"/>
      <c r="D1" s="1324"/>
      <c r="E1" s="1324"/>
      <c r="F1" s="1324"/>
      <c r="G1" s="1324"/>
      <c r="H1" s="1324"/>
      <c r="I1" s="1775"/>
      <c r="J1" s="1775"/>
      <c r="K1" s="1775"/>
      <c r="L1" s="1775"/>
      <c r="M1" s="1775"/>
      <c r="N1" s="1775"/>
      <c r="O1" s="1775"/>
      <c r="P1" s="1775"/>
      <c r="Q1" s="1775"/>
      <c r="R1" s="1775"/>
      <c r="S1" s="1775"/>
      <c r="T1" s="1775"/>
      <c r="U1" s="1775"/>
      <c r="V1" s="1775"/>
      <c r="W1" s="1775"/>
      <c r="X1" s="1775"/>
      <c r="Y1" s="1775"/>
      <c r="Z1" s="1775"/>
      <c r="AA1" s="3600"/>
      <c r="AB1" s="1775"/>
      <c r="AC1" s="1775"/>
      <c r="AD1" s="1775"/>
      <c r="AE1" s="1775"/>
      <c r="AF1" s="1775"/>
      <c r="AG1" s="1775"/>
    </row>
    <row r="2" spans="1:40">
      <c r="A2" s="1532"/>
      <c r="B2" s="1324"/>
      <c r="C2" s="1324"/>
      <c r="D2" s="1324"/>
      <c r="E2" s="1324"/>
      <c r="F2" s="1324"/>
      <c r="G2" s="1324"/>
      <c r="H2" s="1324"/>
      <c r="I2" s="1775"/>
      <c r="J2" s="1775"/>
      <c r="K2" s="1775"/>
      <c r="L2" s="1775"/>
      <c r="M2" s="1775"/>
      <c r="N2" s="1775"/>
      <c r="O2" s="1775"/>
      <c r="P2" s="1775"/>
      <c r="Q2" s="1775"/>
      <c r="R2" s="1775"/>
      <c r="S2" s="1775"/>
      <c r="T2" s="1775"/>
      <c r="U2" s="1775"/>
      <c r="V2" s="1775"/>
      <c r="W2" s="1775"/>
      <c r="X2" s="1775"/>
      <c r="Y2" s="1775"/>
      <c r="Z2" s="1775"/>
      <c r="AA2" s="3600"/>
      <c r="AB2" s="1775"/>
      <c r="AC2" s="1775"/>
      <c r="AD2" s="1775"/>
      <c r="AE2" s="1775"/>
      <c r="AF2" s="1775"/>
      <c r="AG2" s="1775"/>
    </row>
    <row r="3" spans="1:40" ht="24" customHeight="1">
      <c r="A3" s="1777" t="s">
        <v>0</v>
      </c>
      <c r="B3" s="486"/>
      <c r="C3" s="486"/>
      <c r="D3" s="487"/>
      <c r="E3" s="488"/>
      <c r="F3" s="487"/>
      <c r="G3" s="488"/>
      <c r="H3" s="487"/>
      <c r="I3" s="1780"/>
      <c r="K3" s="1778"/>
      <c r="L3" s="1782"/>
      <c r="M3" s="1778"/>
      <c r="N3" s="1779"/>
      <c r="O3" s="1780"/>
      <c r="P3" s="1779"/>
      <c r="Q3" s="1780"/>
      <c r="R3" s="1779"/>
      <c r="S3" s="1780"/>
      <c r="T3" s="1779"/>
      <c r="U3" s="1780"/>
      <c r="V3" s="1779"/>
      <c r="W3" s="1780"/>
      <c r="X3" s="1779"/>
      <c r="Y3" s="1780"/>
      <c r="Z3" s="1783" t="s">
        <v>472</v>
      </c>
      <c r="AA3" s="3601"/>
      <c r="AC3" s="1778"/>
      <c r="AE3" s="1778"/>
    </row>
    <row r="4" spans="1:40" ht="16.5">
      <c r="A4" s="1777" t="s">
        <v>473</v>
      </c>
      <c r="B4" s="1325"/>
      <c r="C4" s="1325"/>
      <c r="D4" s="490"/>
      <c r="E4" s="488"/>
      <c r="F4" s="1325"/>
      <c r="G4" s="488"/>
      <c r="H4" s="1325"/>
      <c r="I4" s="1780"/>
      <c r="J4" s="1784"/>
      <c r="K4" s="1784"/>
      <c r="L4" s="1784"/>
      <c r="M4" s="1785"/>
      <c r="N4" s="1784"/>
      <c r="O4" s="1780"/>
      <c r="P4" s="1784"/>
      <c r="Q4" s="1780"/>
      <c r="R4" s="1784"/>
      <c r="S4" s="1780"/>
      <c r="T4" s="1784"/>
      <c r="U4" s="1780"/>
      <c r="V4" s="1784"/>
      <c r="W4" s="1780"/>
      <c r="X4" s="1784"/>
      <c r="Y4" s="1780"/>
      <c r="Z4" s="1786"/>
      <c r="AA4" s="3601"/>
      <c r="AC4" s="1778"/>
    </row>
    <row r="5" spans="1:40" ht="16.5">
      <c r="A5" s="1787" t="s">
        <v>1188</v>
      </c>
      <c r="B5" s="1325"/>
      <c r="C5" s="1325"/>
      <c r="D5" s="1325"/>
      <c r="E5" s="488"/>
      <c r="F5" s="1325"/>
      <c r="G5" s="488"/>
      <c r="H5" s="1325"/>
      <c r="I5" s="1780"/>
      <c r="J5" s="1784"/>
      <c r="K5" s="1784"/>
      <c r="L5" s="1784"/>
      <c r="M5" s="1785"/>
      <c r="N5" s="1784"/>
      <c r="O5" s="1780"/>
      <c r="P5" s="1784"/>
      <c r="Q5" s="1780"/>
      <c r="R5" s="1784"/>
      <c r="S5" s="1780"/>
      <c r="T5" s="1784"/>
      <c r="U5" s="1780"/>
      <c r="V5" s="1784"/>
      <c r="W5" s="1780"/>
      <c r="X5" s="1784"/>
      <c r="Y5" s="1780"/>
      <c r="Z5" s="1786"/>
    </row>
    <row r="6" spans="1:40" ht="18" customHeight="1">
      <c r="A6" s="1788" t="str">
        <f>'Cashflow Governmental'!A6</f>
        <v xml:space="preserve">FISCAL YEAR 2019-2020   </v>
      </c>
      <c r="B6" s="1325"/>
      <c r="C6" s="1325"/>
      <c r="D6" s="495"/>
      <c r="E6" s="488"/>
      <c r="F6" s="1325"/>
      <c r="G6" s="488"/>
      <c r="H6" s="1325"/>
      <c r="I6" s="1780"/>
      <c r="J6" s="1784"/>
      <c r="K6" s="1784"/>
      <c r="L6" s="1784"/>
      <c r="M6" s="1785"/>
      <c r="N6" s="1784"/>
      <c r="O6" s="1780"/>
      <c r="P6" s="1784"/>
      <c r="Q6" s="1780"/>
      <c r="R6" s="1784"/>
      <c r="S6" s="1780"/>
      <c r="T6" s="1784"/>
      <c r="U6" s="1780"/>
      <c r="V6" s="1784"/>
      <c r="W6" s="1780"/>
      <c r="X6" s="1784"/>
      <c r="Y6" s="1780"/>
      <c r="Z6" s="1786"/>
    </row>
    <row r="7" spans="1:40" ht="15" customHeight="1">
      <c r="A7" s="1789"/>
      <c r="B7" s="1325"/>
      <c r="C7" s="1325"/>
      <c r="D7" s="1325"/>
      <c r="E7" s="488"/>
      <c r="F7" s="1325"/>
      <c r="G7" s="488"/>
      <c r="H7" s="1325"/>
      <c r="I7" s="1780"/>
      <c r="J7" s="1784"/>
      <c r="K7" s="1784"/>
      <c r="L7" s="1784"/>
      <c r="M7" s="1785"/>
      <c r="N7" s="1784"/>
      <c r="O7" s="1780"/>
      <c r="P7" s="1784"/>
      <c r="Q7" s="1780"/>
      <c r="R7" s="1790"/>
      <c r="S7" s="1780"/>
      <c r="T7" s="1790"/>
      <c r="U7" s="1780"/>
      <c r="V7" s="1790"/>
      <c r="W7" s="1780"/>
      <c r="X7" s="1790"/>
      <c r="Y7" s="1780"/>
      <c r="Z7" s="1786"/>
    </row>
    <row r="8" spans="1:40" ht="15.75">
      <c r="A8" s="1791"/>
      <c r="B8" s="1325"/>
      <c r="C8" s="1325"/>
      <c r="D8" s="1325"/>
      <c r="E8" s="488"/>
      <c r="F8" s="1325"/>
      <c r="G8" s="488"/>
      <c r="H8" s="1325"/>
      <c r="I8" s="1780"/>
      <c r="J8" s="1784"/>
      <c r="K8" s="1784"/>
      <c r="L8" s="1784"/>
      <c r="M8" s="1780"/>
      <c r="N8" s="1784"/>
      <c r="O8" s="1780"/>
      <c r="P8" s="1784"/>
      <c r="Q8" s="1780"/>
      <c r="R8" s="1784"/>
      <c r="S8" s="1780"/>
      <c r="T8" s="1784"/>
      <c r="U8" s="1780"/>
      <c r="V8" s="1784"/>
      <c r="W8" s="1780"/>
      <c r="X8" s="1784"/>
      <c r="Y8" s="1780"/>
      <c r="Z8" s="1792"/>
      <c r="AA8" s="1793"/>
    </row>
    <row r="9" spans="1:40" ht="15" customHeight="1">
      <c r="A9" s="1794"/>
      <c r="B9" s="920" t="str">
        <f>'Cashflow Governmental'!C13</f>
        <v>2019</v>
      </c>
      <c r="C9" s="498"/>
      <c r="D9" s="498"/>
      <c r="E9" s="491"/>
      <c r="F9" s="498"/>
      <c r="G9" s="491"/>
      <c r="H9" s="498"/>
      <c r="I9" s="1785"/>
      <c r="J9" s="1796"/>
      <c r="K9" s="1796"/>
      <c r="L9" s="1797"/>
      <c r="M9" s="1785"/>
      <c r="N9" s="1797"/>
      <c r="O9" s="1785"/>
      <c r="P9" s="1797"/>
      <c r="Q9" s="1785"/>
      <c r="R9" s="1797"/>
      <c r="S9" s="1785"/>
      <c r="T9" s="1795" t="str">
        <f>'Cashflow Governmental'!U13</f>
        <v>2020</v>
      </c>
      <c r="U9" s="1785"/>
      <c r="V9" s="1797"/>
      <c r="W9" s="1785"/>
      <c r="X9" s="1797"/>
      <c r="Y9" s="1785"/>
      <c r="Z9" s="1798" t="s">
        <v>1601</v>
      </c>
      <c r="AA9" s="1798"/>
    </row>
    <row r="10" spans="1:40" ht="15" customHeight="1">
      <c r="A10" s="1794"/>
      <c r="B10" s="501" t="s">
        <v>125</v>
      </c>
      <c r="C10" s="502"/>
      <c r="D10" s="499" t="s">
        <v>126</v>
      </c>
      <c r="E10" s="491"/>
      <c r="F10" s="499" t="s">
        <v>127</v>
      </c>
      <c r="G10" s="491"/>
      <c r="H10" s="499" t="s">
        <v>128</v>
      </c>
      <c r="I10" s="1785"/>
      <c r="J10" s="1979" t="s">
        <v>129</v>
      </c>
      <c r="K10" s="503"/>
      <c r="L10" s="1797" t="s">
        <v>144</v>
      </c>
      <c r="M10" s="1785"/>
      <c r="N10" s="1797" t="s">
        <v>145</v>
      </c>
      <c r="O10" s="1785"/>
      <c r="P10" s="1797" t="s">
        <v>132</v>
      </c>
      <c r="Q10" s="1785"/>
      <c r="R10" s="1797" t="s">
        <v>133</v>
      </c>
      <c r="S10" s="1785"/>
      <c r="T10" s="1797" t="s">
        <v>134</v>
      </c>
      <c r="U10" s="1785"/>
      <c r="V10" s="1797" t="s">
        <v>135</v>
      </c>
      <c r="W10" s="1785"/>
      <c r="X10" s="1797" t="s">
        <v>186</v>
      </c>
      <c r="Y10" s="1785"/>
      <c r="Z10" s="1799">
        <v>43890</v>
      </c>
      <c r="AA10" s="1799"/>
    </row>
    <row r="11" spans="1:40" ht="15" customHeight="1">
      <c r="A11" s="1794"/>
      <c r="B11" s="1906" t="s">
        <v>15</v>
      </c>
      <c r="C11" s="1329"/>
      <c r="D11" s="1906" t="s">
        <v>15</v>
      </c>
      <c r="E11" s="1330"/>
      <c r="F11" s="1906" t="s">
        <v>15</v>
      </c>
      <c r="G11" s="1330"/>
      <c r="H11" s="1906" t="s">
        <v>15</v>
      </c>
      <c r="I11" s="1802"/>
      <c r="J11" s="1800" t="s">
        <v>15</v>
      </c>
      <c r="K11" s="503"/>
      <c r="L11" s="1800" t="s">
        <v>15</v>
      </c>
      <c r="M11" s="1802"/>
      <c r="N11" s="1800" t="s">
        <v>15</v>
      </c>
      <c r="O11" s="1802"/>
      <c r="P11" s="1800" t="s">
        <v>15</v>
      </c>
      <c r="Q11" s="1802"/>
      <c r="R11" s="1800" t="s">
        <v>15</v>
      </c>
      <c r="S11" s="1802"/>
      <c r="T11" s="1800" t="s">
        <v>15</v>
      </c>
      <c r="U11" s="1802"/>
      <c r="V11" s="1800" t="s">
        <v>15</v>
      </c>
      <c r="W11" s="1802"/>
      <c r="X11" s="1800" t="s">
        <v>15</v>
      </c>
      <c r="Y11" s="1802"/>
      <c r="Z11" s="1803" t="s">
        <v>15</v>
      </c>
      <c r="AB11" s="1804"/>
      <c r="AC11" s="1804"/>
      <c r="AD11" s="1804"/>
      <c r="AE11" s="1804"/>
      <c r="AF11" s="1804"/>
      <c r="AG11" s="1804"/>
      <c r="AH11" s="1804"/>
      <c r="AI11" s="1804"/>
      <c r="AJ11" s="1804"/>
      <c r="AK11" s="1804"/>
      <c r="AL11" s="1804"/>
      <c r="AM11" s="1804"/>
      <c r="AN11" s="1804"/>
    </row>
    <row r="12" spans="1:40" s="1806" customFormat="1" ht="15" customHeight="1">
      <c r="A12" s="517" t="s">
        <v>474</v>
      </c>
      <c r="B12" s="506">
        <v>0</v>
      </c>
      <c r="C12" s="507"/>
      <c r="D12" s="506">
        <f>B47</f>
        <v>543140525</v>
      </c>
      <c r="E12" s="1331"/>
      <c r="F12" s="506">
        <f>D47</f>
        <v>283562198</v>
      </c>
      <c r="G12" s="1331"/>
      <c r="H12" s="506">
        <f>F47</f>
        <v>300393092</v>
      </c>
      <c r="I12" s="1805"/>
      <c r="J12" s="519">
        <f>H47</f>
        <v>420298155</v>
      </c>
      <c r="K12" s="508"/>
      <c r="L12" s="519">
        <f>J47</f>
        <v>136965831</v>
      </c>
      <c r="M12" s="518"/>
      <c r="N12" s="519">
        <f>L47</f>
        <v>79863323</v>
      </c>
      <c r="O12" s="519"/>
      <c r="P12" s="519">
        <f>N47</f>
        <v>152028064</v>
      </c>
      <c r="Q12" s="519"/>
      <c r="R12" s="519">
        <f>P47</f>
        <v>223908390</v>
      </c>
      <c r="S12" s="519"/>
      <c r="T12" s="519">
        <f>R47</f>
        <v>213101187</v>
      </c>
      <c r="U12" s="519"/>
      <c r="V12" s="519">
        <f>T47</f>
        <v>230456814</v>
      </c>
      <c r="W12" s="519"/>
      <c r="X12" s="519"/>
      <c r="Y12" s="519"/>
      <c r="Z12" s="519">
        <f>+B12</f>
        <v>0</v>
      </c>
      <c r="AA12" s="3602"/>
    </row>
    <row r="13" spans="1:40" ht="15" customHeight="1">
      <c r="A13" s="1807"/>
      <c r="B13" s="1333"/>
      <c r="C13" s="1334"/>
      <c r="D13" s="1333"/>
      <c r="E13" s="1333"/>
      <c r="F13" s="1333"/>
      <c r="G13" s="1333"/>
      <c r="H13" s="1333"/>
      <c r="I13" s="1343"/>
      <c r="J13" s="1343"/>
      <c r="K13" s="503"/>
      <c r="L13" s="1343"/>
      <c r="M13" s="1343"/>
      <c r="N13" s="1343"/>
      <c r="O13" s="1343"/>
      <c r="P13" s="1343"/>
      <c r="Q13" s="1343"/>
      <c r="R13" s="1343"/>
      <c r="S13" s="1343"/>
      <c r="T13" s="1343"/>
      <c r="U13" s="1343"/>
      <c r="V13" s="1343"/>
      <c r="W13" s="1343"/>
      <c r="X13" s="1343"/>
      <c r="Y13" s="1343"/>
      <c r="Z13" s="1809"/>
    </row>
    <row r="14" spans="1:40" ht="15" customHeight="1">
      <c r="A14" s="516" t="s">
        <v>14</v>
      </c>
      <c r="B14" s="1333"/>
      <c r="C14" s="1334"/>
      <c r="D14" s="1333"/>
      <c r="E14" s="1333"/>
      <c r="F14" s="1333"/>
      <c r="G14" s="1333"/>
      <c r="H14" s="1333"/>
      <c r="I14" s="1343"/>
      <c r="J14" s="1343"/>
      <c r="K14" s="1343"/>
      <c r="L14" s="1343"/>
      <c r="M14" s="1343"/>
      <c r="N14" s="1343"/>
      <c r="O14" s="1343"/>
      <c r="P14" s="1343"/>
      <c r="Q14" s="1343"/>
      <c r="R14" s="1343"/>
      <c r="S14" s="1343"/>
      <c r="T14" s="1343"/>
      <c r="U14" s="1343"/>
      <c r="V14" s="1343"/>
      <c r="W14" s="1343"/>
      <c r="X14" s="1343"/>
      <c r="Y14" s="1343"/>
      <c r="Z14" s="1809"/>
    </row>
    <row r="15" spans="1:40" ht="15" customHeight="1">
      <c r="A15" s="829" t="s">
        <v>475</v>
      </c>
      <c r="B15" s="1336">
        <v>63203605</v>
      </c>
      <c r="C15" s="1337"/>
      <c r="D15" s="1336">
        <v>59370644</v>
      </c>
      <c r="E15" s="1336"/>
      <c r="F15" s="1336">
        <v>57339173</v>
      </c>
      <c r="G15" s="1336"/>
      <c r="H15" s="1336">
        <v>75425457</v>
      </c>
      <c r="I15" s="1341"/>
      <c r="J15" s="1336">
        <v>63846255</v>
      </c>
      <c r="K15" s="1341"/>
      <c r="L15" s="1336">
        <v>59381304</v>
      </c>
      <c r="M15" s="1343"/>
      <c r="N15" s="1341">
        <v>65507143</v>
      </c>
      <c r="O15" s="1341"/>
      <c r="P15" s="1341">
        <v>57797138</v>
      </c>
      <c r="Q15" s="1341"/>
      <c r="R15" s="1341">
        <v>68931372</v>
      </c>
      <c r="S15" s="1341"/>
      <c r="T15" s="1341">
        <v>55243103</v>
      </c>
      <c r="U15" s="1341"/>
      <c r="V15" s="1341">
        <f>$Z15-$B15-$D15-$F15-$H15-$J15-$L15-$N15-$P15-$R15-$T15</f>
        <v>45314058</v>
      </c>
      <c r="W15" s="1341"/>
      <c r="X15" s="1341"/>
      <c r="Y15" s="1341"/>
      <c r="Z15" s="1341">
        <v>671359252</v>
      </c>
    </row>
    <row r="16" spans="1:40" ht="15" customHeight="1">
      <c r="A16" s="829" t="s">
        <v>476</v>
      </c>
      <c r="B16" s="1336">
        <v>2069000</v>
      </c>
      <c r="C16" s="1337"/>
      <c r="D16" s="1336">
        <v>2175000</v>
      </c>
      <c r="E16" s="1336"/>
      <c r="F16" s="1336">
        <v>1928000</v>
      </c>
      <c r="G16" s="1336"/>
      <c r="H16" s="1336">
        <v>1929000</v>
      </c>
      <c r="I16" s="1341"/>
      <c r="J16" s="1336">
        <v>2141000</v>
      </c>
      <c r="K16" s="1341"/>
      <c r="L16" s="1336">
        <v>1867000</v>
      </c>
      <c r="M16" s="1343"/>
      <c r="N16" s="1341">
        <v>2219000</v>
      </c>
      <c r="O16" s="1341"/>
      <c r="P16" s="1341">
        <v>1792000</v>
      </c>
      <c r="Q16" s="1341"/>
      <c r="R16" s="1341">
        <v>1701000</v>
      </c>
      <c r="S16" s="1341"/>
      <c r="T16" s="1341">
        <v>1978000</v>
      </c>
      <c r="U16" s="1341"/>
      <c r="V16" s="1341">
        <f t="shared" ref="V16:V24" si="0">$Z16-$B16-$D16-$F16-$H16-$J16-$L16-$N16-$P16-$R16-$T16</f>
        <v>1596000</v>
      </c>
      <c r="W16" s="1341"/>
      <c r="X16" s="1341"/>
      <c r="Y16" s="1341"/>
      <c r="Z16" s="1341">
        <v>21395000</v>
      </c>
    </row>
    <row r="17" spans="1:28" ht="15" customHeight="1">
      <c r="A17" s="829" t="s">
        <v>1604</v>
      </c>
      <c r="B17" s="1336">
        <v>0</v>
      </c>
      <c r="C17" s="1337"/>
      <c r="D17" s="1336">
        <v>0</v>
      </c>
      <c r="E17" s="1336"/>
      <c r="F17" s="1336">
        <v>0</v>
      </c>
      <c r="G17" s="1336"/>
      <c r="H17" s="1336">
        <v>0</v>
      </c>
      <c r="I17" s="1341"/>
      <c r="J17" s="1336">
        <v>0</v>
      </c>
      <c r="K17" s="1341"/>
      <c r="L17" s="1336">
        <v>0</v>
      </c>
      <c r="M17" s="1343"/>
      <c r="N17" s="1341">
        <v>0</v>
      </c>
      <c r="O17" s="1341"/>
      <c r="P17" s="1341">
        <v>0</v>
      </c>
      <c r="Q17" s="1341"/>
      <c r="R17" s="1341">
        <v>0</v>
      </c>
      <c r="S17" s="1341"/>
      <c r="T17" s="1341">
        <v>0</v>
      </c>
      <c r="U17" s="1341"/>
      <c r="V17" s="1341">
        <f>$Z17-$B17-$D17-$F17-$H17-$J17-$L17-$N17-$P17-$R17-$T17</f>
        <v>5455</v>
      </c>
      <c r="W17" s="1341"/>
      <c r="X17" s="1341"/>
      <c r="Y17" s="1341"/>
      <c r="Z17" s="1341">
        <v>5455</v>
      </c>
    </row>
    <row r="18" spans="1:28" ht="15" customHeight="1">
      <c r="A18" s="829" t="s">
        <v>477</v>
      </c>
      <c r="B18" s="1336">
        <v>469440</v>
      </c>
      <c r="C18" s="1337"/>
      <c r="D18" s="1336">
        <v>785843</v>
      </c>
      <c r="E18" s="1336"/>
      <c r="F18" s="1336">
        <v>1583166</v>
      </c>
      <c r="G18" s="1336"/>
      <c r="H18" s="1336">
        <v>1015764</v>
      </c>
      <c r="I18" s="1341"/>
      <c r="J18" s="1336">
        <v>1230923</v>
      </c>
      <c r="K18" s="1341"/>
      <c r="L18" s="1336">
        <v>1065269</v>
      </c>
      <c r="M18" s="1343"/>
      <c r="N18" s="1341">
        <v>821677</v>
      </c>
      <c r="O18" s="1341"/>
      <c r="P18" s="1341">
        <v>676684</v>
      </c>
      <c r="Q18" s="1341"/>
      <c r="R18" s="1341">
        <v>571892</v>
      </c>
      <c r="S18" s="1341"/>
      <c r="T18" s="1341">
        <v>562232</v>
      </c>
      <c r="U18" s="1341"/>
      <c r="V18" s="1341">
        <f t="shared" si="0"/>
        <v>820770</v>
      </c>
      <c r="W18" s="1341"/>
      <c r="X18" s="1341"/>
      <c r="Y18" s="1341"/>
      <c r="Z18" s="1341">
        <v>9603660</v>
      </c>
    </row>
    <row r="19" spans="1:28" ht="15" customHeight="1">
      <c r="A19" s="829" t="s">
        <v>478</v>
      </c>
      <c r="B19" s="1336">
        <v>0</v>
      </c>
      <c r="C19" s="1339"/>
      <c r="D19" s="1336">
        <v>0</v>
      </c>
      <c r="E19" s="1907"/>
      <c r="F19" s="1336">
        <v>0</v>
      </c>
      <c r="G19" s="1907"/>
      <c r="H19" s="1336">
        <v>0</v>
      </c>
      <c r="I19" s="1341"/>
      <c r="J19" s="1336">
        <v>0</v>
      </c>
      <c r="K19" s="1810"/>
      <c r="L19" s="1336">
        <v>0</v>
      </c>
      <c r="M19" s="1343"/>
      <c r="N19" s="1341">
        <v>0</v>
      </c>
      <c r="O19" s="1341"/>
      <c r="P19" s="1341">
        <v>0</v>
      </c>
      <c r="Q19" s="1341"/>
      <c r="R19" s="1341">
        <v>0</v>
      </c>
      <c r="S19" s="1341"/>
      <c r="T19" s="1341">
        <v>0</v>
      </c>
      <c r="U19" s="1341"/>
      <c r="V19" s="1341">
        <f t="shared" si="0"/>
        <v>0</v>
      </c>
      <c r="W19" s="1341"/>
      <c r="X19" s="1341"/>
      <c r="Y19" s="1341"/>
      <c r="Z19" s="1347">
        <v>0</v>
      </c>
    </row>
    <row r="20" spans="1:28" ht="15" customHeight="1">
      <c r="A20" s="829" t="s">
        <v>479</v>
      </c>
      <c r="B20" s="1336">
        <v>533324883</v>
      </c>
      <c r="C20" s="1337"/>
      <c r="D20" s="1336">
        <v>443523673</v>
      </c>
      <c r="E20" s="1336"/>
      <c r="F20" s="1336">
        <v>423216328</v>
      </c>
      <c r="G20" s="1336"/>
      <c r="H20" s="1336">
        <v>494280029</v>
      </c>
      <c r="I20" s="1341"/>
      <c r="J20" s="1336">
        <v>436582470</v>
      </c>
      <c r="K20" s="1341"/>
      <c r="L20" s="1336">
        <v>465018162</v>
      </c>
      <c r="M20" s="1343"/>
      <c r="N20" s="1341">
        <v>453744940</v>
      </c>
      <c r="O20" s="1341"/>
      <c r="P20" s="1341">
        <v>389283657</v>
      </c>
      <c r="Q20" s="1341"/>
      <c r="R20" s="1341">
        <v>448018093</v>
      </c>
      <c r="S20" s="1341"/>
      <c r="T20" s="1341">
        <v>481298926</v>
      </c>
      <c r="U20" s="1341"/>
      <c r="V20" s="1341">
        <f t="shared" si="0"/>
        <v>446061871</v>
      </c>
      <c r="W20" s="1341"/>
      <c r="X20" s="1341"/>
      <c r="Y20" s="1341"/>
      <c r="Z20" s="1341">
        <v>5014353032</v>
      </c>
    </row>
    <row r="21" spans="1:28" ht="15" customHeight="1">
      <c r="A21" s="829" t="s">
        <v>480</v>
      </c>
      <c r="B21" s="1336">
        <v>404000</v>
      </c>
      <c r="C21" s="1339"/>
      <c r="D21" s="1336">
        <v>903000</v>
      </c>
      <c r="E21" s="1336"/>
      <c r="F21" s="1336">
        <v>2574000</v>
      </c>
      <c r="G21" s="1336"/>
      <c r="H21" s="1336">
        <v>312000</v>
      </c>
      <c r="I21" s="1341"/>
      <c r="J21" s="1336">
        <v>94000</v>
      </c>
      <c r="K21" s="1344"/>
      <c r="L21" s="1336">
        <v>987000</v>
      </c>
      <c r="M21" s="1343"/>
      <c r="N21" s="1341">
        <v>280000</v>
      </c>
      <c r="O21" s="1341"/>
      <c r="P21" s="1341">
        <v>47000</v>
      </c>
      <c r="Q21" s="1341"/>
      <c r="R21" s="1341">
        <v>2545000</v>
      </c>
      <c r="S21" s="1341"/>
      <c r="T21" s="1341">
        <v>579000</v>
      </c>
      <c r="U21" s="1341"/>
      <c r="V21" s="1341">
        <f t="shared" si="0"/>
        <v>97000</v>
      </c>
      <c r="W21" s="1347"/>
      <c r="X21" s="1341"/>
      <c r="Y21" s="1341"/>
      <c r="Z21" s="1341">
        <v>8822000</v>
      </c>
    </row>
    <row r="22" spans="1:28" ht="15" customHeight="1">
      <c r="A22" s="829" t="s">
        <v>481</v>
      </c>
      <c r="B22" s="1336">
        <v>4761424</v>
      </c>
      <c r="C22" s="1339"/>
      <c r="D22" s="1336">
        <v>362419</v>
      </c>
      <c r="E22" s="1336"/>
      <c r="F22" s="1336">
        <v>6001122</v>
      </c>
      <c r="G22" s="1336"/>
      <c r="H22" s="1336">
        <v>13400488</v>
      </c>
      <c r="I22" s="1341"/>
      <c r="J22" s="1336">
        <v>1044971</v>
      </c>
      <c r="K22" s="1344"/>
      <c r="L22" s="1336">
        <v>3626158</v>
      </c>
      <c r="M22" s="1343"/>
      <c r="N22" s="1341">
        <v>9624921</v>
      </c>
      <c r="O22" s="1341"/>
      <c r="P22" s="1341">
        <v>3786088</v>
      </c>
      <c r="Q22" s="1341"/>
      <c r="R22" s="1341">
        <v>3599685</v>
      </c>
      <c r="S22" s="1341"/>
      <c r="T22" s="1341">
        <v>5019882</v>
      </c>
      <c r="U22" s="1341"/>
      <c r="V22" s="1341">
        <f>$Z22-$B22-$D22-$F22-$H22-$J22-$L22-$N22-$P22-$R22-$T22</f>
        <v>1677311</v>
      </c>
      <c r="W22" s="1347"/>
      <c r="X22" s="1341"/>
      <c r="Y22" s="1341"/>
      <c r="Z22" s="1341">
        <v>52904469</v>
      </c>
    </row>
    <row r="23" spans="1:28" ht="15" customHeight="1">
      <c r="A23" s="829" t="s">
        <v>482</v>
      </c>
      <c r="B23" s="1336">
        <v>0</v>
      </c>
      <c r="C23" s="1339"/>
      <c r="D23" s="1336">
        <v>0</v>
      </c>
      <c r="E23" s="1336"/>
      <c r="F23" s="1336">
        <v>0</v>
      </c>
      <c r="G23" s="1336"/>
      <c r="H23" s="1336">
        <v>0</v>
      </c>
      <c r="I23" s="1341"/>
      <c r="J23" s="1336">
        <v>0</v>
      </c>
      <c r="K23" s="1344"/>
      <c r="L23" s="1336">
        <v>0</v>
      </c>
      <c r="M23" s="1343"/>
      <c r="N23" s="1341">
        <v>0</v>
      </c>
      <c r="O23" s="1341"/>
      <c r="P23" s="1341">
        <v>0</v>
      </c>
      <c r="Q23" s="1341"/>
      <c r="R23" s="1341">
        <v>0</v>
      </c>
      <c r="S23" s="1341"/>
      <c r="T23" s="1341">
        <v>0</v>
      </c>
      <c r="U23" s="1341"/>
      <c r="V23" s="1341">
        <f t="shared" si="0"/>
        <v>0</v>
      </c>
      <c r="W23" s="1347"/>
      <c r="X23" s="1341"/>
      <c r="Y23" s="1341"/>
      <c r="Z23" s="1341">
        <v>0</v>
      </c>
    </row>
    <row r="24" spans="1:28" ht="15" customHeight="1">
      <c r="A24" s="829" t="s">
        <v>483</v>
      </c>
      <c r="B24" s="1336">
        <v>0</v>
      </c>
      <c r="C24" s="1908"/>
      <c r="D24" s="1336">
        <v>0</v>
      </c>
      <c r="E24" s="1336"/>
      <c r="F24" s="1336">
        <v>0</v>
      </c>
      <c r="G24" s="1336"/>
      <c r="H24" s="1336">
        <v>0</v>
      </c>
      <c r="I24" s="1341"/>
      <c r="J24" s="1336">
        <v>0</v>
      </c>
      <c r="K24" s="1341"/>
      <c r="L24" s="1336">
        <v>0</v>
      </c>
      <c r="M24" s="1343"/>
      <c r="N24" s="1341">
        <v>0</v>
      </c>
      <c r="O24" s="1341"/>
      <c r="P24" s="1341">
        <v>0</v>
      </c>
      <c r="Q24" s="1341"/>
      <c r="R24" s="1341">
        <v>0</v>
      </c>
      <c r="S24" s="1341"/>
      <c r="T24" s="1341">
        <v>0</v>
      </c>
      <c r="U24" s="1341"/>
      <c r="V24" s="1341">
        <f t="shared" si="0"/>
        <v>0</v>
      </c>
      <c r="W24" s="1341"/>
      <c r="X24" s="1341"/>
      <c r="Y24" s="1341"/>
      <c r="Z24" s="1341">
        <v>0</v>
      </c>
    </row>
    <row r="25" spans="1:28" s="1806" customFormat="1" ht="22.5" customHeight="1">
      <c r="A25" s="516" t="s">
        <v>151</v>
      </c>
      <c r="B25" s="1909">
        <f>ROUND(SUM(B15:B24),0)</f>
        <v>604232352</v>
      </c>
      <c r="C25" s="512"/>
      <c r="D25" s="1909">
        <f>ROUND(SUM(D15:D24),0)</f>
        <v>507120579</v>
      </c>
      <c r="E25" s="513"/>
      <c r="F25" s="1909">
        <f>ROUND(SUM(F15:F24),0)</f>
        <v>492641789</v>
      </c>
      <c r="G25" s="513"/>
      <c r="H25" s="1909">
        <f>ROUND(SUM(H15:H24),0)</f>
        <v>586362738</v>
      </c>
      <c r="I25" s="1811"/>
      <c r="J25" s="1774">
        <f>ROUND(SUM(J15:J24),0)</f>
        <v>504939619</v>
      </c>
      <c r="K25" s="515"/>
      <c r="L25" s="1774">
        <f>ROUND(SUM(L15:L24),0)</f>
        <v>531944893</v>
      </c>
      <c r="M25" s="518"/>
      <c r="N25" s="1774">
        <f>ROUND(SUM(N15:N24),0)</f>
        <v>532197681</v>
      </c>
      <c r="O25" s="1811"/>
      <c r="P25" s="1774">
        <f>ROUND(SUM(P15:P24),0)</f>
        <v>453382567</v>
      </c>
      <c r="Q25" s="1811"/>
      <c r="R25" s="1774">
        <f>ROUND(SUM(R15:R24),0)</f>
        <v>525367042</v>
      </c>
      <c r="S25" s="1811"/>
      <c r="T25" s="1774">
        <f>ROUND(SUM(T15:T24),0)</f>
        <v>544681143</v>
      </c>
      <c r="U25" s="1811"/>
      <c r="V25" s="1774">
        <f>ROUND(SUM(V15:V24),0)</f>
        <v>495572465</v>
      </c>
      <c r="W25" s="1811"/>
      <c r="X25" s="1774">
        <f>ROUND(SUM(X15:X24),0)</f>
        <v>0</v>
      </c>
      <c r="Y25" s="1811"/>
      <c r="Z25" s="514">
        <f>ROUND(SUM(Z15:Z24),0)</f>
        <v>5778442868</v>
      </c>
      <c r="AA25" s="3602"/>
      <c r="AB25" s="1812"/>
    </row>
    <row r="26" spans="1:28" ht="15" customHeight="1">
      <c r="A26" s="1807"/>
      <c r="B26" s="1336"/>
      <c r="C26" s="1337"/>
      <c r="D26" s="1336"/>
      <c r="E26" s="1336"/>
      <c r="F26" s="1336"/>
      <c r="G26" s="1336"/>
      <c r="H26" s="1336"/>
      <c r="I26" s="1341"/>
      <c r="J26" s="1341"/>
      <c r="K26" s="1341"/>
      <c r="L26" s="1341"/>
      <c r="M26" s="1343"/>
      <c r="N26" s="1341"/>
      <c r="O26" s="1341"/>
      <c r="P26" s="1341"/>
      <c r="Q26" s="1341"/>
      <c r="R26" s="1341"/>
      <c r="S26" s="1341"/>
      <c r="T26" s="1341"/>
      <c r="U26" s="1341"/>
      <c r="V26" s="1341"/>
      <c r="W26" s="1341"/>
      <c r="X26" s="1341"/>
      <c r="Y26" s="1341"/>
      <c r="Z26" s="1338"/>
    </row>
    <row r="27" spans="1:28" ht="15" customHeight="1">
      <c r="A27" s="516" t="s">
        <v>23</v>
      </c>
      <c r="B27" s="1336"/>
      <c r="C27" s="1337"/>
      <c r="D27" s="1336"/>
      <c r="E27" s="1336"/>
      <c r="F27" s="1336"/>
      <c r="G27" s="1336"/>
      <c r="H27" s="1336"/>
      <c r="I27" s="1341"/>
      <c r="J27" s="1341"/>
      <c r="K27" s="1341"/>
      <c r="L27" s="1341"/>
      <c r="M27" s="1343"/>
      <c r="N27" s="1341"/>
      <c r="O27" s="1341"/>
      <c r="P27" s="1341"/>
      <c r="Q27" s="1341"/>
      <c r="R27" s="1341"/>
      <c r="S27" s="1341"/>
      <c r="T27" s="1341"/>
      <c r="U27" s="1341"/>
      <c r="V27" s="1341"/>
      <c r="W27" s="1341"/>
      <c r="X27" s="1341"/>
      <c r="Y27" s="1341"/>
      <c r="Z27" s="1338"/>
    </row>
    <row r="28" spans="1:28" ht="15" customHeight="1">
      <c r="A28" s="829" t="s">
        <v>484</v>
      </c>
      <c r="B28" s="1336">
        <v>57388500</v>
      </c>
      <c r="C28" s="1342"/>
      <c r="D28" s="1336">
        <v>753490762</v>
      </c>
      <c r="E28" s="1341"/>
      <c r="F28" s="1336">
        <v>467314025</v>
      </c>
      <c r="G28" s="1341"/>
      <c r="H28" s="1336">
        <v>461209200</v>
      </c>
      <c r="I28" s="1341"/>
      <c r="J28" s="1336">
        <v>773350315</v>
      </c>
      <c r="K28" s="1341"/>
      <c r="L28" s="1336">
        <v>580722220</v>
      </c>
      <c r="M28" s="1343"/>
      <c r="N28" s="1341">
        <v>449489176</v>
      </c>
      <c r="O28" s="1341"/>
      <c r="P28" s="1341">
        <v>368204270</v>
      </c>
      <c r="Q28" s="1341"/>
      <c r="R28" s="1341">
        <v>531251298</v>
      </c>
      <c r="S28" s="1341"/>
      <c r="T28" s="1341">
        <v>519162242</v>
      </c>
      <c r="U28" s="1341"/>
      <c r="V28" s="1341">
        <f t="shared" ref="V28:V32" si="1">$Z28-$B28-$D28-$F28-$H28-$J28-$L28-$N28-$P28-$R28-$T28</f>
        <v>459898198</v>
      </c>
      <c r="W28" s="1341"/>
      <c r="X28" s="1341"/>
      <c r="Y28" s="1341"/>
      <c r="Z28" s="1341">
        <v>5421480206</v>
      </c>
    </row>
    <row r="29" spans="1:28" ht="15" customHeight="1">
      <c r="A29" s="829" t="s">
        <v>485</v>
      </c>
      <c r="B29" s="1336">
        <v>1007</v>
      </c>
      <c r="C29" s="1342"/>
      <c r="D29" s="1336">
        <v>72</v>
      </c>
      <c r="E29" s="1341"/>
      <c r="F29" s="1336">
        <v>16</v>
      </c>
      <c r="G29" s="1341"/>
      <c r="H29" s="1336">
        <v>1654</v>
      </c>
      <c r="I29" s="1341"/>
      <c r="J29" s="1336">
        <v>331</v>
      </c>
      <c r="K29" s="1341"/>
      <c r="L29" s="1336">
        <v>105</v>
      </c>
      <c r="M29" s="1343"/>
      <c r="N29" s="1341">
        <v>1003</v>
      </c>
      <c r="O29" s="1341"/>
      <c r="P29" s="1341">
        <v>55</v>
      </c>
      <c r="Q29" s="1341"/>
      <c r="R29" s="1341">
        <v>1871</v>
      </c>
      <c r="S29" s="1341"/>
      <c r="T29" s="1341">
        <v>2155</v>
      </c>
      <c r="U29" s="1341"/>
      <c r="V29" s="1341">
        <f t="shared" si="1"/>
        <v>375</v>
      </c>
      <c r="W29" s="1341"/>
      <c r="X29" s="1341"/>
      <c r="Y29" s="1341"/>
      <c r="Z29" s="1341">
        <v>8644</v>
      </c>
      <c r="AB29" s="1813"/>
    </row>
    <row r="30" spans="1:28" ht="15" customHeight="1">
      <c r="A30" s="829" t="s">
        <v>486</v>
      </c>
      <c r="B30" s="1336">
        <v>541446</v>
      </c>
      <c r="C30" s="1342"/>
      <c r="D30" s="1336">
        <v>1589857</v>
      </c>
      <c r="E30" s="1341"/>
      <c r="F30" s="1336">
        <v>1742462</v>
      </c>
      <c r="G30" s="1341"/>
      <c r="H30" s="1336">
        <v>1042316</v>
      </c>
      <c r="I30" s="1341"/>
      <c r="J30" s="1336">
        <v>944621</v>
      </c>
      <c r="K30" s="1341"/>
      <c r="L30" s="1336">
        <v>1006723</v>
      </c>
      <c r="M30" s="1343"/>
      <c r="N30" s="1341">
        <v>1635676</v>
      </c>
      <c r="O30" s="1341"/>
      <c r="P30" s="1341">
        <v>1037444</v>
      </c>
      <c r="Q30" s="1341"/>
      <c r="R30" s="1341">
        <v>392768</v>
      </c>
      <c r="S30" s="1341"/>
      <c r="T30" s="1341">
        <v>1371806</v>
      </c>
      <c r="U30" s="1341"/>
      <c r="V30" s="1341">
        <f t="shared" si="1"/>
        <v>1223023</v>
      </c>
      <c r="W30" s="1341"/>
      <c r="X30" s="1341"/>
      <c r="Y30" s="1341"/>
      <c r="Z30" s="1341">
        <v>12528142</v>
      </c>
    </row>
    <row r="31" spans="1:28" ht="15" customHeight="1">
      <c r="A31" s="829" t="s">
        <v>487</v>
      </c>
      <c r="B31" s="1336">
        <v>1746620</v>
      </c>
      <c r="C31" s="1342"/>
      <c r="D31" s="1336">
        <v>3414743</v>
      </c>
      <c r="E31" s="1341"/>
      <c r="F31" s="1336">
        <v>4043595</v>
      </c>
      <c r="G31" s="1341"/>
      <c r="H31" s="1336">
        <v>3156138</v>
      </c>
      <c r="I31" s="1341"/>
      <c r="J31" s="1336">
        <v>2726729</v>
      </c>
      <c r="K31" s="1341"/>
      <c r="L31" s="1336">
        <v>2156664</v>
      </c>
      <c r="M31" s="1343"/>
      <c r="N31" s="1341">
        <v>7461050</v>
      </c>
      <c r="O31" s="1341"/>
      <c r="P31" s="1341">
        <v>3537859</v>
      </c>
      <c r="Q31" s="1341"/>
      <c r="R31" s="1341">
        <v>4073856</v>
      </c>
      <c r="S31" s="1341"/>
      <c r="T31" s="1341">
        <v>5203488</v>
      </c>
      <c r="U31" s="1341"/>
      <c r="V31" s="1341">
        <f t="shared" si="1"/>
        <v>12474057</v>
      </c>
      <c r="W31" s="1341"/>
      <c r="X31" s="1341"/>
      <c r="Y31" s="1341"/>
      <c r="Z31" s="1341">
        <v>49994799</v>
      </c>
    </row>
    <row r="32" spans="1:28" ht="15" customHeight="1">
      <c r="A32" s="829" t="s">
        <v>488</v>
      </c>
      <c r="B32" s="1336">
        <v>345719</v>
      </c>
      <c r="C32" s="1342"/>
      <c r="D32" s="1336">
        <v>445042</v>
      </c>
      <c r="E32" s="1341"/>
      <c r="F32" s="1336">
        <v>1682906</v>
      </c>
      <c r="G32" s="1341"/>
      <c r="H32" s="1336">
        <v>662367</v>
      </c>
      <c r="I32" s="1341"/>
      <c r="J32" s="1336">
        <v>602434</v>
      </c>
      <c r="K32" s="1341"/>
      <c r="L32" s="1336">
        <v>591118</v>
      </c>
      <c r="M32" s="1343"/>
      <c r="N32" s="1341">
        <v>630960</v>
      </c>
      <c r="O32" s="1341"/>
      <c r="P32" s="1341">
        <v>829183</v>
      </c>
      <c r="Q32" s="1341"/>
      <c r="R32" s="1341">
        <v>220952</v>
      </c>
      <c r="S32" s="1341"/>
      <c r="T32" s="1341">
        <v>1158044</v>
      </c>
      <c r="U32" s="1341"/>
      <c r="V32" s="1341">
        <f t="shared" si="1"/>
        <v>628572</v>
      </c>
      <c r="W32" s="1341"/>
      <c r="X32" s="1341"/>
      <c r="Y32" s="1341"/>
      <c r="Z32" s="1341">
        <v>7797297</v>
      </c>
    </row>
    <row r="33" spans="1:28" ht="22.5" customHeight="1">
      <c r="A33" s="516" t="s">
        <v>157</v>
      </c>
      <c r="B33" s="1774">
        <f>ROUND(SUM(B28:B32),0)</f>
        <v>60023292</v>
      </c>
      <c r="C33" s="1342"/>
      <c r="D33" s="1774">
        <f>ROUND(SUM(D28:D32),0)</f>
        <v>758940476</v>
      </c>
      <c r="E33" s="1341"/>
      <c r="F33" s="1774">
        <f>ROUND(SUM(F28:F32),0)</f>
        <v>474783004</v>
      </c>
      <c r="G33" s="1341"/>
      <c r="H33" s="1774">
        <f>ROUND(SUM(H28:H32),0)</f>
        <v>466071675</v>
      </c>
      <c r="I33" s="1341"/>
      <c r="J33" s="1774">
        <f>ROUND(SUM(J28:J32),0)</f>
        <v>777624430</v>
      </c>
      <c r="K33" s="1341"/>
      <c r="L33" s="1774">
        <f>ROUND(SUM(L28:L32),0)</f>
        <v>584476830</v>
      </c>
      <c r="M33" s="1343"/>
      <c r="N33" s="1774">
        <f>ROUND(SUM(N28:N32),0)</f>
        <v>459217865</v>
      </c>
      <c r="O33" s="1341"/>
      <c r="P33" s="1774">
        <f>ROUND(SUM(P28:P32),0)</f>
        <v>373608811</v>
      </c>
      <c r="Q33" s="1341"/>
      <c r="R33" s="1774">
        <f>ROUND(SUM(R28:R32),0)</f>
        <v>535940745</v>
      </c>
      <c r="S33" s="1341"/>
      <c r="T33" s="1774">
        <f>ROUND(SUM(T28:T32),0)</f>
        <v>526897735</v>
      </c>
      <c r="U33" s="1341"/>
      <c r="V33" s="1774">
        <f>ROUND(SUM(V28:V32),0)</f>
        <v>474224225</v>
      </c>
      <c r="W33" s="1341"/>
      <c r="X33" s="1774">
        <f>ROUND(SUM(X28:X32),0)</f>
        <v>0</v>
      </c>
      <c r="Y33" s="1341"/>
      <c r="Z33" s="514">
        <f>ROUND(SUM(Z28:Z32),0)</f>
        <v>5491809088</v>
      </c>
    </row>
    <row r="34" spans="1:28" ht="15" customHeight="1">
      <c r="A34" s="516"/>
      <c r="B34" s="1341"/>
      <c r="C34" s="1342"/>
      <c r="D34" s="1341"/>
      <c r="E34" s="1341"/>
      <c r="F34" s="1347"/>
      <c r="G34" s="1341"/>
      <c r="H34" s="1347"/>
      <c r="I34" s="1341"/>
      <c r="J34" s="1341"/>
      <c r="K34" s="1341"/>
      <c r="L34" s="1341"/>
      <c r="M34" s="1343"/>
      <c r="N34" s="1341"/>
      <c r="O34" s="1341"/>
      <c r="P34" s="1341"/>
      <c r="Q34" s="1341"/>
      <c r="R34" s="1341"/>
      <c r="S34" s="1341"/>
      <c r="T34" s="1341"/>
      <c r="U34" s="1341"/>
      <c r="V34" s="1341"/>
      <c r="W34" s="1341"/>
      <c r="X34" s="1341"/>
      <c r="Y34" s="1341"/>
      <c r="Z34" s="1338"/>
    </row>
    <row r="35" spans="1:28" ht="15" customHeight="1">
      <c r="A35" s="517" t="s">
        <v>489</v>
      </c>
      <c r="B35" s="1347"/>
      <c r="C35" s="1348"/>
      <c r="D35" s="1347"/>
      <c r="E35" s="1341"/>
      <c r="F35" s="1346"/>
      <c r="G35" s="1341"/>
      <c r="H35" s="1347"/>
      <c r="I35" s="1341"/>
      <c r="J35" s="1347"/>
      <c r="K35" s="1341"/>
      <c r="L35" s="1347"/>
      <c r="M35" s="1343"/>
      <c r="N35" s="1347"/>
      <c r="O35" s="1341"/>
      <c r="P35" s="1347"/>
      <c r="Q35" s="1341"/>
      <c r="R35" s="1347"/>
      <c r="S35" s="1341"/>
      <c r="T35" s="1347"/>
      <c r="U35" s="1341"/>
      <c r="V35" s="1347"/>
      <c r="W35" s="1341"/>
      <c r="X35" s="1347"/>
      <c r="Y35" s="1341"/>
      <c r="Z35" s="1338"/>
    </row>
    <row r="36" spans="1:28" ht="15" customHeight="1">
      <c r="A36" s="829" t="s">
        <v>490</v>
      </c>
      <c r="B36" s="1336">
        <v>0</v>
      </c>
      <c r="C36" s="1348"/>
      <c r="D36" s="1336">
        <v>0</v>
      </c>
      <c r="E36" s="1341"/>
      <c r="F36" s="1336">
        <v>0</v>
      </c>
      <c r="G36" s="1341"/>
      <c r="H36" s="1336">
        <v>0</v>
      </c>
      <c r="I36" s="1341"/>
      <c r="J36" s="1336">
        <v>0</v>
      </c>
      <c r="K36" s="1341"/>
      <c r="L36" s="1336">
        <v>0</v>
      </c>
      <c r="M36" s="1343"/>
      <c r="N36" s="1341">
        <v>0</v>
      </c>
      <c r="O36" s="1341"/>
      <c r="P36" s="1341">
        <v>0</v>
      </c>
      <c r="Q36" s="1341"/>
      <c r="R36" s="1341">
        <v>0</v>
      </c>
      <c r="S36" s="1341"/>
      <c r="T36" s="1341">
        <v>0</v>
      </c>
      <c r="U36" s="1341"/>
      <c r="V36" s="1341">
        <f t="shared" ref="V36:V42" si="2">$Z36-$B36-$D36-$F36-$H36-$J36-$L36-$N36-$P36-$R36-$T36</f>
        <v>0</v>
      </c>
      <c r="W36" s="1341"/>
      <c r="X36" s="1341"/>
      <c r="Y36" s="1341"/>
      <c r="Z36" s="1341">
        <v>0</v>
      </c>
    </row>
    <row r="37" spans="1:28" ht="15" customHeight="1">
      <c r="A37" s="829" t="s">
        <v>491</v>
      </c>
      <c r="B37" s="1336">
        <v>0</v>
      </c>
      <c r="C37" s="1348"/>
      <c r="D37" s="1336">
        <v>0</v>
      </c>
      <c r="E37" s="1341"/>
      <c r="F37" s="1336">
        <v>26968</v>
      </c>
      <c r="G37" s="1341"/>
      <c r="H37" s="1336">
        <v>0</v>
      </c>
      <c r="I37" s="1341"/>
      <c r="J37" s="1336">
        <v>0</v>
      </c>
      <c r="K37" s="1341"/>
      <c r="L37" s="1336">
        <v>0</v>
      </c>
      <c r="M37" s="1343"/>
      <c r="N37" s="1341">
        <v>0</v>
      </c>
      <c r="O37" s="1341"/>
      <c r="P37" s="1341">
        <v>0</v>
      </c>
      <c r="Q37" s="1341"/>
      <c r="R37" s="1341">
        <v>233500</v>
      </c>
      <c r="S37" s="1341"/>
      <c r="T37" s="1341">
        <v>0</v>
      </c>
      <c r="U37" s="1341"/>
      <c r="V37" s="1341">
        <f t="shared" si="2"/>
        <v>0</v>
      </c>
      <c r="W37" s="1341"/>
      <c r="X37" s="1341"/>
      <c r="Y37" s="1341"/>
      <c r="Z37" s="1341">
        <v>260468</v>
      </c>
    </row>
    <row r="38" spans="1:28" ht="15" customHeight="1">
      <c r="A38" s="829" t="s">
        <v>146</v>
      </c>
      <c r="B38" s="1336">
        <v>0</v>
      </c>
      <c r="C38" s="1348"/>
      <c r="D38" s="1336">
        <v>0</v>
      </c>
      <c r="E38" s="1341"/>
      <c r="F38" s="1336">
        <v>0</v>
      </c>
      <c r="G38" s="1341"/>
      <c r="H38" s="1336">
        <v>0</v>
      </c>
      <c r="I38" s="1341"/>
      <c r="J38" s="1336">
        <v>3027025</v>
      </c>
      <c r="K38" s="1341"/>
      <c r="L38" s="1336">
        <v>3754806</v>
      </c>
      <c r="M38" s="1343"/>
      <c r="N38" s="1341">
        <v>0</v>
      </c>
      <c r="O38" s="1341"/>
      <c r="P38" s="1341">
        <v>0</v>
      </c>
      <c r="Q38" s="1341"/>
      <c r="R38" s="1341">
        <v>0</v>
      </c>
      <c r="S38" s="1341"/>
      <c r="T38" s="1341">
        <v>0</v>
      </c>
      <c r="U38" s="1341"/>
      <c r="V38" s="1341">
        <f t="shared" si="2"/>
        <v>33457925</v>
      </c>
      <c r="W38" s="1341"/>
      <c r="X38" s="1341"/>
      <c r="Y38" s="1341"/>
      <c r="Z38" s="1341">
        <v>40239756</v>
      </c>
    </row>
    <row r="39" spans="1:28" ht="13.5" customHeight="1">
      <c r="A39" s="829" t="s">
        <v>492</v>
      </c>
      <c r="B39" s="1336" t="s">
        <v>15</v>
      </c>
      <c r="C39" s="1911"/>
      <c r="D39" s="1336"/>
      <c r="E39" s="1911"/>
      <c r="F39" s="1336"/>
      <c r="G39" s="1911"/>
      <c r="H39" s="1336"/>
      <c r="I39" s="1814"/>
      <c r="J39" s="1336"/>
      <c r="K39" s="1814"/>
      <c r="L39" s="1336"/>
      <c r="M39" s="1343"/>
      <c r="N39" s="1341"/>
      <c r="O39" s="1814"/>
      <c r="P39" s="1341"/>
      <c r="Q39" s="1814"/>
      <c r="R39" s="1341"/>
      <c r="S39" s="1814"/>
      <c r="T39" s="1341"/>
      <c r="U39" s="1814"/>
      <c r="V39" s="1341"/>
      <c r="W39" s="1814"/>
      <c r="X39" s="1341"/>
      <c r="Y39" s="1814"/>
      <c r="Z39" s="1814"/>
    </row>
    <row r="40" spans="1:28" ht="13.5" customHeight="1">
      <c r="A40" s="829" t="s">
        <v>493</v>
      </c>
      <c r="B40" s="1336">
        <v>0</v>
      </c>
      <c r="C40" s="1348"/>
      <c r="D40" s="1336">
        <v>350000</v>
      </c>
      <c r="E40" s="1341"/>
      <c r="F40" s="1336">
        <v>0</v>
      </c>
      <c r="G40" s="1341"/>
      <c r="H40" s="1336">
        <v>386000</v>
      </c>
      <c r="I40" s="1341"/>
      <c r="J40" s="1336">
        <v>0</v>
      </c>
      <c r="K40" s="1341"/>
      <c r="L40" s="1336">
        <v>0</v>
      </c>
      <c r="M40" s="1343"/>
      <c r="N40" s="1341">
        <v>0</v>
      </c>
      <c r="O40" s="1341"/>
      <c r="P40" s="1341">
        <v>385000</v>
      </c>
      <c r="Q40" s="1341"/>
      <c r="R40" s="1341">
        <v>0</v>
      </c>
      <c r="S40" s="1341"/>
      <c r="T40" s="1341">
        <v>0</v>
      </c>
      <c r="U40" s="1341"/>
      <c r="V40" s="1341">
        <f>$Z40-$B40-$D40-$F40-$H40-$J40-$L40-$N40-$P40-$R40-$T40</f>
        <v>331139</v>
      </c>
      <c r="W40" s="1341"/>
      <c r="X40" s="1341"/>
      <c r="Y40" s="1341"/>
      <c r="Z40" s="1341">
        <v>1452139</v>
      </c>
    </row>
    <row r="41" spans="1:28" ht="13.5" customHeight="1">
      <c r="A41" s="829" t="s">
        <v>494</v>
      </c>
      <c r="B41" s="1336">
        <v>0</v>
      </c>
      <c r="C41" s="1348"/>
      <c r="D41" s="1336">
        <v>6661750</v>
      </c>
      <c r="E41" s="1341"/>
      <c r="F41" s="1336">
        <v>0</v>
      </c>
      <c r="G41" s="1341"/>
      <c r="H41" s="1336">
        <v>0</v>
      </c>
      <c r="I41" s="1341"/>
      <c r="J41" s="1336">
        <v>6661750</v>
      </c>
      <c r="K41" s="1341"/>
      <c r="L41" s="1336">
        <v>0</v>
      </c>
      <c r="M41" s="1343"/>
      <c r="N41" s="1341">
        <v>0</v>
      </c>
      <c r="O41" s="1341"/>
      <c r="P41" s="1341">
        <v>6661750</v>
      </c>
      <c r="Q41" s="1341"/>
      <c r="R41" s="1341">
        <v>0</v>
      </c>
      <c r="S41" s="1341"/>
      <c r="T41" s="1341">
        <v>0</v>
      </c>
      <c r="U41" s="1341"/>
      <c r="V41" s="1341">
        <f>$Z41-$B41-$D41-$F41-$H41-$J41-$L41-$N41-$P41-$R41-$T41</f>
        <v>0</v>
      </c>
      <c r="W41" s="1341"/>
      <c r="X41" s="1341"/>
      <c r="Y41" s="1341"/>
      <c r="Z41" s="1341">
        <v>19985250</v>
      </c>
    </row>
    <row r="42" spans="1:28" ht="15" customHeight="1">
      <c r="A42" s="829" t="s">
        <v>495</v>
      </c>
      <c r="B42" s="1336">
        <v>1068535</v>
      </c>
      <c r="C42" s="1348"/>
      <c r="D42" s="1336">
        <v>746680</v>
      </c>
      <c r="E42" s="1341"/>
      <c r="F42" s="1336">
        <v>1000923</v>
      </c>
      <c r="G42" s="1341"/>
      <c r="H42" s="1336">
        <v>0</v>
      </c>
      <c r="I42" s="1341"/>
      <c r="J42" s="1336">
        <v>958738</v>
      </c>
      <c r="K42" s="1341"/>
      <c r="L42" s="1336">
        <v>815765</v>
      </c>
      <c r="M42" s="1343"/>
      <c r="N42" s="1341">
        <v>815075</v>
      </c>
      <c r="O42" s="1341"/>
      <c r="P42" s="1341">
        <v>846680</v>
      </c>
      <c r="Q42" s="1341"/>
      <c r="R42" s="1341">
        <v>0</v>
      </c>
      <c r="S42" s="1341"/>
      <c r="T42" s="1341">
        <v>427781</v>
      </c>
      <c r="U42" s="1341"/>
      <c r="V42" s="1341">
        <f t="shared" si="2"/>
        <v>1954853</v>
      </c>
      <c r="W42" s="1341"/>
      <c r="X42" s="1341"/>
      <c r="Y42" s="1341"/>
      <c r="Z42" s="1341">
        <v>8635030</v>
      </c>
    </row>
    <row r="43" spans="1:28" ht="22.5" customHeight="1">
      <c r="A43" s="516" t="s">
        <v>496</v>
      </c>
      <c r="B43" s="1912">
        <f>ROUND(SUM(B36:B42),0)</f>
        <v>1068535</v>
      </c>
      <c r="C43" s="1339"/>
      <c r="D43" s="1912">
        <f>ROUND(SUM(D36:D42),0)</f>
        <v>7758430</v>
      </c>
      <c r="E43" s="1336"/>
      <c r="F43" s="1912">
        <f>ROUND(SUM(F36:F42),0)</f>
        <v>1027891</v>
      </c>
      <c r="G43" s="1336"/>
      <c r="H43" s="1912">
        <f>ROUND(SUM(H36:H42),0)</f>
        <v>386000</v>
      </c>
      <c r="I43" s="1341"/>
      <c r="J43" s="1815">
        <f>ROUND(SUM(J36:J42),0)</f>
        <v>10647513</v>
      </c>
      <c r="K43" s="1341"/>
      <c r="L43" s="1815">
        <f>ROUND(SUM(L36:L42),0)</f>
        <v>4570571</v>
      </c>
      <c r="M43" s="1343"/>
      <c r="N43" s="1815">
        <f>ROUND(SUM(N36:N42),0)</f>
        <v>815075</v>
      </c>
      <c r="O43" s="1341"/>
      <c r="P43" s="1815">
        <f>ROUND(SUM(P36:P42),0)</f>
        <v>7893430</v>
      </c>
      <c r="Q43" s="1341"/>
      <c r="R43" s="1815">
        <f>ROUND(SUM(R36:R42),0)</f>
        <v>233500</v>
      </c>
      <c r="S43" s="1341"/>
      <c r="T43" s="1815">
        <f>ROUND(SUM(T36:T42),0)</f>
        <v>427781</v>
      </c>
      <c r="U43" s="1341"/>
      <c r="V43" s="1815">
        <f>ROUND(SUM(V36:V42),0)</f>
        <v>35743917</v>
      </c>
      <c r="W43" s="1341"/>
      <c r="X43" s="1815">
        <f>ROUND(SUM(X36:X42),0)</f>
        <v>0</v>
      </c>
      <c r="Y43" s="1341"/>
      <c r="Z43" s="1816">
        <f>ROUND(SUM(Z36:Z42),0)</f>
        <v>70572643</v>
      </c>
    </row>
    <row r="44" spans="1:28" ht="15" customHeight="1">
      <c r="B44" s="1913"/>
      <c r="C44" s="1339"/>
      <c r="D44" s="1913"/>
      <c r="E44" s="1336"/>
      <c r="F44" s="1914"/>
      <c r="G44" s="1336"/>
      <c r="H44" s="1913"/>
      <c r="I44" s="1341"/>
      <c r="J44" s="1817"/>
      <c r="K44" s="1341"/>
      <c r="L44" s="1817"/>
      <c r="M44" s="1343"/>
      <c r="N44" s="1817"/>
      <c r="O44" s="1341"/>
      <c r="P44" s="1817"/>
      <c r="Q44" s="1341"/>
      <c r="R44" s="1817"/>
      <c r="S44" s="1341"/>
      <c r="T44" s="1817"/>
      <c r="U44" s="1341"/>
      <c r="V44" s="1817"/>
      <c r="W44" s="1341"/>
      <c r="X44" s="1817"/>
      <c r="Y44" s="1341"/>
      <c r="Z44" s="1818"/>
    </row>
    <row r="45" spans="1:28" s="1806" customFormat="1" ht="20.25" customHeight="1">
      <c r="A45" s="516" t="s">
        <v>497</v>
      </c>
      <c r="B45" s="1350">
        <f>ROUND(B33+B43,0)</f>
        <v>61091827</v>
      </c>
      <c r="C45" s="512"/>
      <c r="D45" s="1350">
        <f>ROUND(D33+D43,0)</f>
        <v>766698906</v>
      </c>
      <c r="E45" s="513"/>
      <c r="F45" s="1350">
        <f>ROUND(F33+F43,0)</f>
        <v>475810895</v>
      </c>
      <c r="G45" s="513"/>
      <c r="H45" s="1350">
        <f>ROUND(H33+H43,0)</f>
        <v>466457675</v>
      </c>
      <c r="I45" s="1811"/>
      <c r="J45" s="1819">
        <f>ROUND(J33+J43,0)</f>
        <v>788271943</v>
      </c>
      <c r="K45" s="515"/>
      <c r="L45" s="1819">
        <f>ROUND(L33+L43,0)</f>
        <v>589047401</v>
      </c>
      <c r="M45" s="518"/>
      <c r="N45" s="1819">
        <f>ROUND(N33+N43,0)</f>
        <v>460032940</v>
      </c>
      <c r="O45" s="1811"/>
      <c r="P45" s="1819">
        <f>ROUND(P33+P43,0)</f>
        <v>381502241</v>
      </c>
      <c r="Q45" s="1811"/>
      <c r="R45" s="1819">
        <f>ROUND(R33+R43,0)</f>
        <v>536174245</v>
      </c>
      <c r="S45" s="1811"/>
      <c r="T45" s="1819">
        <f>ROUND(T33+T43,0)</f>
        <v>527325516</v>
      </c>
      <c r="U45" s="1811"/>
      <c r="V45" s="1819">
        <f>ROUND(V33+V43,0)</f>
        <v>509968142</v>
      </c>
      <c r="W45" s="1811"/>
      <c r="X45" s="1819">
        <f>ROUND(X33+X43,0)</f>
        <v>0</v>
      </c>
      <c r="Y45" s="1811"/>
      <c r="Z45" s="1819">
        <f>ROUND(Z33+Z43,0)</f>
        <v>5562381731</v>
      </c>
      <c r="AA45" s="3602"/>
      <c r="AB45" s="1812"/>
    </row>
    <row r="46" spans="1:28" ht="15" customHeight="1">
      <c r="A46" s="1807"/>
      <c r="B46" s="1334"/>
      <c r="C46" s="1334"/>
      <c r="D46" s="1334"/>
      <c r="E46" s="1333"/>
      <c r="F46" s="1334"/>
      <c r="G46" s="1333"/>
      <c r="H46" s="1334"/>
      <c r="I46" s="1343"/>
      <c r="J46" s="1808"/>
      <c r="K46" s="1808"/>
      <c r="L46" s="1808"/>
      <c r="M46" s="1343"/>
      <c r="N46" s="1808"/>
      <c r="O46" s="1343"/>
      <c r="P46" s="1808"/>
      <c r="Q46" s="1343"/>
      <c r="R46" s="1808"/>
      <c r="S46" s="1343"/>
      <c r="T46" s="1808"/>
      <c r="U46" s="1343"/>
      <c r="V46" s="1808"/>
      <c r="W46" s="1343"/>
      <c r="X46" s="1808"/>
      <c r="Y46" s="1343"/>
      <c r="Z46" s="1820"/>
    </row>
    <row r="47" spans="1:28" s="1806" customFormat="1" ht="20.25" customHeight="1" thickBot="1">
      <c r="A47" s="517" t="s">
        <v>498</v>
      </c>
      <c r="B47" s="1603">
        <f>ROUND(B12+B25-B45,0)</f>
        <v>543140525</v>
      </c>
      <c r="C47" s="507"/>
      <c r="D47" s="1603">
        <f>ROUND(D12+D25-D45,0)</f>
        <v>283562198</v>
      </c>
      <c r="E47" s="1331"/>
      <c r="F47" s="1603">
        <f>ROUND(F12+F25-F45,0)</f>
        <v>300393092</v>
      </c>
      <c r="G47" s="1331"/>
      <c r="H47" s="1603">
        <f>ROUND(H12+H25-H45,0)</f>
        <v>420298155</v>
      </c>
      <c r="I47" s="1805"/>
      <c r="J47" s="1821">
        <f>ROUND(J12+J25-J45,0)</f>
        <v>136965831</v>
      </c>
      <c r="K47" s="508"/>
      <c r="L47" s="1821">
        <f>ROUND(L12+L25-L45,0)</f>
        <v>79863323</v>
      </c>
      <c r="M47" s="518"/>
      <c r="N47" s="1821">
        <f>ROUND(N12+N25-N45,0)</f>
        <v>152028064</v>
      </c>
      <c r="O47" s="519"/>
      <c r="P47" s="1821">
        <f>ROUND(P12+P25-P45,0)</f>
        <v>223908390</v>
      </c>
      <c r="Q47" s="519"/>
      <c r="R47" s="1821">
        <f>ROUND(R12+R25-R45,0)</f>
        <v>213101187</v>
      </c>
      <c r="S47" s="519"/>
      <c r="T47" s="1821">
        <f>ROUND(T12+T25-T45,0)</f>
        <v>230456814</v>
      </c>
      <c r="U47" s="519"/>
      <c r="V47" s="1821">
        <f>ROUND(V12+V25-V45,0)</f>
        <v>216061137</v>
      </c>
      <c r="W47" s="519"/>
      <c r="X47" s="1821">
        <f>ROUND(X12+X25-X45,0)</f>
        <v>0</v>
      </c>
      <c r="Y47" s="519"/>
      <c r="Z47" s="3128">
        <f>ROUND(Z12+Z25-Z45,0)</f>
        <v>216061137</v>
      </c>
      <c r="AA47" s="3602"/>
    </row>
    <row r="48" spans="1:28" ht="15" customHeight="1" thickTop="1">
      <c r="A48" s="1807"/>
      <c r="B48" s="1329"/>
      <c r="C48" s="1329"/>
      <c r="D48" s="1329"/>
      <c r="E48" s="1352"/>
      <c r="F48" s="1329"/>
      <c r="G48" s="1352"/>
      <c r="H48" s="1329"/>
      <c r="I48" s="1822"/>
      <c r="J48" s="1801"/>
      <c r="K48" s="1801"/>
      <c r="L48" s="1801"/>
      <c r="M48" s="1822"/>
      <c r="N48" s="1801"/>
      <c r="O48" s="1822"/>
      <c r="P48" s="1801"/>
      <c r="Q48" s="1822"/>
      <c r="R48" s="1801"/>
      <c r="S48" s="1822"/>
      <c r="T48" s="1801"/>
      <c r="U48" s="1822"/>
      <c r="V48" s="1801"/>
      <c r="W48" s="1822"/>
      <c r="X48" s="1801"/>
      <c r="Y48" s="1822"/>
      <c r="Z48" s="1820"/>
    </row>
    <row r="49" spans="1:26" ht="20.100000000000001" customHeight="1">
      <c r="A49" s="1823"/>
      <c r="B49" s="1353"/>
      <c r="C49" s="1353"/>
      <c r="D49" s="1353"/>
      <c r="E49" s="1330"/>
      <c r="F49" s="1353"/>
      <c r="G49" s="1330"/>
      <c r="H49" s="1353"/>
      <c r="I49" s="1802"/>
      <c r="J49" s="1824"/>
      <c r="K49" s="1824"/>
      <c r="L49" s="1824"/>
      <c r="M49" s="1802"/>
      <c r="N49" s="1824"/>
      <c r="O49" s="1802"/>
      <c r="P49" s="1824"/>
      <c r="Q49" s="1802"/>
      <c r="R49" s="1824"/>
      <c r="S49" s="1802"/>
      <c r="T49" s="1824"/>
      <c r="U49" s="1802"/>
      <c r="V49" s="1824"/>
      <c r="W49" s="1802"/>
      <c r="X49" s="1824"/>
      <c r="Y49" s="1802"/>
      <c r="Z49" s="1806"/>
    </row>
    <row r="51" spans="1:26" ht="18" customHeight="1">
      <c r="A51" s="1825"/>
      <c r="B51" s="1325"/>
      <c r="C51" s="1325"/>
      <c r="D51" s="1325"/>
      <c r="E51" s="488"/>
      <c r="F51" s="1325"/>
      <c r="G51" s="488"/>
      <c r="H51" s="1325"/>
      <c r="I51" s="1780"/>
      <c r="J51" s="1784"/>
      <c r="K51" s="1784"/>
      <c r="L51" s="1784"/>
      <c r="M51" s="1802"/>
      <c r="N51" s="1784"/>
      <c r="O51" s="1780"/>
      <c r="P51" s="1784"/>
      <c r="Q51" s="1780"/>
      <c r="R51" s="1784"/>
      <c r="S51" s="1780"/>
      <c r="T51" s="1784"/>
      <c r="U51" s="1780"/>
      <c r="V51" s="1784"/>
      <c r="W51" s="1780"/>
      <c r="X51" s="1784"/>
      <c r="Y51" s="1780"/>
      <c r="Z51" s="1786"/>
    </row>
    <row r="52" spans="1:26" ht="20.100000000000001" customHeight="1">
      <c r="A52" s="1794"/>
      <c r="B52" s="1353"/>
      <c r="C52" s="1353"/>
      <c r="D52" s="1353"/>
      <c r="E52" s="1330"/>
      <c r="F52" s="1353"/>
      <c r="G52" s="1330"/>
      <c r="H52" s="1353"/>
      <c r="I52" s="1802"/>
      <c r="J52" s="1824"/>
      <c r="K52" s="1824"/>
      <c r="L52" s="1824"/>
      <c r="M52" s="1802"/>
      <c r="N52" s="1824"/>
      <c r="O52" s="1802"/>
      <c r="P52" s="1824"/>
      <c r="Q52" s="1802"/>
      <c r="R52" s="1824"/>
      <c r="S52" s="1802"/>
      <c r="T52" s="1824"/>
      <c r="U52" s="1802"/>
      <c r="V52" s="1824"/>
      <c r="W52" s="1802"/>
      <c r="X52" s="1824"/>
      <c r="Y52" s="1802"/>
      <c r="Z52" s="1809"/>
    </row>
    <row r="53" spans="1:26" ht="20.100000000000001" customHeight="1">
      <c r="A53" s="1794"/>
      <c r="B53" s="1353"/>
      <c r="C53" s="1353"/>
      <c r="D53" s="1353"/>
      <c r="E53" s="1330"/>
      <c r="F53" s="1353"/>
      <c r="G53" s="1330"/>
      <c r="H53" s="1353"/>
      <c r="I53" s="1802"/>
      <c r="J53" s="1824"/>
      <c r="K53" s="1824"/>
      <c r="L53" s="1824"/>
      <c r="M53" s="1802"/>
      <c r="N53" s="1824"/>
      <c r="O53" s="1802"/>
      <c r="P53" s="1824"/>
      <c r="Q53" s="1802"/>
      <c r="R53" s="1824"/>
      <c r="S53" s="1802"/>
      <c r="T53" s="1824"/>
      <c r="U53" s="1802"/>
      <c r="V53" s="1824"/>
      <c r="W53" s="1802"/>
      <c r="X53" s="1824"/>
      <c r="Y53" s="1802"/>
      <c r="Z53" s="1809"/>
    </row>
    <row r="54" spans="1:26" ht="20.100000000000001" customHeight="1">
      <c r="A54" s="1791"/>
      <c r="B54" s="487"/>
      <c r="C54" s="487"/>
      <c r="D54" s="487"/>
      <c r="E54" s="488"/>
      <c r="F54" s="487"/>
      <c r="G54" s="488"/>
      <c r="H54" s="487"/>
      <c r="I54" s="1780"/>
      <c r="J54" s="1779"/>
      <c r="K54" s="1779"/>
      <c r="L54" s="1779"/>
      <c r="M54" s="1780"/>
      <c r="N54" s="1779"/>
      <c r="O54" s="1780"/>
      <c r="P54" s="1779"/>
      <c r="Q54" s="1780"/>
      <c r="R54" s="1779"/>
      <c r="S54" s="1780"/>
      <c r="T54" s="1779"/>
      <c r="U54" s="1780"/>
      <c r="V54" s="1779"/>
      <c r="W54" s="1780"/>
      <c r="X54" s="1779"/>
      <c r="Y54" s="1780"/>
      <c r="Z54" s="1826"/>
    </row>
    <row r="55" spans="1:26" ht="20.100000000000001" customHeight="1">
      <c r="A55" s="1791"/>
      <c r="B55" s="487"/>
      <c r="C55" s="487"/>
      <c r="D55" s="487"/>
      <c r="E55" s="488"/>
      <c r="F55" s="487"/>
      <c r="G55" s="488"/>
      <c r="H55" s="487"/>
      <c r="I55" s="1780"/>
      <c r="J55" s="1779"/>
      <c r="K55" s="1779"/>
      <c r="L55" s="1779"/>
      <c r="M55" s="1780"/>
      <c r="N55" s="1779"/>
      <c r="O55" s="1780"/>
      <c r="P55" s="1779"/>
      <c r="Q55" s="1780"/>
      <c r="R55" s="1779"/>
      <c r="S55" s="1780"/>
      <c r="T55" s="1779"/>
      <c r="U55" s="1780"/>
      <c r="V55" s="1779"/>
      <c r="W55" s="1780"/>
      <c r="X55" s="1779"/>
      <c r="Y55" s="1780"/>
      <c r="Z55" s="1826"/>
    </row>
    <row r="56" spans="1:26" ht="20.100000000000001" customHeight="1">
      <c r="A56" s="1791"/>
      <c r="B56" s="487"/>
      <c r="C56" s="487"/>
      <c r="D56" s="487"/>
      <c r="E56" s="488"/>
      <c r="F56" s="487"/>
      <c r="G56" s="488"/>
      <c r="H56" s="487"/>
      <c r="I56" s="1780"/>
      <c r="J56" s="1779"/>
      <c r="K56" s="1779"/>
      <c r="L56" s="1779"/>
      <c r="M56" s="1780"/>
      <c r="N56" s="1779"/>
      <c r="O56" s="1780"/>
      <c r="P56" s="1779"/>
      <c r="Q56" s="1780"/>
      <c r="R56" s="1779"/>
      <c r="S56" s="1780"/>
      <c r="T56" s="1779"/>
      <c r="U56" s="1780"/>
      <c r="V56" s="1779"/>
      <c r="W56" s="1780"/>
      <c r="X56" s="1779"/>
      <c r="Y56" s="1780"/>
      <c r="Z56" s="1826"/>
    </row>
    <row r="57" spans="1:26" ht="20.100000000000001" customHeight="1">
      <c r="A57" s="1791"/>
      <c r="B57" s="487"/>
      <c r="C57" s="487"/>
      <c r="D57" s="487"/>
      <c r="E57" s="488"/>
      <c r="F57" s="487"/>
      <c r="G57" s="488"/>
      <c r="H57" s="487"/>
      <c r="I57" s="1780"/>
      <c r="J57" s="1779"/>
      <c r="K57" s="1779"/>
      <c r="L57" s="1779"/>
      <c r="M57" s="1780"/>
      <c r="N57" s="1779"/>
      <c r="O57" s="1780"/>
      <c r="P57" s="1779"/>
      <c r="Q57" s="1780"/>
      <c r="R57" s="1779"/>
      <c r="S57" s="1780"/>
      <c r="T57" s="1779"/>
      <c r="U57" s="1780"/>
      <c r="V57" s="1779"/>
      <c r="W57" s="1780"/>
      <c r="X57" s="1779"/>
      <c r="Y57" s="1780"/>
      <c r="Z57" s="1826"/>
    </row>
    <row r="58" spans="1:26" ht="20.100000000000001" customHeight="1">
      <c r="A58" s="1791"/>
      <c r="B58" s="487"/>
      <c r="C58" s="487"/>
      <c r="D58" s="487"/>
      <c r="E58" s="488"/>
      <c r="F58" s="487"/>
      <c r="G58" s="488"/>
      <c r="H58" s="487"/>
      <c r="I58" s="1780"/>
      <c r="J58" s="1779"/>
      <c r="K58" s="1779"/>
      <c r="L58" s="1779"/>
      <c r="M58" s="1780"/>
      <c r="N58" s="1779"/>
      <c r="O58" s="1780"/>
      <c r="P58" s="1779"/>
      <c r="Q58" s="1780"/>
      <c r="R58" s="1779"/>
      <c r="S58" s="1780"/>
      <c r="T58" s="1779"/>
      <c r="U58" s="1780"/>
      <c r="V58" s="1779"/>
      <c r="W58" s="1780"/>
      <c r="X58" s="1779"/>
      <c r="Y58" s="1780"/>
      <c r="Z58" s="1826"/>
    </row>
    <row r="59" spans="1:26">
      <c r="A59" s="1791"/>
      <c r="B59" s="487"/>
      <c r="C59" s="487"/>
      <c r="D59" s="487"/>
      <c r="E59" s="488"/>
      <c r="F59" s="487"/>
      <c r="G59" s="488"/>
      <c r="H59" s="487"/>
      <c r="I59" s="1780"/>
      <c r="J59" s="1779"/>
      <c r="K59" s="1779"/>
      <c r="L59" s="1779"/>
      <c r="M59" s="1780"/>
      <c r="N59" s="1779"/>
      <c r="O59" s="1780"/>
      <c r="P59" s="1779"/>
      <c r="Q59" s="1780"/>
      <c r="R59" s="1779"/>
      <c r="S59" s="1780"/>
      <c r="T59" s="1779"/>
      <c r="U59" s="1780"/>
      <c r="V59" s="1779"/>
      <c r="W59" s="1780"/>
      <c r="X59" s="1779"/>
      <c r="Y59" s="1780"/>
      <c r="Z59" s="1826"/>
    </row>
    <row r="60" spans="1:26">
      <c r="A60" s="1791"/>
      <c r="B60" s="487"/>
      <c r="C60" s="487"/>
      <c r="D60" s="487"/>
      <c r="E60" s="488"/>
      <c r="F60" s="487"/>
      <c r="G60" s="488"/>
      <c r="H60" s="487"/>
      <c r="I60" s="1780"/>
      <c r="J60" s="1779"/>
      <c r="K60" s="1779"/>
      <c r="L60" s="1779"/>
      <c r="M60" s="1780"/>
      <c r="N60" s="1779"/>
      <c r="O60" s="1780"/>
      <c r="P60" s="1779"/>
      <c r="Q60" s="1780"/>
      <c r="R60" s="1779"/>
      <c r="S60" s="1780"/>
      <c r="T60" s="1779"/>
      <c r="U60" s="1780"/>
      <c r="V60" s="1779"/>
      <c r="W60" s="1780"/>
      <c r="X60" s="1779"/>
      <c r="Y60" s="1780"/>
      <c r="Z60" s="1826"/>
    </row>
    <row r="61" spans="1:26">
      <c r="A61" s="1791"/>
      <c r="B61" s="487"/>
      <c r="C61" s="487"/>
      <c r="D61" s="487"/>
      <c r="E61" s="488"/>
      <c r="F61" s="487"/>
      <c r="G61" s="488"/>
      <c r="H61" s="487"/>
      <c r="I61" s="1780"/>
      <c r="J61" s="1779"/>
      <c r="K61" s="1779"/>
      <c r="L61" s="1779"/>
      <c r="M61" s="1780"/>
      <c r="N61" s="1779"/>
      <c r="O61" s="1780"/>
      <c r="P61" s="1779"/>
      <c r="Q61" s="1780"/>
      <c r="R61" s="1779"/>
      <c r="S61" s="1780"/>
      <c r="T61" s="1779"/>
      <c r="U61" s="1780"/>
      <c r="V61" s="1779"/>
      <c r="W61" s="1780"/>
      <c r="X61" s="1779"/>
      <c r="Y61" s="1780"/>
      <c r="Z61" s="1826"/>
    </row>
    <row r="62" spans="1:26">
      <c r="A62" s="1791"/>
      <c r="B62" s="487"/>
      <c r="C62" s="487"/>
      <c r="D62" s="487"/>
      <c r="E62" s="488"/>
      <c r="F62" s="487"/>
      <c r="G62" s="488"/>
      <c r="H62" s="487"/>
      <c r="I62" s="1780"/>
      <c r="J62" s="1779"/>
      <c r="K62" s="1779"/>
      <c r="L62" s="1779"/>
      <c r="M62" s="1780"/>
      <c r="N62" s="1779"/>
      <c r="O62" s="1780"/>
      <c r="P62" s="1779"/>
      <c r="Q62" s="1780"/>
      <c r="R62" s="1779"/>
      <c r="S62" s="1780"/>
      <c r="T62" s="1779"/>
      <c r="U62" s="1780"/>
      <c r="V62" s="1779"/>
      <c r="W62" s="1780"/>
      <c r="X62" s="1779"/>
      <c r="Y62" s="1780"/>
      <c r="Z62" s="1826"/>
    </row>
    <row r="63" spans="1:26">
      <c r="A63" s="1791"/>
      <c r="B63" s="487"/>
      <c r="C63" s="487"/>
      <c r="D63" s="487"/>
      <c r="E63" s="488"/>
      <c r="F63" s="487"/>
      <c r="G63" s="488"/>
      <c r="H63" s="487"/>
      <c r="I63" s="1780"/>
      <c r="J63" s="1779"/>
      <c r="K63" s="1779"/>
      <c r="L63" s="1779"/>
      <c r="M63" s="1780"/>
      <c r="N63" s="1779"/>
      <c r="O63" s="1780"/>
      <c r="P63" s="1779"/>
      <c r="Q63" s="1780"/>
      <c r="R63" s="1779"/>
      <c r="S63" s="1780"/>
      <c r="T63" s="1779"/>
      <c r="U63" s="1780"/>
      <c r="V63" s="1779"/>
      <c r="W63" s="1780"/>
      <c r="X63" s="1779"/>
      <c r="Y63" s="1780"/>
      <c r="Z63" s="1826"/>
    </row>
    <row r="64" spans="1:26">
      <c r="A64" s="1791"/>
      <c r="B64" s="487"/>
      <c r="C64" s="487"/>
      <c r="D64" s="487"/>
      <c r="E64" s="488"/>
      <c r="F64" s="487"/>
      <c r="G64" s="488"/>
      <c r="H64" s="487"/>
      <c r="I64" s="1780"/>
      <c r="J64" s="1779"/>
      <c r="K64" s="1779"/>
      <c r="L64" s="1779"/>
      <c r="M64" s="1780"/>
      <c r="N64" s="1779"/>
      <c r="O64" s="1780"/>
      <c r="P64" s="1779"/>
      <c r="Q64" s="1780"/>
      <c r="R64" s="1779"/>
      <c r="S64" s="1780"/>
      <c r="T64" s="1779"/>
      <c r="U64" s="1780"/>
      <c r="V64" s="1779"/>
      <c r="W64" s="1780"/>
      <c r="X64" s="1779"/>
      <c r="Y64" s="1780"/>
      <c r="Z64" s="1826"/>
    </row>
    <row r="65" spans="1:26">
      <c r="A65" s="1791"/>
      <c r="B65" s="487"/>
      <c r="C65" s="487"/>
      <c r="D65" s="487"/>
      <c r="E65" s="488"/>
      <c r="F65" s="487"/>
      <c r="G65" s="488"/>
      <c r="H65" s="487"/>
      <c r="I65" s="1780"/>
      <c r="J65" s="1779"/>
      <c r="K65" s="1779"/>
      <c r="L65" s="1779"/>
      <c r="M65" s="1780"/>
      <c r="N65" s="1779"/>
      <c r="O65" s="1780"/>
      <c r="P65" s="1779"/>
      <c r="Q65" s="1780"/>
      <c r="R65" s="1779"/>
      <c r="S65" s="1780"/>
      <c r="T65" s="1779"/>
      <c r="U65" s="1780"/>
      <c r="V65" s="1779"/>
      <c r="W65" s="1780"/>
      <c r="X65" s="1779"/>
      <c r="Y65" s="1780"/>
      <c r="Z65" s="1826"/>
    </row>
    <row r="66" spans="1:26">
      <c r="A66" s="1791"/>
      <c r="B66" s="487"/>
      <c r="C66" s="487"/>
      <c r="D66" s="487"/>
      <c r="E66" s="488"/>
      <c r="F66" s="487"/>
      <c r="G66" s="488"/>
      <c r="H66" s="487"/>
      <c r="I66" s="1780"/>
      <c r="J66" s="1779"/>
      <c r="K66" s="1779"/>
      <c r="L66" s="1779"/>
      <c r="M66" s="1780"/>
      <c r="N66" s="1779"/>
      <c r="O66" s="1780"/>
      <c r="P66" s="1779"/>
      <c r="Q66" s="1780"/>
      <c r="R66" s="1779"/>
      <c r="S66" s="1780"/>
      <c r="T66" s="1779"/>
      <c r="U66" s="1780"/>
      <c r="V66" s="1779"/>
      <c r="W66" s="1780"/>
      <c r="X66" s="1779"/>
      <c r="Y66" s="1780"/>
      <c r="Z66" s="1826"/>
    </row>
    <row r="67" spans="1:26">
      <c r="A67" s="1791"/>
      <c r="B67" s="487"/>
      <c r="C67" s="487"/>
      <c r="D67" s="487"/>
      <c r="E67" s="488"/>
      <c r="F67" s="487"/>
      <c r="G67" s="488"/>
      <c r="H67" s="487"/>
      <c r="I67" s="1780"/>
      <c r="J67" s="1779"/>
      <c r="K67" s="1779"/>
      <c r="L67" s="1779"/>
      <c r="M67" s="1780"/>
      <c r="N67" s="1779"/>
      <c r="O67" s="1780"/>
      <c r="P67" s="1779"/>
      <c r="Q67" s="1780"/>
      <c r="R67" s="1779"/>
      <c r="S67" s="1780"/>
      <c r="T67" s="1779"/>
      <c r="U67" s="1780"/>
      <c r="V67" s="1779"/>
      <c r="W67" s="1780"/>
      <c r="X67" s="1779"/>
      <c r="Y67" s="1780"/>
      <c r="Z67" s="1826"/>
    </row>
    <row r="68" spans="1:26">
      <c r="A68" s="1791"/>
      <c r="B68" s="487"/>
      <c r="C68" s="487"/>
      <c r="D68" s="487"/>
      <c r="E68" s="488"/>
      <c r="F68" s="487"/>
      <c r="G68" s="488"/>
      <c r="H68" s="487"/>
      <c r="I68" s="1780"/>
      <c r="J68" s="1779"/>
      <c r="K68" s="1779"/>
      <c r="L68" s="1779"/>
      <c r="M68" s="1780"/>
      <c r="N68" s="1779"/>
      <c r="O68" s="1780"/>
      <c r="P68" s="1779"/>
      <c r="Q68" s="1780"/>
      <c r="R68" s="1779"/>
      <c r="S68" s="1780"/>
      <c r="T68" s="1779"/>
      <c r="U68" s="1780"/>
      <c r="V68" s="1779"/>
      <c r="W68" s="1780"/>
      <c r="X68" s="1779"/>
      <c r="Y68" s="1780"/>
      <c r="Z68" s="1826"/>
    </row>
    <row r="69" spans="1:26">
      <c r="A69" s="1791"/>
      <c r="B69" s="487"/>
      <c r="C69" s="487"/>
      <c r="D69" s="487"/>
      <c r="E69" s="488"/>
      <c r="F69" s="487"/>
      <c r="G69" s="488"/>
      <c r="H69" s="487"/>
      <c r="I69" s="1780"/>
      <c r="J69" s="1779"/>
      <c r="K69" s="1779"/>
      <c r="L69" s="1779"/>
      <c r="M69" s="1780"/>
      <c r="N69" s="1779"/>
      <c r="O69" s="1780"/>
      <c r="P69" s="1779"/>
      <c r="Q69" s="1780"/>
      <c r="R69" s="1779"/>
      <c r="S69" s="1780"/>
      <c r="T69" s="1779"/>
      <c r="U69" s="1780"/>
      <c r="V69" s="1779"/>
      <c r="W69" s="1780"/>
      <c r="X69" s="1779"/>
      <c r="Y69" s="1780"/>
      <c r="Z69" s="1826"/>
    </row>
    <row r="70" spans="1:26">
      <c r="A70" s="1791"/>
      <c r="B70" s="487"/>
      <c r="C70" s="487"/>
      <c r="D70" s="487"/>
      <c r="E70" s="488"/>
      <c r="F70" s="487"/>
      <c r="G70" s="488"/>
      <c r="H70" s="487"/>
      <c r="I70" s="1780"/>
      <c r="J70" s="1779"/>
      <c r="K70" s="1779"/>
      <c r="L70" s="1779"/>
      <c r="M70" s="1780"/>
      <c r="N70" s="1779"/>
      <c r="O70" s="1780"/>
      <c r="P70" s="1779"/>
      <c r="Q70" s="1780"/>
      <c r="R70" s="1779"/>
      <c r="S70" s="1780"/>
      <c r="T70" s="1779"/>
      <c r="U70" s="1780"/>
      <c r="V70" s="1779"/>
      <c r="W70" s="1780"/>
      <c r="X70" s="1779"/>
      <c r="Y70" s="1780"/>
      <c r="Z70" s="1826"/>
    </row>
    <row r="71" spans="1:26">
      <c r="A71" s="1791"/>
      <c r="B71" s="487"/>
      <c r="C71" s="487"/>
      <c r="D71" s="487"/>
      <c r="E71" s="488"/>
      <c r="F71" s="487"/>
      <c r="G71" s="488"/>
      <c r="H71" s="487"/>
      <c r="I71" s="1780"/>
      <c r="J71" s="1779"/>
      <c r="K71" s="1779"/>
      <c r="L71" s="1779"/>
      <c r="M71" s="1780"/>
      <c r="N71" s="1779"/>
      <c r="O71" s="1780"/>
      <c r="P71" s="1779"/>
      <c r="Q71" s="1780"/>
      <c r="R71" s="1779"/>
      <c r="S71" s="1780"/>
      <c r="T71" s="1779"/>
      <c r="U71" s="1780"/>
      <c r="V71" s="1779"/>
      <c r="W71" s="1780"/>
      <c r="X71" s="1779"/>
      <c r="Y71" s="1780"/>
      <c r="Z71" s="1826"/>
    </row>
    <row r="72" spans="1:26">
      <c r="A72" s="1791"/>
      <c r="B72" s="487"/>
      <c r="C72" s="487"/>
      <c r="D72" s="487"/>
      <c r="E72" s="488"/>
      <c r="F72" s="487"/>
      <c r="G72" s="488"/>
      <c r="H72" s="487"/>
      <c r="I72" s="1780"/>
      <c r="J72" s="1779"/>
      <c r="K72" s="1779"/>
      <c r="L72" s="1779"/>
      <c r="M72" s="1780"/>
      <c r="N72" s="1779"/>
      <c r="O72" s="1780"/>
      <c r="P72" s="1779"/>
      <c r="Q72" s="1780"/>
      <c r="R72" s="1779"/>
      <c r="S72" s="1780"/>
      <c r="T72" s="1779"/>
      <c r="U72" s="1780"/>
      <c r="V72" s="1779"/>
      <c r="W72" s="1780"/>
      <c r="X72" s="1779"/>
      <c r="Y72" s="1780"/>
      <c r="Z72" s="1826"/>
    </row>
    <row r="73" spans="1:26">
      <c r="A73" s="1791"/>
      <c r="B73" s="487"/>
      <c r="C73" s="487"/>
      <c r="D73" s="487"/>
      <c r="E73" s="488"/>
      <c r="F73" s="487"/>
      <c r="G73" s="488"/>
      <c r="H73" s="487"/>
      <c r="I73" s="1780"/>
      <c r="J73" s="1779"/>
      <c r="K73" s="1779"/>
      <c r="L73" s="1779"/>
      <c r="M73" s="1780"/>
      <c r="N73" s="1779"/>
      <c r="O73" s="1780"/>
      <c r="P73" s="1779"/>
      <c r="Q73" s="1780"/>
      <c r="R73" s="1779"/>
      <c r="S73" s="1780"/>
      <c r="T73" s="1779"/>
      <c r="U73" s="1780"/>
      <c r="V73" s="1779"/>
      <c r="W73" s="1780"/>
      <c r="X73" s="1779"/>
      <c r="Y73" s="1780"/>
      <c r="Z73" s="1826"/>
    </row>
    <row r="74" spans="1:26">
      <c r="A74" s="1791"/>
      <c r="B74" s="487"/>
      <c r="C74" s="487"/>
      <c r="D74" s="487"/>
      <c r="E74" s="488"/>
      <c r="F74" s="487"/>
      <c r="G74" s="488"/>
      <c r="H74" s="487"/>
      <c r="I74" s="1780"/>
      <c r="J74" s="1779"/>
      <c r="K74" s="1779"/>
      <c r="L74" s="1779"/>
      <c r="M74" s="1780"/>
      <c r="N74" s="1779"/>
      <c r="O74" s="1780"/>
      <c r="P74" s="1779"/>
      <c r="Q74" s="1780"/>
      <c r="R74" s="1779"/>
      <c r="S74" s="1780"/>
      <c r="T74" s="1779"/>
      <c r="U74" s="1780"/>
      <c r="V74" s="1779"/>
      <c r="W74" s="1780"/>
      <c r="X74" s="1779"/>
      <c r="Y74" s="1780"/>
      <c r="Z74" s="1826"/>
    </row>
    <row r="75" spans="1:26">
      <c r="A75" s="1791"/>
      <c r="B75" s="487"/>
      <c r="C75" s="487"/>
      <c r="D75" s="487"/>
      <c r="E75" s="488"/>
      <c r="F75" s="487"/>
      <c r="G75" s="488"/>
      <c r="H75" s="487"/>
      <c r="I75" s="1780"/>
      <c r="J75" s="1779"/>
      <c r="K75" s="1779"/>
      <c r="L75" s="1779"/>
      <c r="M75" s="1780"/>
      <c r="N75" s="1779"/>
      <c r="O75" s="1780"/>
      <c r="P75" s="1779"/>
      <c r="Q75" s="1780"/>
      <c r="R75" s="1779"/>
      <c r="S75" s="1780"/>
      <c r="T75" s="1779"/>
      <c r="U75" s="1780"/>
      <c r="V75" s="1779"/>
      <c r="W75" s="1780"/>
      <c r="X75" s="1779"/>
      <c r="Y75" s="1780"/>
      <c r="Z75" s="1826"/>
    </row>
    <row r="76" spans="1:26">
      <c r="A76" s="1791"/>
      <c r="B76" s="487"/>
      <c r="C76" s="487"/>
      <c r="D76" s="487"/>
      <c r="E76" s="488"/>
      <c r="F76" s="487"/>
      <c r="G76" s="488"/>
      <c r="H76" s="487"/>
      <c r="I76" s="1780"/>
      <c r="J76" s="1779"/>
      <c r="K76" s="1779"/>
      <c r="L76" s="1779"/>
      <c r="M76" s="1780"/>
      <c r="N76" s="1779"/>
      <c r="O76" s="1780"/>
      <c r="P76" s="1779"/>
      <c r="Q76" s="1780"/>
      <c r="R76" s="1779"/>
      <c r="S76" s="1780"/>
      <c r="T76" s="1779"/>
      <c r="U76" s="1780"/>
      <c r="V76" s="1779"/>
      <c r="W76" s="1780"/>
      <c r="X76" s="1779"/>
      <c r="Y76" s="1780"/>
      <c r="Z76" s="1826"/>
    </row>
    <row r="77" spans="1:26">
      <c r="A77" s="1791"/>
      <c r="B77" s="487"/>
      <c r="C77" s="487"/>
      <c r="D77" s="487"/>
      <c r="E77" s="488"/>
      <c r="F77" s="487"/>
      <c r="G77" s="488"/>
      <c r="H77" s="487"/>
      <c r="I77" s="1780"/>
      <c r="J77" s="1779"/>
      <c r="K77" s="1779"/>
      <c r="L77" s="1779"/>
      <c r="M77" s="1780"/>
      <c r="N77" s="1779"/>
      <c r="O77" s="1780"/>
      <c r="P77" s="1779"/>
      <c r="Q77" s="1780"/>
      <c r="R77" s="1779"/>
      <c r="S77" s="1780"/>
      <c r="T77" s="1779"/>
      <c r="U77" s="1780"/>
      <c r="V77" s="1779"/>
      <c r="W77" s="1780"/>
      <c r="X77" s="1779"/>
      <c r="Y77" s="1780"/>
      <c r="Z77" s="1826"/>
    </row>
    <row r="78" spans="1:26">
      <c r="A78" s="1791"/>
      <c r="B78" s="487"/>
      <c r="C78" s="487"/>
      <c r="D78" s="487"/>
      <c r="E78" s="488"/>
      <c r="F78" s="487"/>
      <c r="G78" s="488"/>
      <c r="H78" s="487"/>
      <c r="I78" s="1780"/>
      <c r="J78" s="1779"/>
      <c r="K78" s="1779"/>
      <c r="L78" s="1779"/>
      <c r="M78" s="1780"/>
      <c r="N78" s="1779"/>
      <c r="O78" s="1780"/>
      <c r="P78" s="1779"/>
      <c r="Q78" s="1780"/>
      <c r="R78" s="1779"/>
      <c r="S78" s="1780"/>
      <c r="T78" s="1779"/>
      <c r="U78" s="1780"/>
      <c r="V78" s="1779"/>
      <c r="W78" s="1780"/>
      <c r="X78" s="1779"/>
      <c r="Y78" s="1780"/>
      <c r="Z78" s="1826"/>
    </row>
    <row r="79" spans="1:26">
      <c r="A79" s="1791"/>
      <c r="B79" s="487"/>
      <c r="C79" s="487"/>
      <c r="D79" s="487"/>
      <c r="E79" s="488"/>
      <c r="F79" s="487"/>
      <c r="G79" s="488"/>
      <c r="H79" s="487"/>
      <c r="I79" s="1780"/>
      <c r="J79" s="1779"/>
      <c r="K79" s="1779"/>
      <c r="L79" s="1779"/>
      <c r="M79" s="1780"/>
      <c r="N79" s="1779"/>
      <c r="O79" s="1780"/>
      <c r="P79" s="1779"/>
      <c r="Q79" s="1780"/>
      <c r="R79" s="1779"/>
      <c r="S79" s="1780"/>
      <c r="T79" s="1779"/>
      <c r="U79" s="1780"/>
      <c r="V79" s="1779"/>
      <c r="W79" s="1780"/>
      <c r="X79" s="1779"/>
      <c r="Y79" s="1780"/>
      <c r="Z79" s="1826"/>
    </row>
    <row r="80" spans="1:26">
      <c r="A80" s="1791"/>
      <c r="B80" s="487"/>
      <c r="C80" s="487"/>
      <c r="D80" s="487"/>
      <c r="E80" s="488"/>
      <c r="F80" s="487"/>
      <c r="G80" s="488"/>
      <c r="H80" s="487"/>
      <c r="I80" s="1780"/>
      <c r="J80" s="1779"/>
      <c r="K80" s="1779"/>
      <c r="L80" s="1779"/>
      <c r="M80" s="1780"/>
      <c r="N80" s="1779"/>
      <c r="O80" s="1780"/>
      <c r="P80" s="1779"/>
      <c r="Q80" s="1780"/>
      <c r="R80" s="1779"/>
      <c r="S80" s="1780"/>
      <c r="T80" s="1779"/>
      <c r="U80" s="1780"/>
      <c r="V80" s="1779"/>
      <c r="W80" s="1780"/>
      <c r="X80" s="1779"/>
      <c r="Y80" s="1780"/>
      <c r="Z80" s="1826"/>
    </row>
    <row r="81" spans="1:26">
      <c r="A81" s="1791"/>
      <c r="B81" s="487"/>
      <c r="C81" s="487"/>
      <c r="D81" s="487"/>
      <c r="E81" s="488"/>
      <c r="F81" s="487"/>
      <c r="G81" s="488"/>
      <c r="H81" s="487"/>
      <c r="I81" s="1780"/>
      <c r="J81" s="1779"/>
      <c r="K81" s="1779"/>
      <c r="L81" s="1779"/>
      <c r="M81" s="1780"/>
      <c r="N81" s="1779"/>
      <c r="O81" s="1780"/>
      <c r="P81" s="1779"/>
      <c r="Q81" s="1780"/>
      <c r="R81" s="1779"/>
      <c r="S81" s="1780"/>
      <c r="T81" s="1779"/>
      <c r="U81" s="1780"/>
      <c r="V81" s="1779"/>
      <c r="W81" s="1780"/>
      <c r="X81" s="1779"/>
      <c r="Y81" s="1780"/>
      <c r="Z81" s="1826"/>
    </row>
    <row r="82" spans="1:26">
      <c r="A82" s="1791"/>
      <c r="B82" s="487"/>
      <c r="C82" s="487"/>
      <c r="D82" s="487"/>
      <c r="E82" s="488"/>
      <c r="F82" s="487"/>
      <c r="G82" s="488"/>
      <c r="H82" s="487"/>
      <c r="I82" s="1780"/>
      <c r="J82" s="1779"/>
      <c r="K82" s="1779"/>
      <c r="L82" s="1779"/>
      <c r="M82" s="1780"/>
      <c r="N82" s="1779"/>
      <c r="O82" s="1780"/>
      <c r="P82" s="1779"/>
      <c r="Q82" s="1780"/>
      <c r="R82" s="1779"/>
      <c r="S82" s="1780"/>
      <c r="T82" s="1779"/>
      <c r="U82" s="1780"/>
      <c r="V82" s="1779"/>
      <c r="W82" s="1780"/>
      <c r="X82" s="1779"/>
      <c r="Y82" s="1780"/>
      <c r="Z82" s="1826"/>
    </row>
    <row r="83" spans="1:26">
      <c r="A83" s="1791"/>
      <c r="B83" s="487"/>
      <c r="C83" s="487"/>
      <c r="D83" s="487"/>
      <c r="E83" s="488"/>
      <c r="F83" s="487"/>
      <c r="G83" s="488"/>
      <c r="H83" s="487"/>
      <c r="I83" s="1780"/>
      <c r="J83" s="1779"/>
      <c r="K83" s="1779"/>
      <c r="L83" s="1779"/>
      <c r="M83" s="1780"/>
      <c r="N83" s="1779"/>
      <c r="O83" s="1780"/>
      <c r="P83" s="1779"/>
      <c r="Q83" s="1780"/>
      <c r="R83" s="1779"/>
      <c r="S83" s="1780"/>
      <c r="T83" s="1779"/>
      <c r="U83" s="1780"/>
      <c r="V83" s="1779"/>
      <c r="W83" s="1780"/>
      <c r="X83" s="1779"/>
      <c r="Y83" s="1780"/>
      <c r="Z83" s="1826"/>
    </row>
    <row r="84" spans="1:26">
      <c r="A84" s="1791"/>
      <c r="B84" s="487"/>
      <c r="C84" s="487"/>
      <c r="D84" s="487"/>
      <c r="E84" s="488"/>
      <c r="F84" s="487"/>
      <c r="G84" s="488"/>
      <c r="H84" s="487"/>
      <c r="I84" s="1780"/>
      <c r="J84" s="1779"/>
      <c r="K84" s="1779"/>
      <c r="L84" s="1779"/>
      <c r="M84" s="1780"/>
      <c r="N84" s="1779"/>
      <c r="O84" s="1780"/>
      <c r="P84" s="1779"/>
      <c r="Q84" s="1780"/>
      <c r="R84" s="1779"/>
      <c r="S84" s="1780"/>
      <c r="T84" s="1779"/>
      <c r="U84" s="1780"/>
      <c r="V84" s="1779"/>
      <c r="W84" s="1780"/>
      <c r="X84" s="1779"/>
      <c r="Y84" s="1780"/>
      <c r="Z84" s="1826"/>
    </row>
    <row r="85" spans="1:26">
      <c r="A85" s="1791"/>
      <c r="B85" s="487"/>
      <c r="C85" s="487"/>
      <c r="D85" s="487"/>
      <c r="E85" s="488"/>
      <c r="F85" s="487"/>
      <c r="G85" s="488"/>
      <c r="H85" s="487"/>
      <c r="I85" s="1780"/>
      <c r="J85" s="1779"/>
      <c r="K85" s="1779"/>
      <c r="L85" s="1779"/>
      <c r="M85" s="1780"/>
      <c r="N85" s="1779"/>
      <c r="O85" s="1780"/>
      <c r="P85" s="1779"/>
      <c r="Q85" s="1780"/>
      <c r="R85" s="1779"/>
      <c r="S85" s="1780"/>
      <c r="T85" s="1779"/>
      <c r="U85" s="1780"/>
      <c r="V85" s="1779"/>
      <c r="W85" s="1780"/>
      <c r="X85" s="1779"/>
      <c r="Y85" s="1780"/>
      <c r="Z85" s="1826"/>
    </row>
    <row r="86" spans="1:26">
      <c r="A86" s="1791"/>
      <c r="B86" s="487"/>
      <c r="C86" s="487"/>
      <c r="D86" s="487"/>
      <c r="E86" s="488"/>
      <c r="F86" s="487"/>
      <c r="G86" s="488"/>
      <c r="H86" s="487"/>
      <c r="I86" s="1780"/>
      <c r="J86" s="1779"/>
      <c r="K86" s="1779"/>
      <c r="L86" s="1779"/>
      <c r="M86" s="1780"/>
      <c r="N86" s="1779"/>
      <c r="O86" s="1780"/>
      <c r="P86" s="1779"/>
      <c r="Q86" s="1780"/>
      <c r="R86" s="1779"/>
      <c r="S86" s="1780"/>
      <c r="T86" s="1779"/>
      <c r="U86" s="1780"/>
      <c r="V86" s="1779"/>
      <c r="W86" s="1780"/>
      <c r="X86" s="1779"/>
      <c r="Y86" s="1780"/>
      <c r="Z86" s="1826"/>
    </row>
    <row r="87" spans="1:26">
      <c r="A87" s="1791"/>
      <c r="B87" s="487"/>
      <c r="C87" s="487"/>
      <c r="D87" s="487"/>
      <c r="E87" s="488"/>
      <c r="F87" s="487"/>
      <c r="G87" s="488"/>
      <c r="H87" s="487"/>
      <c r="I87" s="1780"/>
      <c r="J87" s="1779"/>
      <c r="K87" s="1779"/>
      <c r="L87" s="1779"/>
      <c r="M87" s="1780"/>
      <c r="N87" s="1779"/>
      <c r="O87" s="1780"/>
      <c r="P87" s="1779"/>
      <c r="Q87" s="1780"/>
      <c r="R87" s="1779"/>
      <c r="S87" s="1780"/>
      <c r="T87" s="1779"/>
      <c r="U87" s="1780"/>
      <c r="V87" s="1779"/>
      <c r="W87" s="1780"/>
      <c r="X87" s="1779"/>
      <c r="Y87" s="1780"/>
      <c r="Z87" s="1826"/>
    </row>
    <row r="88" spans="1:26">
      <c r="A88" s="1791"/>
      <c r="B88" s="487"/>
      <c r="C88" s="487"/>
      <c r="D88" s="487"/>
      <c r="E88" s="488"/>
      <c r="F88" s="487"/>
      <c r="G88" s="488"/>
      <c r="H88" s="487"/>
      <c r="I88" s="1780"/>
      <c r="J88" s="1779"/>
      <c r="K88" s="1779"/>
      <c r="L88" s="1779"/>
      <c r="M88" s="1780"/>
      <c r="N88" s="1779"/>
      <c r="O88" s="1780"/>
      <c r="P88" s="1779"/>
      <c r="Q88" s="1780"/>
      <c r="R88" s="1779"/>
      <c r="S88" s="1780"/>
      <c r="T88" s="1779"/>
      <c r="U88" s="1780"/>
      <c r="V88" s="1779"/>
      <c r="W88" s="1780"/>
      <c r="X88" s="1779"/>
      <c r="Y88" s="1780"/>
      <c r="Z88" s="1826"/>
    </row>
    <row r="89" spans="1:26">
      <c r="A89" s="1791"/>
      <c r="B89" s="487"/>
      <c r="C89" s="487"/>
      <c r="D89" s="487"/>
      <c r="E89" s="488"/>
      <c r="F89" s="487"/>
      <c r="G89" s="488"/>
      <c r="H89" s="487"/>
      <c r="I89" s="1780"/>
      <c r="J89" s="1779"/>
      <c r="K89" s="1779"/>
      <c r="L89" s="1779"/>
      <c r="M89" s="1780"/>
      <c r="N89" s="1779"/>
      <c r="O89" s="1780"/>
      <c r="P89" s="1779"/>
      <c r="Q89" s="1780"/>
      <c r="R89" s="1779"/>
      <c r="S89" s="1780"/>
      <c r="T89" s="1779"/>
      <c r="U89" s="1780"/>
      <c r="V89" s="1779"/>
      <c r="W89" s="1780"/>
      <c r="X89" s="1779"/>
      <c r="Y89" s="1780"/>
      <c r="Z89" s="1826"/>
    </row>
    <row r="90" spans="1:26">
      <c r="A90" s="1791"/>
      <c r="B90" s="487"/>
      <c r="C90" s="487"/>
      <c r="D90" s="487"/>
      <c r="E90" s="488"/>
      <c r="F90" s="487"/>
      <c r="G90" s="488"/>
      <c r="H90" s="487"/>
      <c r="I90" s="1780"/>
      <c r="J90" s="1779"/>
      <c r="K90" s="1779"/>
      <c r="L90" s="1779"/>
      <c r="M90" s="1780"/>
      <c r="N90" s="1779"/>
      <c r="O90" s="1780"/>
      <c r="P90" s="1779"/>
      <c r="Q90" s="1780"/>
      <c r="R90" s="1779"/>
      <c r="S90" s="1780"/>
      <c r="T90" s="1779"/>
      <c r="U90" s="1780"/>
      <c r="V90" s="1779"/>
      <c r="W90" s="1780"/>
      <c r="X90" s="1779"/>
      <c r="Y90" s="1780"/>
      <c r="Z90" s="1826"/>
    </row>
    <row r="91" spans="1:26">
      <c r="A91" s="1791"/>
      <c r="B91" s="487"/>
      <c r="C91" s="487"/>
      <c r="D91" s="487"/>
      <c r="E91" s="488"/>
      <c r="F91" s="487"/>
      <c r="G91" s="488"/>
      <c r="H91" s="487"/>
      <c r="I91" s="1780"/>
      <c r="J91" s="1779"/>
      <c r="K91" s="1779"/>
      <c r="L91" s="1779"/>
      <c r="M91" s="1780"/>
      <c r="N91" s="1779"/>
      <c r="O91" s="1780"/>
      <c r="P91" s="1779"/>
      <c r="Q91" s="1780"/>
      <c r="R91" s="1779"/>
      <c r="S91" s="1780"/>
      <c r="T91" s="1779"/>
      <c r="U91" s="1780"/>
      <c r="V91" s="1779"/>
      <c r="W91" s="1780"/>
      <c r="X91" s="1779"/>
      <c r="Y91" s="1780"/>
      <c r="Z91" s="1826"/>
    </row>
    <row r="92" spans="1:26">
      <c r="A92" s="1791"/>
      <c r="B92" s="487"/>
      <c r="C92" s="487"/>
      <c r="D92" s="487"/>
      <c r="E92" s="488"/>
      <c r="F92" s="487"/>
      <c r="G92" s="488"/>
      <c r="H92" s="487"/>
      <c r="I92" s="1780"/>
      <c r="J92" s="1779"/>
      <c r="K92" s="1779"/>
      <c r="L92" s="1779"/>
      <c r="M92" s="1780"/>
      <c r="N92" s="1779"/>
      <c r="O92" s="1780"/>
      <c r="P92" s="1779"/>
      <c r="Q92" s="1780"/>
      <c r="R92" s="1779"/>
      <c r="S92" s="1780"/>
      <c r="T92" s="1779"/>
      <c r="U92" s="1780"/>
      <c r="V92" s="1779"/>
      <c r="W92" s="1780"/>
      <c r="X92" s="1779"/>
      <c r="Y92" s="1780"/>
      <c r="Z92" s="1826"/>
    </row>
    <row r="93" spans="1:26">
      <c r="A93" s="1791"/>
      <c r="B93" s="487"/>
      <c r="C93" s="487"/>
      <c r="D93" s="487"/>
      <c r="E93" s="488"/>
      <c r="F93" s="487"/>
      <c r="G93" s="488"/>
      <c r="H93" s="487"/>
      <c r="I93" s="1780"/>
      <c r="J93" s="1779"/>
      <c r="K93" s="1779"/>
      <c r="L93" s="1779"/>
      <c r="M93" s="1780"/>
      <c r="N93" s="1779"/>
      <c r="O93" s="1780"/>
      <c r="P93" s="1779"/>
      <c r="Q93" s="1780"/>
      <c r="R93" s="1779"/>
      <c r="S93" s="1780"/>
      <c r="T93" s="1779"/>
      <c r="U93" s="1780"/>
      <c r="V93" s="1779"/>
      <c r="W93" s="1780"/>
      <c r="X93" s="1779"/>
      <c r="Y93" s="1780"/>
      <c r="Z93" s="1826"/>
    </row>
    <row r="94" spans="1:26">
      <c r="A94" s="1791"/>
      <c r="B94" s="487"/>
      <c r="C94" s="487"/>
      <c r="D94" s="487"/>
      <c r="E94" s="488"/>
      <c r="F94" s="487"/>
      <c r="G94" s="488"/>
      <c r="H94" s="487"/>
      <c r="I94" s="1780"/>
      <c r="J94" s="1779"/>
      <c r="K94" s="1779"/>
      <c r="L94" s="1779"/>
      <c r="M94" s="1780"/>
      <c r="N94" s="1779"/>
      <c r="O94" s="1780"/>
      <c r="P94" s="1779"/>
      <c r="Q94" s="1780"/>
      <c r="R94" s="1779"/>
      <c r="S94" s="1780"/>
      <c r="T94" s="1779"/>
      <c r="U94" s="1780"/>
      <c r="V94" s="1779"/>
      <c r="W94" s="1780"/>
      <c r="X94" s="1779"/>
      <c r="Y94" s="1780"/>
      <c r="Z94" s="1826"/>
    </row>
    <row r="95" spans="1:26">
      <c r="A95" s="1791"/>
      <c r="B95" s="487"/>
      <c r="C95" s="487"/>
      <c r="D95" s="487"/>
      <c r="E95" s="488"/>
      <c r="F95" s="487"/>
      <c r="G95" s="488"/>
      <c r="H95" s="487"/>
      <c r="I95" s="1780"/>
      <c r="J95" s="1779"/>
      <c r="K95" s="1779"/>
      <c r="L95" s="1779"/>
      <c r="M95" s="1780"/>
      <c r="N95" s="1779"/>
      <c r="O95" s="1780"/>
      <c r="P95" s="1779"/>
      <c r="Q95" s="1780"/>
      <c r="R95" s="1779"/>
      <c r="S95" s="1780"/>
      <c r="T95" s="1779"/>
      <c r="U95" s="1780"/>
      <c r="V95" s="1779"/>
      <c r="W95" s="1780"/>
      <c r="X95" s="1779"/>
      <c r="Y95" s="1780"/>
      <c r="Z95" s="1826"/>
    </row>
    <row r="96" spans="1:26">
      <c r="A96" s="1791"/>
      <c r="B96" s="487"/>
      <c r="C96" s="487"/>
      <c r="D96" s="487"/>
      <c r="E96" s="488"/>
      <c r="F96" s="487"/>
      <c r="G96" s="488"/>
      <c r="H96" s="487"/>
      <c r="I96" s="1780"/>
      <c r="J96" s="1779"/>
      <c r="K96" s="1779"/>
      <c r="L96" s="1779"/>
      <c r="M96" s="1780"/>
      <c r="N96" s="1779"/>
      <c r="O96" s="1780"/>
      <c r="P96" s="1779"/>
      <c r="Q96" s="1780"/>
      <c r="R96" s="1779"/>
      <c r="S96" s="1780"/>
      <c r="T96" s="1779"/>
      <c r="U96" s="1780"/>
      <c r="V96" s="1779"/>
      <c r="W96" s="1780"/>
      <c r="X96" s="1779"/>
      <c r="Y96" s="1780"/>
      <c r="Z96" s="1826"/>
    </row>
  </sheetData>
  <pageMargins left="0.25" right="0.25" top="0.5" bottom="0.25" header="0" footer="0.25"/>
  <pageSetup scale="40"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88671875" defaultRowHeight="12.75"/>
  <cols>
    <col min="1" max="1" width="54.88671875" style="922" customWidth="1"/>
    <col min="2" max="2" width="22.109375" style="922" customWidth="1"/>
    <col min="3" max="3" width="24.88671875" style="922" customWidth="1"/>
    <col min="4" max="4" width="29" style="922" customWidth="1"/>
    <col min="5" max="5" width="2" style="924" customWidth="1"/>
    <col min="6" max="6" width="13" style="1991" bestFit="1" customWidth="1"/>
    <col min="7" max="7" width="8.88671875" style="924"/>
    <col min="8" max="16384" width="8.88671875" style="922"/>
  </cols>
  <sheetData>
    <row r="1" spans="1:7">
      <c r="A1" s="3188" t="s">
        <v>979</v>
      </c>
      <c r="B1" s="1621"/>
      <c r="C1" s="1621"/>
      <c r="D1" s="1621"/>
      <c r="E1" s="923"/>
    </row>
    <row r="2" spans="1:7">
      <c r="A2" s="3189"/>
      <c r="B2" s="1621"/>
      <c r="C2" s="1621"/>
      <c r="D2" s="1529"/>
      <c r="E2" s="923"/>
    </row>
    <row r="3" spans="1:7" s="929" customFormat="1" ht="15">
      <c r="A3" s="1580" t="s">
        <v>499</v>
      </c>
      <c r="B3" s="1621"/>
      <c r="C3" s="1621"/>
      <c r="D3" s="3567" t="s">
        <v>500</v>
      </c>
      <c r="E3" s="3154"/>
      <c r="F3" s="1992"/>
      <c r="G3" s="634"/>
    </row>
    <row r="4" spans="1:7" s="929" customFormat="1" ht="15">
      <c r="A4" s="1580" t="s">
        <v>501</v>
      </c>
      <c r="B4" s="1621"/>
      <c r="C4" s="1621"/>
      <c r="D4" s="1621"/>
      <c r="E4" s="3154"/>
      <c r="F4" s="1992"/>
      <c r="G4" s="634"/>
    </row>
    <row r="5" spans="1:7" s="929" customFormat="1" ht="15">
      <c r="A5" s="1580" t="s">
        <v>502</v>
      </c>
      <c r="B5" s="1621"/>
      <c r="C5" s="1621"/>
      <c r="D5" s="1621"/>
      <c r="E5" s="3154"/>
      <c r="F5" s="1992"/>
      <c r="G5" s="634"/>
    </row>
    <row r="6" spans="1:7" s="929" customFormat="1" ht="15">
      <c r="A6" s="1581" t="s">
        <v>1407</v>
      </c>
      <c r="B6" s="1621"/>
      <c r="C6" s="1621"/>
      <c r="D6" s="1621"/>
      <c r="E6" s="3154"/>
      <c r="F6" s="1992"/>
      <c r="G6" s="634"/>
    </row>
    <row r="7" spans="1:7">
      <c r="A7" s="1581"/>
      <c r="B7" s="1621"/>
      <c r="C7" s="1621"/>
      <c r="D7" s="1621"/>
      <c r="E7" s="923"/>
    </row>
    <row r="8" spans="1:7" ht="27" customHeight="1">
      <c r="A8" s="3731" t="s">
        <v>503</v>
      </c>
      <c r="B8" s="3731" t="s">
        <v>1348</v>
      </c>
      <c r="C8" s="3731" t="s">
        <v>1606</v>
      </c>
      <c r="D8" s="3732" t="s">
        <v>1628</v>
      </c>
      <c r="E8" s="3155"/>
    </row>
    <row r="9" spans="1:7" s="929" customFormat="1">
      <c r="A9" s="3893" t="s">
        <v>504</v>
      </c>
      <c r="B9" s="3896">
        <v>8752000</v>
      </c>
      <c r="C9" s="3896">
        <v>218750.28999999998</v>
      </c>
      <c r="D9" s="3896">
        <v>2810246.7199999997</v>
      </c>
      <c r="E9" s="1685"/>
      <c r="F9" s="1992"/>
      <c r="G9" s="634"/>
    </row>
    <row r="10" spans="1:7" s="929" customFormat="1" ht="15">
      <c r="A10" s="3739" t="s">
        <v>1349</v>
      </c>
      <c r="B10" s="3740">
        <v>8752000</v>
      </c>
      <c r="C10" s="3740">
        <v>218750.28999999998</v>
      </c>
      <c r="D10" s="3740">
        <v>2810246.7199999997</v>
      </c>
      <c r="E10" s="3156"/>
      <c r="F10" s="1992"/>
      <c r="G10" s="634"/>
    </row>
    <row r="11" spans="1:7" s="929" customFormat="1">
      <c r="A11" s="3894" t="s">
        <v>505</v>
      </c>
      <c r="B11" s="3895">
        <v>1478644000</v>
      </c>
      <c r="C11" s="3895">
        <v>37630358.640000001</v>
      </c>
      <c r="D11" s="3895">
        <v>373635558.65000004</v>
      </c>
      <c r="E11" s="1685"/>
      <c r="F11" s="1992"/>
      <c r="G11" s="634"/>
    </row>
    <row r="12" spans="1:7" s="929" customFormat="1">
      <c r="A12" s="3739" t="s">
        <v>1350</v>
      </c>
      <c r="B12" s="3740">
        <v>1478644000</v>
      </c>
      <c r="C12" s="3740">
        <v>37630358.640000001</v>
      </c>
      <c r="D12" s="3740">
        <v>373635558.65000004</v>
      </c>
      <c r="E12" s="1685"/>
      <c r="F12" s="1992"/>
      <c r="G12" s="634"/>
    </row>
    <row r="13" spans="1:7" s="929" customFormat="1">
      <c r="A13" s="3894" t="s">
        <v>506</v>
      </c>
      <c r="B13" s="3895">
        <v>180000</v>
      </c>
      <c r="C13" s="3895">
        <v>15000</v>
      </c>
      <c r="D13" s="3895">
        <v>60000</v>
      </c>
      <c r="E13" s="1685"/>
      <c r="F13" s="1992"/>
      <c r="G13" s="634"/>
    </row>
    <row r="14" spans="1:7" s="929" customFormat="1">
      <c r="A14" s="3739" t="s">
        <v>1351</v>
      </c>
      <c r="B14" s="3740">
        <v>180000</v>
      </c>
      <c r="C14" s="3740">
        <v>15000</v>
      </c>
      <c r="D14" s="3740">
        <v>60000</v>
      </c>
      <c r="E14" s="1685"/>
      <c r="F14" s="1992"/>
      <c r="G14" s="634"/>
    </row>
    <row r="15" spans="1:7" s="929" customFormat="1">
      <c r="A15" s="3894" t="s">
        <v>1231</v>
      </c>
      <c r="B15" s="3895">
        <v>426154811.51999998</v>
      </c>
      <c r="C15" s="3895">
        <v>5703810.0200000005</v>
      </c>
      <c r="D15" s="3895">
        <v>101299355.90000001</v>
      </c>
      <c r="E15" s="1685"/>
      <c r="F15" s="1992"/>
      <c r="G15" s="634"/>
    </row>
    <row r="16" spans="1:7" s="929" customFormat="1">
      <c r="A16" s="3739" t="s">
        <v>1352</v>
      </c>
      <c r="B16" s="3740">
        <v>426154811.51999998</v>
      </c>
      <c r="C16" s="3740">
        <v>5703810.0200000005</v>
      </c>
      <c r="D16" s="3740">
        <v>101299355.90000001</v>
      </c>
      <c r="E16" s="1685"/>
      <c r="F16" s="1992"/>
      <c r="G16" s="634"/>
    </row>
    <row r="17" spans="1:7" s="929" customFormat="1">
      <c r="A17" s="3894" t="s">
        <v>507</v>
      </c>
      <c r="B17" s="3895">
        <v>2160773305.0299997</v>
      </c>
      <c r="C17" s="3895">
        <v>12123486.230000002</v>
      </c>
      <c r="D17" s="3895">
        <v>341023285.75</v>
      </c>
      <c r="E17" s="1685"/>
      <c r="F17" s="1992"/>
      <c r="G17" s="634"/>
    </row>
    <row r="18" spans="1:7" s="929" customFormat="1">
      <c r="A18" s="3739" t="s">
        <v>1353</v>
      </c>
      <c r="B18" s="3740">
        <v>205250000</v>
      </c>
      <c r="C18" s="3740">
        <v>0</v>
      </c>
      <c r="D18" s="3740">
        <v>20000000</v>
      </c>
      <c r="E18" s="1685"/>
      <c r="F18" s="1992"/>
      <c r="G18" s="634"/>
    </row>
    <row r="19" spans="1:7" s="929" customFormat="1">
      <c r="A19" s="3739" t="s">
        <v>1354</v>
      </c>
      <c r="B19" s="3740">
        <v>13520000</v>
      </c>
      <c r="C19" s="3740">
        <v>214547.09</v>
      </c>
      <c r="D19" s="3740">
        <v>1254251.06</v>
      </c>
      <c r="E19" s="1685"/>
      <c r="F19" s="1992"/>
      <c r="G19" s="634"/>
    </row>
    <row r="20" spans="1:7" s="929" customFormat="1">
      <c r="A20" s="3739" t="s">
        <v>1355</v>
      </c>
      <c r="B20" s="3740">
        <v>7063000</v>
      </c>
      <c r="C20" s="3740">
        <v>470819.48</v>
      </c>
      <c r="D20" s="3740">
        <v>1331284.1000000001</v>
      </c>
      <c r="E20" s="1685"/>
      <c r="F20" s="1992"/>
      <c r="G20" s="634"/>
    </row>
    <row r="21" spans="1:7" s="929" customFormat="1">
      <c r="A21" s="3739" t="s">
        <v>1356</v>
      </c>
      <c r="B21" s="3740">
        <v>24700000</v>
      </c>
      <c r="C21" s="3740">
        <v>2273463.58</v>
      </c>
      <c r="D21" s="3740">
        <v>3981939.32</v>
      </c>
      <c r="E21" s="1685"/>
      <c r="F21" s="1992"/>
      <c r="G21" s="634"/>
    </row>
    <row r="22" spans="1:7" s="929" customFormat="1">
      <c r="A22" s="3739" t="s">
        <v>1357</v>
      </c>
      <c r="B22" s="3740">
        <v>272000000</v>
      </c>
      <c r="C22" s="3740">
        <v>26649</v>
      </c>
      <c r="D22" s="3740">
        <v>41250033</v>
      </c>
      <c r="E22" s="1685"/>
      <c r="F22" s="1992"/>
      <c r="G22" s="634"/>
    </row>
    <row r="23" spans="1:7" s="929" customFormat="1">
      <c r="A23" s="3739" t="s">
        <v>1358</v>
      </c>
      <c r="B23" s="3740">
        <v>5232000</v>
      </c>
      <c r="C23" s="3740">
        <v>585384</v>
      </c>
      <c r="D23" s="3740">
        <v>1288673</v>
      </c>
      <c r="E23" s="1685"/>
      <c r="F23" s="1992"/>
      <c r="G23" s="634"/>
    </row>
    <row r="24" spans="1:7" s="929" customFormat="1">
      <c r="A24" s="3739" t="s">
        <v>1359</v>
      </c>
      <c r="B24" s="3740">
        <v>13780000</v>
      </c>
      <c r="C24" s="3740">
        <v>0</v>
      </c>
      <c r="D24" s="3740">
        <v>3444996</v>
      </c>
      <c r="E24" s="1685"/>
      <c r="F24" s="1992"/>
      <c r="G24" s="634"/>
    </row>
    <row r="25" spans="1:7" s="929" customFormat="1">
      <c r="A25" s="3739" t="s">
        <v>1360</v>
      </c>
      <c r="B25" s="3740">
        <v>9440000</v>
      </c>
      <c r="C25" s="3740">
        <v>10298.74</v>
      </c>
      <c r="D25" s="3740">
        <v>3806000</v>
      </c>
      <c r="E25" s="1685"/>
      <c r="F25" s="1992"/>
      <c r="G25" s="634"/>
    </row>
    <row r="26" spans="1:7" s="929" customFormat="1">
      <c r="A26" s="3739" t="s">
        <v>1361</v>
      </c>
      <c r="B26" s="3740">
        <v>39200000</v>
      </c>
      <c r="C26" s="3740">
        <v>0</v>
      </c>
      <c r="D26" s="3740">
        <v>19600000</v>
      </c>
      <c r="E26" s="1685"/>
      <c r="F26" s="1992"/>
      <c r="G26" s="634"/>
    </row>
    <row r="27" spans="1:7" s="929" customFormat="1">
      <c r="A27" s="3739" t="s">
        <v>1362</v>
      </c>
      <c r="B27" s="3740">
        <v>210010300</v>
      </c>
      <c r="C27" s="3740">
        <v>1330889.9300000002</v>
      </c>
      <c r="D27" s="3740">
        <v>5314296.54</v>
      </c>
      <c r="E27" s="923"/>
      <c r="F27" s="1992"/>
      <c r="G27" s="634"/>
    </row>
    <row r="28" spans="1:7" s="929" customFormat="1">
      <c r="A28" s="3739" t="s">
        <v>1363</v>
      </c>
      <c r="B28" s="3740">
        <v>24781746</v>
      </c>
      <c r="C28" s="3740">
        <v>296004.2</v>
      </c>
      <c r="D28" s="3740">
        <v>845643.09</v>
      </c>
      <c r="E28" s="923"/>
      <c r="F28" s="1992"/>
      <c r="G28" s="634"/>
    </row>
    <row r="29" spans="1:7">
      <c r="A29" s="3739" t="s">
        <v>1364</v>
      </c>
      <c r="B29" s="3740">
        <v>208000000</v>
      </c>
      <c r="C29" s="3740">
        <v>0</v>
      </c>
      <c r="D29" s="3740">
        <v>52000000</v>
      </c>
      <c r="E29" s="923"/>
    </row>
    <row r="30" spans="1:7">
      <c r="A30" s="3739" t="s">
        <v>1365</v>
      </c>
      <c r="B30" s="3740">
        <v>2200000</v>
      </c>
      <c r="C30" s="3740">
        <v>67461.34</v>
      </c>
      <c r="D30" s="3740">
        <v>617383.55000000005</v>
      </c>
      <c r="E30" s="923"/>
    </row>
    <row r="31" spans="1:7">
      <c r="A31" s="3739" t="s">
        <v>1366</v>
      </c>
      <c r="B31" s="3740">
        <v>382200000</v>
      </c>
      <c r="C31" s="3740">
        <v>0</v>
      </c>
      <c r="D31" s="3740">
        <v>105100000</v>
      </c>
      <c r="E31" s="923"/>
    </row>
    <row r="32" spans="1:7">
      <c r="A32" s="3739" t="s">
        <v>1367</v>
      </c>
      <c r="B32" s="3740">
        <v>34465000</v>
      </c>
      <c r="C32" s="3740">
        <v>1160467</v>
      </c>
      <c r="D32" s="3740">
        <v>7656120.8399999999</v>
      </c>
      <c r="E32" s="923"/>
    </row>
    <row r="33" spans="1:5">
      <c r="A33" s="3739" t="s">
        <v>1368</v>
      </c>
      <c r="B33" s="3740">
        <v>1000000</v>
      </c>
      <c r="C33" s="3740">
        <v>0</v>
      </c>
      <c r="D33" s="3740">
        <v>0</v>
      </c>
      <c r="E33" s="3157"/>
    </row>
    <row r="34" spans="1:5">
      <c r="A34" s="3739" t="s">
        <v>1369</v>
      </c>
      <c r="B34" s="3740">
        <v>27825000</v>
      </c>
      <c r="C34" s="3740">
        <v>0</v>
      </c>
      <c r="D34" s="3740">
        <v>0</v>
      </c>
      <c r="E34" s="923"/>
    </row>
    <row r="35" spans="1:5">
      <c r="A35" s="3739" t="s">
        <v>1370</v>
      </c>
      <c r="B35" s="3740">
        <v>3954200</v>
      </c>
      <c r="C35" s="3740">
        <v>187000</v>
      </c>
      <c r="D35" s="3740">
        <v>487000</v>
      </c>
      <c r="E35" s="923"/>
    </row>
    <row r="36" spans="1:5">
      <c r="A36" s="3739" t="s">
        <v>1371</v>
      </c>
      <c r="B36" s="3740">
        <v>8440000</v>
      </c>
      <c r="C36" s="3740">
        <v>0</v>
      </c>
      <c r="D36" s="3740">
        <v>1642909.72</v>
      </c>
      <c r="E36" s="923"/>
    </row>
    <row r="37" spans="1:5">
      <c r="A37" s="3739" t="s">
        <v>1372</v>
      </c>
      <c r="B37" s="3740">
        <v>5300000</v>
      </c>
      <c r="C37" s="3740">
        <v>783613.94</v>
      </c>
      <c r="D37" s="3740">
        <v>1406112</v>
      </c>
      <c r="E37" s="923"/>
    </row>
    <row r="38" spans="1:5">
      <c r="A38" s="3739" t="s">
        <v>1373</v>
      </c>
      <c r="B38" s="3740">
        <v>102606000</v>
      </c>
      <c r="C38" s="3740">
        <v>0</v>
      </c>
      <c r="D38" s="3740">
        <v>51303000</v>
      </c>
      <c r="E38" s="923"/>
    </row>
    <row r="39" spans="1:5">
      <c r="A39" s="3739" t="s">
        <v>1440</v>
      </c>
      <c r="B39" s="3740">
        <v>50000</v>
      </c>
      <c r="C39" s="3740">
        <v>0</v>
      </c>
      <c r="D39" s="3740">
        <v>0</v>
      </c>
      <c r="E39" s="923"/>
    </row>
    <row r="40" spans="1:5">
      <c r="A40" s="3739" t="s">
        <v>1374</v>
      </c>
      <c r="B40" s="3740">
        <v>34550000</v>
      </c>
      <c r="C40" s="3740">
        <v>3003389.0300000003</v>
      </c>
      <c r="D40" s="3740">
        <v>7400764.6499999994</v>
      </c>
      <c r="E40" s="923"/>
    </row>
    <row r="41" spans="1:5">
      <c r="A41" s="3739" t="s">
        <v>1375</v>
      </c>
      <c r="B41" s="3740">
        <v>22990000</v>
      </c>
      <c r="C41" s="3740">
        <v>1713498.9</v>
      </c>
      <c r="D41" s="3740">
        <v>4947878.88</v>
      </c>
      <c r="E41" s="923"/>
    </row>
    <row r="42" spans="1:5">
      <c r="A42" s="3739" t="s">
        <v>1376</v>
      </c>
      <c r="B42" s="3740">
        <v>4230000</v>
      </c>
      <c r="C42" s="3740">
        <v>0</v>
      </c>
      <c r="D42" s="3740">
        <v>2115000</v>
      </c>
      <c r="E42" s="923"/>
    </row>
    <row r="43" spans="1:5">
      <c r="A43" s="3739" t="s">
        <v>1377</v>
      </c>
      <c r="B43" s="3740">
        <v>8460000</v>
      </c>
      <c r="C43" s="3740">
        <v>0</v>
      </c>
      <c r="D43" s="3740">
        <v>4230000</v>
      </c>
      <c r="E43" s="923"/>
    </row>
    <row r="44" spans="1:5">
      <c r="A44" s="3739" t="s">
        <v>1378</v>
      </c>
      <c r="B44" s="3740">
        <v>489526059.02999997</v>
      </c>
      <c r="C44" s="3740">
        <v>0</v>
      </c>
      <c r="D44" s="3740">
        <v>0</v>
      </c>
      <c r="E44" s="923"/>
    </row>
    <row r="45" spans="1:5">
      <c r="A45" s="3894" t="s">
        <v>508</v>
      </c>
      <c r="B45" s="3895">
        <v>28338830000</v>
      </c>
      <c r="C45" s="3895">
        <v>408836343.56</v>
      </c>
      <c r="D45" s="3895">
        <v>4632344727.9300003</v>
      </c>
      <c r="E45" s="923"/>
    </row>
    <row r="46" spans="1:5">
      <c r="A46" s="3739" t="s">
        <v>1379</v>
      </c>
      <c r="B46" s="3740">
        <v>300000000</v>
      </c>
      <c r="C46" s="3740">
        <v>50000000</v>
      </c>
      <c r="D46" s="3740">
        <v>50000000</v>
      </c>
      <c r="E46" s="923"/>
    </row>
    <row r="47" spans="1:5">
      <c r="A47" s="3739" t="s">
        <v>1380</v>
      </c>
      <c r="B47" s="3740">
        <v>5349000000</v>
      </c>
      <c r="C47" s="3740">
        <v>61636343.560000002</v>
      </c>
      <c r="D47" s="3740">
        <v>854144727.92999995</v>
      </c>
      <c r="E47" s="923"/>
    </row>
    <row r="48" spans="1:5">
      <c r="A48" s="3739" t="s">
        <v>1381</v>
      </c>
      <c r="B48" s="3740">
        <v>21806630000</v>
      </c>
      <c r="C48" s="3740">
        <v>150000000</v>
      </c>
      <c r="D48" s="3740">
        <v>3581000000</v>
      </c>
      <c r="E48" s="923"/>
    </row>
    <row r="49" spans="1:5">
      <c r="A49" s="3739" t="s">
        <v>1382</v>
      </c>
      <c r="B49" s="3740">
        <v>816000000</v>
      </c>
      <c r="C49" s="3740">
        <v>136000000</v>
      </c>
      <c r="D49" s="3740">
        <v>136000000</v>
      </c>
      <c r="E49" s="923"/>
    </row>
    <row r="50" spans="1:5">
      <c r="A50" s="3739" t="s">
        <v>1383</v>
      </c>
      <c r="B50" s="3740">
        <v>67200000</v>
      </c>
      <c r="C50" s="3740">
        <v>11200000</v>
      </c>
      <c r="D50" s="3740">
        <v>11200000</v>
      </c>
      <c r="E50" s="923"/>
    </row>
    <row r="51" spans="1:5">
      <c r="A51" s="3894" t="s">
        <v>1409</v>
      </c>
      <c r="B51" s="3895">
        <v>53398000</v>
      </c>
      <c r="C51" s="3895">
        <v>10006430.979999999</v>
      </c>
      <c r="D51" s="3895">
        <v>31489834.489999998</v>
      </c>
      <c r="E51" s="923"/>
    </row>
    <row r="52" spans="1:5">
      <c r="A52" s="3739" t="s">
        <v>1410</v>
      </c>
      <c r="B52" s="3740">
        <v>53398000</v>
      </c>
      <c r="C52" s="3740">
        <v>10006430.979999999</v>
      </c>
      <c r="D52" s="3740">
        <v>31489834.489999998</v>
      </c>
      <c r="E52" s="923"/>
    </row>
    <row r="53" spans="1:5">
      <c r="A53" s="3894" t="s">
        <v>509</v>
      </c>
      <c r="B53" s="3895">
        <v>1834000</v>
      </c>
      <c r="C53" s="3895">
        <v>0</v>
      </c>
      <c r="D53" s="3895">
        <v>0</v>
      </c>
      <c r="E53" s="923"/>
    </row>
    <row r="54" spans="1:5">
      <c r="A54" s="3739" t="s">
        <v>1384</v>
      </c>
      <c r="B54" s="3740">
        <v>1834000</v>
      </c>
      <c r="C54" s="3740">
        <v>0</v>
      </c>
      <c r="D54" s="3740">
        <v>0</v>
      </c>
      <c r="E54" s="923"/>
    </row>
    <row r="55" spans="1:5">
      <c r="A55" s="3894" t="s">
        <v>510</v>
      </c>
      <c r="B55" s="3895">
        <v>60490924.850000001</v>
      </c>
      <c r="C55" s="3895">
        <v>1380490.7099999997</v>
      </c>
      <c r="D55" s="3895">
        <v>13772906.810000001</v>
      </c>
      <c r="E55" s="923"/>
    </row>
    <row r="56" spans="1:5">
      <c r="A56" s="3739" t="s">
        <v>1385</v>
      </c>
      <c r="B56" s="3740">
        <v>60490924.850000001</v>
      </c>
      <c r="C56" s="3740">
        <v>1380490.7099999997</v>
      </c>
      <c r="D56" s="3740">
        <v>13772906.810000001</v>
      </c>
      <c r="E56" s="923"/>
    </row>
    <row r="57" spans="1:5">
      <c r="A57" s="3894" t="s">
        <v>511</v>
      </c>
      <c r="B57" s="3895">
        <v>2477800</v>
      </c>
      <c r="C57" s="3895">
        <v>0</v>
      </c>
      <c r="D57" s="3895">
        <v>0</v>
      </c>
      <c r="E57" s="923"/>
    </row>
    <row r="58" spans="1:5">
      <c r="A58" s="3739" t="s">
        <v>1386</v>
      </c>
      <c r="B58" s="3740">
        <v>2477800</v>
      </c>
      <c r="C58" s="3740">
        <v>0</v>
      </c>
      <c r="D58" s="3740">
        <v>0</v>
      </c>
      <c r="E58" s="923"/>
    </row>
    <row r="59" spans="1:5">
      <c r="A59" s="3894" t="s">
        <v>1271</v>
      </c>
      <c r="B59" s="3895">
        <v>8190000</v>
      </c>
      <c r="C59" s="3895">
        <v>263313.11</v>
      </c>
      <c r="D59" s="3895">
        <v>4008328.9800000004</v>
      </c>
      <c r="E59" s="923"/>
    </row>
    <row r="60" spans="1:5">
      <c r="A60" s="3756" t="s">
        <v>1271</v>
      </c>
      <c r="B60" s="3741">
        <v>8190000</v>
      </c>
      <c r="C60" s="3741">
        <v>263313.11</v>
      </c>
      <c r="D60" s="3741">
        <v>4008328.9800000004</v>
      </c>
      <c r="E60" s="923"/>
    </row>
    <row r="61" spans="1:5">
      <c r="A61" s="3890" t="s">
        <v>552</v>
      </c>
      <c r="B61" s="3688">
        <f>SUM(B9:B60)/2</f>
        <v>32539724841.399998</v>
      </c>
      <c r="C61" s="3688">
        <f>SUM(C9:C60)/2</f>
        <v>476177983.54000008</v>
      </c>
      <c r="D61" s="3688">
        <f>SUM(D9:D60)/2</f>
        <v>5500444245.2299995</v>
      </c>
      <c r="E61" s="923"/>
    </row>
    <row r="62" spans="1:5">
      <c r="A62" s="3892" t="s">
        <v>512</v>
      </c>
      <c r="B62" s="3891"/>
      <c r="C62" s="3740">
        <v>-1954852.99</v>
      </c>
      <c r="D62" s="3740">
        <v>-8635030.4100000001</v>
      </c>
      <c r="E62" s="923"/>
    </row>
    <row r="63" spans="1:5">
      <c r="A63" s="3892" t="s">
        <v>1324</v>
      </c>
      <c r="B63" s="3891"/>
      <c r="C63" s="3740">
        <v>0</v>
      </c>
      <c r="D63" s="3740">
        <v>0</v>
      </c>
      <c r="E63" s="923"/>
    </row>
    <row r="64" spans="1:5" ht="12.75" customHeight="1">
      <c r="A64" s="3753" t="s">
        <v>1325</v>
      </c>
      <c r="B64" s="3754"/>
      <c r="C64" s="3754">
        <v>0</v>
      </c>
      <c r="D64" s="3754">
        <v>0</v>
      </c>
      <c r="E64" s="3158"/>
    </row>
    <row r="65" spans="1:5">
      <c r="A65" s="3753" t="s">
        <v>513</v>
      </c>
      <c r="B65" s="3754"/>
      <c r="C65" s="3754">
        <v>1094.79</v>
      </c>
      <c r="D65" s="3754">
        <v>-126.88</v>
      </c>
      <c r="E65" s="923"/>
    </row>
    <row r="66" spans="1:5" ht="13.5" thickBot="1">
      <c r="A66" s="3734" t="s">
        <v>1387</v>
      </c>
      <c r="B66" s="3842">
        <f>SUM(B61:B65)</f>
        <v>32539724841.399998</v>
      </c>
      <c r="C66" s="3842">
        <f>SUM(C61:C65)</f>
        <v>474224225.34000009</v>
      </c>
      <c r="D66" s="3842">
        <f>SUM(D61:D65)</f>
        <v>5491809087.9399996</v>
      </c>
      <c r="E66" s="923"/>
    </row>
    <row r="67" spans="1:5" ht="13.5" thickTop="1">
      <c r="A67" s="1621"/>
      <c r="B67" s="3733"/>
      <c r="C67" s="3733"/>
      <c r="D67" s="3733"/>
      <c r="E67" s="923"/>
    </row>
    <row r="68" spans="1:5">
      <c r="A68" s="3735" t="s">
        <v>1411</v>
      </c>
      <c r="B68" s="1621"/>
      <c r="C68" s="1621"/>
      <c r="D68" s="1621"/>
      <c r="E68" s="923"/>
    </row>
    <row r="69" spans="1:5">
      <c r="A69" s="3735" t="s">
        <v>978</v>
      </c>
      <c r="B69" s="1621"/>
      <c r="C69" s="1621"/>
      <c r="D69" s="1621"/>
      <c r="E69" s="923"/>
    </row>
    <row r="70" spans="1:5" ht="13.35" customHeight="1">
      <c r="A70" s="3736" t="s">
        <v>947</v>
      </c>
      <c r="B70" s="1621"/>
      <c r="C70" s="1621"/>
      <c r="D70" s="1621"/>
    </row>
    <row r="71" spans="1:5" ht="12.75" customHeight="1">
      <c r="A71" s="3737" t="s">
        <v>948</v>
      </c>
      <c r="B71" s="1621"/>
      <c r="C71" s="1621"/>
      <c r="D71" s="3738"/>
    </row>
    <row r="72" spans="1:5">
      <c r="A72" s="3737" t="s">
        <v>949</v>
      </c>
      <c r="B72" s="1621"/>
      <c r="C72" s="1621"/>
      <c r="D72" s="3733"/>
    </row>
    <row r="73" spans="1:5">
      <c r="B73" s="930"/>
      <c r="C73" s="1625"/>
      <c r="D73" s="927"/>
    </row>
    <row r="74" spans="1:5">
      <c r="A74" s="925"/>
      <c r="B74" s="926"/>
      <c r="C74" s="926"/>
    </row>
    <row r="75" spans="1:5">
      <c r="A75" s="925"/>
      <c r="B75" s="926"/>
      <c r="C75" s="926"/>
    </row>
    <row r="77" spans="1:5">
      <c r="A77" s="926"/>
      <c r="B77" s="928"/>
      <c r="C77" s="928"/>
      <c r="D77" s="928"/>
    </row>
    <row r="78" spans="1:5" ht="12.75" customHeight="1">
      <c r="A78" s="926"/>
      <c r="B78" s="928"/>
      <c r="C78" s="928"/>
      <c r="D78" s="928"/>
    </row>
    <row r="79" spans="1:5" ht="12.75" customHeight="1">
      <c r="A79" s="926"/>
      <c r="B79" s="928"/>
      <c r="C79" s="928"/>
      <c r="D79" s="928"/>
    </row>
    <row r="80" spans="1:5" ht="12.75" customHeight="1">
      <c r="A80" s="926"/>
      <c r="B80" s="928"/>
      <c r="C80" s="928"/>
      <c r="D80" s="928"/>
    </row>
    <row r="81" spans="1:3">
      <c r="A81" s="926"/>
      <c r="B81" s="928"/>
      <c r="C81" s="928"/>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U55"/>
  <sheetViews>
    <sheetView showGridLines="0" zoomScale="90" workbookViewId="0"/>
  </sheetViews>
  <sheetFormatPr defaultColWidth="8.88671875" defaultRowHeight="15" customHeight="1"/>
  <cols>
    <col min="1" max="1" width="55.109375" style="1287" customWidth="1"/>
    <col min="2" max="2" width="4.88671875" style="1287" customWidth="1"/>
    <col min="3" max="3" width="20.88671875" style="1288" customWidth="1"/>
    <col min="4" max="4" width="2.109375" style="1287" customWidth="1"/>
    <col min="5" max="5" width="20.88671875" style="1288" customWidth="1"/>
    <col min="6" max="6" width="2.109375" style="1287" customWidth="1"/>
    <col min="7" max="7" width="20.88671875" style="1288" customWidth="1"/>
    <col min="8" max="8" width="2.109375" style="1287" customWidth="1"/>
    <col min="9" max="9" width="20.109375" style="1288" customWidth="1"/>
    <col min="10" max="10" width="2.109375" style="1287" customWidth="1"/>
    <col min="11" max="11" width="20.109375" style="1288" customWidth="1"/>
    <col min="12" max="12" width="2.109375" style="1288" customWidth="1"/>
    <col min="13" max="13" width="1.88671875" style="1289" customWidth="1"/>
    <col min="14" max="14" width="20.109375" style="1289" customWidth="1"/>
    <col min="15" max="16" width="8.88671875" style="1288"/>
    <col min="17" max="16384" width="8.88671875" style="1287"/>
  </cols>
  <sheetData>
    <row r="1" spans="1:16" ht="15" customHeight="1">
      <c r="A1" s="653" t="s">
        <v>979</v>
      </c>
    </row>
    <row r="2" spans="1:16" ht="15" customHeight="1">
      <c r="A2" s="1290"/>
    </row>
    <row r="3" spans="1:16" ht="15" customHeight="1">
      <c r="N3" s="1378" t="s">
        <v>514</v>
      </c>
    </row>
    <row r="4" spans="1:16" ht="18" customHeight="1">
      <c r="A4" s="1996" t="s">
        <v>499</v>
      </c>
      <c r="B4" s="1291"/>
      <c r="C4" s="1291"/>
      <c r="D4" s="1291"/>
      <c r="E4" s="1291"/>
      <c r="F4" s="1291"/>
      <c r="G4" s="1291"/>
      <c r="H4" s="1291"/>
      <c r="I4" s="1291"/>
      <c r="J4" s="1291"/>
      <c r="K4" s="1291"/>
      <c r="L4" s="1291"/>
      <c r="M4" s="1380"/>
      <c r="N4" s="1380"/>
    </row>
    <row r="5" spans="1:16" ht="18" customHeight="1">
      <c r="A5" s="1996" t="s">
        <v>887</v>
      </c>
      <c r="B5" s="1996"/>
      <c r="C5" s="1996"/>
      <c r="D5" s="1996"/>
      <c r="E5" s="1996"/>
      <c r="F5" s="1996"/>
      <c r="G5" s="1996"/>
      <c r="H5" s="1996"/>
      <c r="I5" s="1996"/>
      <c r="J5" s="1996"/>
      <c r="K5" s="1996"/>
      <c r="L5" s="1996"/>
      <c r="M5" s="1379"/>
      <c r="N5" s="1996"/>
    </row>
    <row r="6" spans="1:16" ht="18" customHeight="1">
      <c r="A6" s="1996" t="s">
        <v>1407</v>
      </c>
      <c r="B6" s="1997"/>
      <c r="C6" s="1997"/>
      <c r="D6" s="1997"/>
      <c r="E6" s="1997"/>
      <c r="F6" s="1997"/>
      <c r="G6" s="1997"/>
      <c r="H6" s="1997"/>
      <c r="I6" s="1997"/>
      <c r="J6" s="1997"/>
      <c r="K6" s="1997"/>
      <c r="L6" s="1997"/>
      <c r="M6" s="1379"/>
      <c r="N6" s="1996"/>
    </row>
    <row r="7" spans="1:16" ht="15" customHeight="1">
      <c r="A7" s="1998"/>
      <c r="B7" s="1998"/>
      <c r="C7" s="1998"/>
      <c r="D7" s="1998"/>
      <c r="E7" s="1998"/>
      <c r="F7" s="1998"/>
      <c r="G7" s="1998"/>
      <c r="H7" s="1998"/>
      <c r="I7" s="1998"/>
      <c r="J7" s="1998"/>
      <c r="K7" s="1998"/>
      <c r="L7" s="1998"/>
      <c r="M7" s="1381"/>
      <c r="N7" s="1381"/>
    </row>
    <row r="8" spans="1:16" ht="15" customHeight="1">
      <c r="A8" s="1293"/>
      <c r="B8" s="1294"/>
      <c r="C8" s="1295"/>
      <c r="D8" s="1294"/>
      <c r="E8" s="1295"/>
      <c r="F8" s="1294"/>
      <c r="G8" s="1295"/>
      <c r="H8" s="1294"/>
      <c r="I8" s="1295"/>
      <c r="J8" s="1294"/>
      <c r="K8" s="1295"/>
      <c r="L8" s="1295"/>
      <c r="M8" s="1382"/>
      <c r="N8" s="1296"/>
    </row>
    <row r="9" spans="1:16" s="1299" customFormat="1" ht="15" customHeight="1">
      <c r="A9" s="1297"/>
      <c r="B9" s="1297"/>
      <c r="C9" s="1675" t="s">
        <v>1443</v>
      </c>
      <c r="D9" s="1297"/>
      <c r="E9" s="1675" t="s">
        <v>1476</v>
      </c>
      <c r="F9" s="1297"/>
      <c r="G9" s="1675" t="s">
        <v>1557</v>
      </c>
      <c r="H9" s="1297"/>
      <c r="I9" s="1675">
        <v>2020</v>
      </c>
      <c r="J9" s="1297"/>
      <c r="K9" s="1675">
        <v>2020</v>
      </c>
      <c r="M9" s="1298"/>
      <c r="N9" s="1298"/>
      <c r="O9" s="1286"/>
      <c r="P9" s="1286"/>
    </row>
    <row r="10" spans="1:16" ht="15" customHeight="1">
      <c r="A10" s="1300"/>
      <c r="B10" s="1300"/>
      <c r="C10" s="2281" t="s">
        <v>1444</v>
      </c>
      <c r="D10" s="1300"/>
      <c r="E10" s="2281" t="s">
        <v>1477</v>
      </c>
      <c r="F10" s="1300"/>
      <c r="G10" s="2281" t="s">
        <v>1558</v>
      </c>
      <c r="H10" s="1300"/>
      <c r="I10" s="2281" t="s">
        <v>134</v>
      </c>
      <c r="J10" s="1300"/>
      <c r="K10" s="2281" t="s">
        <v>135</v>
      </c>
      <c r="M10" s="1292"/>
      <c r="N10" s="1301" t="s">
        <v>1408</v>
      </c>
    </row>
    <row r="11" spans="1:16" ht="15" customHeight="1">
      <c r="A11" s="1300"/>
      <c r="B11" s="1300"/>
      <c r="C11" s="1292"/>
      <c r="D11" s="1300"/>
      <c r="E11" s="1292"/>
      <c r="F11" s="1300"/>
      <c r="G11" s="1292"/>
      <c r="H11" s="1300"/>
      <c r="I11" s="1292"/>
      <c r="J11" s="1300"/>
      <c r="K11" s="1292"/>
      <c r="L11" s="1292"/>
      <c r="M11" s="1292"/>
      <c r="N11" s="1936"/>
    </row>
    <row r="12" spans="1:16" s="1299" customFormat="1" ht="15" customHeight="1">
      <c r="A12" s="1303" t="s">
        <v>474</v>
      </c>
      <c r="B12" s="1303"/>
      <c r="C12" s="1304">
        <v>284899772.69999999</v>
      </c>
      <c r="D12" s="1303"/>
      <c r="E12" s="1304">
        <f>C52</f>
        <v>217136341.69999999</v>
      </c>
      <c r="F12" s="1303"/>
      <c r="G12" s="1304">
        <f>E52</f>
        <v>349275252.27999997</v>
      </c>
      <c r="H12" s="1303"/>
      <c r="I12" s="1304">
        <f>G52</f>
        <v>362704232.36000001</v>
      </c>
      <c r="J12" s="1303"/>
      <c r="K12" s="1304">
        <f>I52</f>
        <v>333687033.81999999</v>
      </c>
      <c r="L12" s="1304"/>
      <c r="M12" s="1305"/>
      <c r="N12" s="1383">
        <f>C12</f>
        <v>284899772.69999999</v>
      </c>
      <c r="O12" s="1286"/>
      <c r="P12" s="1286"/>
    </row>
    <row r="13" spans="1:16" ht="15" customHeight="1">
      <c r="A13" s="1303"/>
      <c r="B13" s="1300"/>
      <c r="C13" s="1302"/>
      <c r="D13" s="1300"/>
      <c r="E13" s="1302"/>
      <c r="F13" s="1300"/>
      <c r="G13" s="1302"/>
      <c r="H13" s="1300"/>
      <c r="I13" s="1302"/>
      <c r="J13" s="1300"/>
      <c r="K13" s="1302"/>
      <c r="L13" s="1302"/>
      <c r="M13" s="1306"/>
      <c r="N13" s="1309"/>
    </row>
    <row r="14" spans="1:16" ht="15" customHeight="1">
      <c r="A14" s="1303" t="s">
        <v>14</v>
      </c>
      <c r="B14" s="1300"/>
      <c r="C14" s="1307"/>
      <c r="D14" s="1300"/>
      <c r="E14" s="1307"/>
      <c r="F14" s="1300"/>
      <c r="G14" s="1307"/>
      <c r="H14" s="1300"/>
      <c r="I14" s="1307"/>
      <c r="J14" s="1300"/>
      <c r="K14" s="1307"/>
      <c r="L14" s="1307"/>
      <c r="M14" s="1308"/>
      <c r="N14" s="1309"/>
    </row>
    <row r="15" spans="1:16" ht="15" customHeight="1">
      <c r="A15" s="1300" t="s">
        <v>516</v>
      </c>
      <c r="B15" s="1300"/>
      <c r="C15" s="1275">
        <v>901482254.93999994</v>
      </c>
      <c r="D15" s="1300"/>
      <c r="E15" s="1275">
        <v>1104136349.72</v>
      </c>
      <c r="F15" s="1300"/>
      <c r="G15" s="1275">
        <v>906738478.92000008</v>
      </c>
      <c r="H15" s="1300"/>
      <c r="I15" s="1275">
        <v>311479097.10000002</v>
      </c>
      <c r="J15" s="1300"/>
      <c r="K15" s="1275">
        <v>198380338.47999999</v>
      </c>
      <c r="L15" s="1275"/>
      <c r="M15" s="1308"/>
      <c r="N15" s="1309">
        <f>SUM(C15:L15)</f>
        <v>3422216519.1599998</v>
      </c>
    </row>
    <row r="16" spans="1:16" ht="15" customHeight="1">
      <c r="A16" s="1300" t="s">
        <v>517</v>
      </c>
      <c r="B16" s="1300"/>
      <c r="C16" s="1275">
        <v>257819074.40000001</v>
      </c>
      <c r="D16" s="1300"/>
      <c r="E16" s="1275">
        <v>303187529.44999999</v>
      </c>
      <c r="F16" s="1300"/>
      <c r="G16" s="1275">
        <v>261374155.15000001</v>
      </c>
      <c r="H16" s="1300"/>
      <c r="I16" s="1275">
        <v>84047137.429999992</v>
      </c>
      <c r="J16" s="1300"/>
      <c r="K16" s="1275">
        <v>55082569.149999999</v>
      </c>
      <c r="L16" s="1275"/>
      <c r="M16" s="1308"/>
      <c r="N16" s="1309">
        <f t="shared" ref="N16:N21" si="0">SUM(C16:L16)</f>
        <v>961510465.57999992</v>
      </c>
    </row>
    <row r="17" spans="1:21" ht="15" customHeight="1">
      <c r="A17" s="1300" t="s">
        <v>518</v>
      </c>
      <c r="B17" s="1300"/>
      <c r="C17" s="1275">
        <v>33710660.469999999</v>
      </c>
      <c r="D17" s="1300"/>
      <c r="E17" s="1275">
        <v>38718319.009999998</v>
      </c>
      <c r="F17" s="1300"/>
      <c r="G17" s="1275">
        <v>27667375.620000001</v>
      </c>
      <c r="H17" s="1300"/>
      <c r="I17" s="1275">
        <v>9255798.3200000003</v>
      </c>
      <c r="J17" s="1300"/>
      <c r="K17" s="1275">
        <v>5844413.8499999996</v>
      </c>
      <c r="L17" s="1275"/>
      <c r="M17" s="1308"/>
      <c r="N17" s="1309">
        <f t="shared" si="0"/>
        <v>115196567.26999998</v>
      </c>
    </row>
    <row r="18" spans="1:21" ht="15" customHeight="1">
      <c r="A18" s="1300" t="s">
        <v>519</v>
      </c>
      <c r="B18" s="1300"/>
      <c r="C18" s="1275">
        <v>101375334</v>
      </c>
      <c r="D18" s="1300"/>
      <c r="E18" s="1275">
        <v>108247260</v>
      </c>
      <c r="F18" s="1300"/>
      <c r="G18" s="1275">
        <v>107445313</v>
      </c>
      <c r="H18" s="1300"/>
      <c r="I18" s="1275">
        <v>34115797</v>
      </c>
      <c r="J18" s="1300"/>
      <c r="K18" s="1275">
        <v>35874233</v>
      </c>
      <c r="L18" s="1275"/>
      <c r="M18" s="1308"/>
      <c r="N18" s="1309">
        <f t="shared" si="0"/>
        <v>387057937</v>
      </c>
    </row>
    <row r="19" spans="1:21" s="1512" customFormat="1" ht="18" customHeight="1">
      <c r="A19" s="1513" t="s">
        <v>520</v>
      </c>
      <c r="B19" s="1300"/>
      <c r="C19" s="800">
        <v>0</v>
      </c>
      <c r="D19" s="1300"/>
      <c r="E19" s="800">
        <v>0</v>
      </c>
      <c r="F19" s="1300"/>
      <c r="G19" s="800">
        <v>0</v>
      </c>
      <c r="H19" s="1300"/>
      <c r="I19" s="800">
        <v>0</v>
      </c>
      <c r="J19" s="1300"/>
      <c r="K19" s="800">
        <v>0</v>
      </c>
      <c r="L19" s="800"/>
      <c r="M19" s="1308"/>
      <c r="N19" s="1309">
        <f t="shared" si="0"/>
        <v>0</v>
      </c>
      <c r="O19" s="1302"/>
      <c r="P19" s="1302"/>
    </row>
    <row r="20" spans="1:21" ht="15" customHeight="1">
      <c r="A20" s="1300" t="s">
        <v>521</v>
      </c>
      <c r="B20" s="1300"/>
      <c r="C20" s="1275">
        <v>214148.16</v>
      </c>
      <c r="D20" s="1300"/>
      <c r="E20" s="1275">
        <v>222300.29</v>
      </c>
      <c r="F20" s="1300"/>
      <c r="G20" s="1275">
        <v>127867.18</v>
      </c>
      <c r="H20" s="1300"/>
      <c r="I20" s="1275">
        <v>38925.17</v>
      </c>
      <c r="J20" s="1300"/>
      <c r="K20" s="1275">
        <v>29150.5</v>
      </c>
      <c r="L20" s="1275"/>
      <c r="M20" s="1308"/>
      <c r="N20" s="1309">
        <f t="shared" si="0"/>
        <v>632391.30000000005</v>
      </c>
    </row>
    <row r="21" spans="1:21" ht="15" customHeight="1">
      <c r="A21" s="1300" t="s">
        <v>522</v>
      </c>
      <c r="B21" s="1300"/>
      <c r="C21" s="2003">
        <v>25420354</v>
      </c>
      <c r="D21" s="1300"/>
      <c r="E21" s="2003">
        <v>-25438913</v>
      </c>
      <c r="F21" s="1300"/>
      <c r="G21" s="2003">
        <v>2006523</v>
      </c>
      <c r="H21" s="1300"/>
      <c r="I21" s="2003">
        <v>9104156.1199999992</v>
      </c>
      <c r="J21" s="1300"/>
      <c r="K21" s="2003">
        <v>-11147586.380000001</v>
      </c>
      <c r="L21" s="1278"/>
      <c r="M21" s="1310"/>
      <c r="N21" s="1309">
        <f t="shared" si="0"/>
        <v>-55466.260000001639</v>
      </c>
      <c r="O21" s="1289"/>
    </row>
    <row r="22" spans="1:21" s="1299" customFormat="1" ht="15.75">
      <c r="A22" s="1303" t="s">
        <v>151</v>
      </c>
      <c r="B22" s="1303"/>
      <c r="C22" s="2004">
        <f>ROUND(SUM(C15:C21),2)</f>
        <v>1320021825.97</v>
      </c>
      <c r="D22" s="1303"/>
      <c r="E22" s="2004">
        <f>ROUND(SUM(E15:E21),2)</f>
        <v>1529072845.47</v>
      </c>
      <c r="F22" s="1303"/>
      <c r="G22" s="2004">
        <f>ROUND(SUM(G15:G21),2)</f>
        <v>1305359712.8699999</v>
      </c>
      <c r="H22" s="1303"/>
      <c r="I22" s="2004">
        <f>ROUND(SUM(I15:I21),2)</f>
        <v>448040911.13999999</v>
      </c>
      <c r="J22" s="1303"/>
      <c r="K22" s="2004">
        <f>ROUND(SUM(K15:K21),2)</f>
        <v>284063118.60000002</v>
      </c>
      <c r="L22" s="2004"/>
      <c r="M22" s="1311"/>
      <c r="N22" s="1937">
        <f>ROUND(SUM(N15:N21),2)</f>
        <v>4886558414.0500002</v>
      </c>
      <c r="O22" s="1313"/>
      <c r="P22" s="1286"/>
    </row>
    <row r="23" spans="1:21" ht="15" customHeight="1">
      <c r="A23" s="1300"/>
      <c r="B23" s="1300"/>
      <c r="C23" s="1307"/>
      <c r="D23" s="1300"/>
      <c r="E23" s="1307"/>
      <c r="F23" s="1300"/>
      <c r="G23" s="1307"/>
      <c r="H23" s="1300"/>
      <c r="I23" s="1307"/>
      <c r="J23" s="1300"/>
      <c r="K23" s="1307"/>
      <c r="L23" s="1309"/>
      <c r="M23" s="1308"/>
      <c r="N23" s="1309"/>
    </row>
    <row r="24" spans="1:21" ht="15" customHeight="1">
      <c r="A24" s="1303" t="s">
        <v>942</v>
      </c>
      <c r="B24" s="1300"/>
      <c r="C24" s="1314"/>
      <c r="D24" s="1300"/>
      <c r="E24" s="1314"/>
      <c r="F24" s="1300"/>
      <c r="G24" s="1314"/>
      <c r="H24" s="1300"/>
      <c r="I24" s="1314"/>
      <c r="J24" s="1300"/>
      <c r="K24" s="1314"/>
      <c r="L24" s="1314"/>
      <c r="M24" s="1308"/>
      <c r="N24" s="1309"/>
    </row>
    <row r="25" spans="1:21" ht="15" customHeight="1">
      <c r="A25" s="1315" t="s">
        <v>523</v>
      </c>
      <c r="B25" s="1300"/>
      <c r="C25" s="1307">
        <v>0</v>
      </c>
      <c r="D25" s="1300"/>
      <c r="E25" s="1307">
        <v>0</v>
      </c>
      <c r="F25" s="1300"/>
      <c r="G25" s="1307">
        <v>-2400000</v>
      </c>
      <c r="H25" s="1300"/>
      <c r="I25" s="1307">
        <v>0</v>
      </c>
      <c r="J25" s="1300"/>
      <c r="K25" s="1307">
        <v>0</v>
      </c>
      <c r="L25" s="1307"/>
      <c r="M25" s="1308"/>
      <c r="N25" s="1309">
        <f>SUM(C25:L25)</f>
        <v>-2400000</v>
      </c>
    </row>
    <row r="26" spans="1:21" ht="15" customHeight="1">
      <c r="A26" s="1315" t="s">
        <v>524</v>
      </c>
      <c r="B26" s="1300"/>
      <c r="C26" s="1307">
        <v>0</v>
      </c>
      <c r="D26" s="1300"/>
      <c r="E26" s="1307">
        <v>0</v>
      </c>
      <c r="F26" s="1300"/>
      <c r="G26" s="1307">
        <v>-4230000</v>
      </c>
      <c r="H26" s="1300"/>
      <c r="I26" s="1307">
        <v>0</v>
      </c>
      <c r="J26" s="1300"/>
      <c r="K26" s="1307">
        <v>0</v>
      </c>
      <c r="L26" s="1307"/>
      <c r="M26" s="1308"/>
      <c r="N26" s="1309">
        <f>SUM(C26:L26)</f>
        <v>-4230000</v>
      </c>
    </row>
    <row r="27" spans="1:21" ht="15" customHeight="1">
      <c r="A27" s="1315" t="s">
        <v>525</v>
      </c>
      <c r="B27" s="1300"/>
      <c r="C27" s="1307">
        <v>0</v>
      </c>
      <c r="D27" s="1300"/>
      <c r="E27" s="1307">
        <v>0</v>
      </c>
      <c r="F27" s="1300"/>
      <c r="G27" s="1307">
        <v>-3444996</v>
      </c>
      <c r="H27" s="1300"/>
      <c r="I27" s="1307">
        <v>0</v>
      </c>
      <c r="J27" s="1300"/>
      <c r="K27" s="1307">
        <v>0</v>
      </c>
      <c r="L27" s="1307"/>
      <c r="M27" s="1310"/>
      <c r="N27" s="1309">
        <f>SUM(C27:L27)</f>
        <v>-3444996</v>
      </c>
    </row>
    <row r="28" spans="1:21" ht="15.75">
      <c r="A28" s="1291" t="s">
        <v>985</v>
      </c>
      <c r="B28" s="1303"/>
      <c r="C28" s="1937">
        <f>ROUND(SUM(C25:C27),2)</f>
        <v>0</v>
      </c>
      <c r="D28" s="1303"/>
      <c r="E28" s="1937">
        <f>ROUND(SUM(E25:E27),2)</f>
        <v>0</v>
      </c>
      <c r="F28" s="1303"/>
      <c r="G28" s="1937">
        <f>ROUND(SUM(G25:G27),2)</f>
        <v>-10074996</v>
      </c>
      <c r="H28" s="1303"/>
      <c r="I28" s="1937">
        <f>ROUND(SUM(I25:I27),2)</f>
        <v>0</v>
      </c>
      <c r="J28" s="1303"/>
      <c r="K28" s="1937">
        <f>ROUND(SUM(K25:K27),2)</f>
        <v>0</v>
      </c>
      <c r="L28" s="1312"/>
      <c r="M28" s="1311"/>
      <c r="N28" s="1937">
        <f>ROUND(SUM(N25:N27),2)</f>
        <v>-10074996</v>
      </c>
    </row>
    <row r="29" spans="1:21" ht="15" customHeight="1">
      <c r="A29" s="1300"/>
      <c r="B29" s="1300"/>
      <c r="C29" s="1307"/>
      <c r="D29" s="1300"/>
      <c r="E29" s="1307"/>
      <c r="F29" s="1300"/>
      <c r="G29" s="1307"/>
      <c r="H29" s="1300"/>
      <c r="I29" s="1307"/>
      <c r="J29" s="1300"/>
      <c r="K29" s="1307"/>
      <c r="L29" s="1307"/>
      <c r="M29" s="1308"/>
      <c r="N29" s="1309"/>
    </row>
    <row r="30" spans="1:21" ht="15" customHeight="1">
      <c r="A30" s="1303" t="s">
        <v>526</v>
      </c>
      <c r="B30" s="1303"/>
      <c r="C30" s="2283">
        <f>ROUND(+C22+C28,2)</f>
        <v>1320021825.97</v>
      </c>
      <c r="D30" s="1303"/>
      <c r="E30" s="2283">
        <f>ROUND(+E22+E28,2)</f>
        <v>1529072845.47</v>
      </c>
      <c r="F30" s="1303"/>
      <c r="G30" s="2283">
        <f>ROUND(+G22+G28,2)</f>
        <v>1295284716.8699999</v>
      </c>
      <c r="H30" s="1303"/>
      <c r="I30" s="2283">
        <f>ROUND(+I22+I28,2)</f>
        <v>448040911.13999999</v>
      </c>
      <c r="J30" s="1303"/>
      <c r="K30" s="2283">
        <f>ROUND(+K22+K28,2)</f>
        <v>284063118.60000002</v>
      </c>
      <c r="L30" s="1312"/>
      <c r="M30" s="1316"/>
      <c r="N30" s="1312">
        <f>ROUND(+N22+N28,2)</f>
        <v>4876483418.0500002</v>
      </c>
    </row>
    <row r="31" spans="1:21" ht="15" customHeight="1">
      <c r="A31" s="1300"/>
      <c r="B31" s="1300"/>
      <c r="C31" s="1309"/>
      <c r="D31" s="1300"/>
      <c r="E31" s="1309"/>
      <c r="F31" s="1300"/>
      <c r="G31" s="1309"/>
      <c r="H31" s="1300"/>
      <c r="I31" s="1309"/>
      <c r="J31" s="1300"/>
      <c r="K31" s="1309"/>
      <c r="L31" s="1309"/>
      <c r="M31" s="1308"/>
      <c r="N31" s="1938"/>
      <c r="O31" s="1289"/>
      <c r="P31" s="1289"/>
      <c r="Q31" s="1317"/>
      <c r="R31" s="1317"/>
      <c r="S31" s="1317"/>
      <c r="T31" s="1317"/>
      <c r="U31" s="1317"/>
    </row>
    <row r="32" spans="1:21" ht="15" customHeight="1">
      <c r="A32" s="1303" t="s">
        <v>46</v>
      </c>
      <c r="B32" s="1300"/>
      <c r="C32" s="1309"/>
      <c r="D32" s="1300"/>
      <c r="E32" s="1309"/>
      <c r="F32" s="1300"/>
      <c r="G32" s="1309"/>
      <c r="H32" s="1300"/>
      <c r="I32" s="1309"/>
      <c r="J32" s="1300"/>
      <c r="K32" s="1309"/>
      <c r="L32" s="1309"/>
      <c r="M32" s="1308"/>
      <c r="N32" s="1309"/>
      <c r="O32" s="1289"/>
      <c r="P32" s="1289"/>
      <c r="Q32" s="1317"/>
      <c r="R32" s="1317"/>
      <c r="S32" s="1317"/>
      <c r="T32" s="1317"/>
      <c r="U32" s="1317"/>
    </row>
    <row r="33" spans="1:21" ht="15" customHeight="1">
      <c r="A33" s="1303" t="s">
        <v>888</v>
      </c>
      <c r="B33" s="1300"/>
      <c r="C33" s="1309"/>
      <c r="D33" s="1300"/>
      <c r="E33" s="1309"/>
      <c r="F33" s="1300"/>
      <c r="G33" s="1309"/>
      <c r="H33" s="1300"/>
      <c r="I33" s="1309"/>
      <c r="J33" s="1300"/>
      <c r="K33" s="1309"/>
      <c r="L33" s="1309"/>
      <c r="M33" s="1308"/>
      <c r="N33" s="1309"/>
      <c r="O33" s="1289"/>
      <c r="P33" s="1289"/>
      <c r="Q33" s="1317"/>
      <c r="R33" s="1317"/>
      <c r="S33" s="1317"/>
      <c r="T33" s="1317"/>
      <c r="U33" s="1317"/>
    </row>
    <row r="34" spans="1:21" ht="15" customHeight="1">
      <c r="A34" s="1300" t="s">
        <v>527</v>
      </c>
      <c r="B34" s="1300"/>
      <c r="C34" s="1275">
        <v>0</v>
      </c>
      <c r="D34" s="1300"/>
      <c r="E34" s="1275">
        <v>0</v>
      </c>
      <c r="F34" s="1300"/>
      <c r="G34" s="1275">
        <v>0</v>
      </c>
      <c r="H34" s="1300"/>
      <c r="I34" s="1275">
        <v>0</v>
      </c>
      <c r="J34" s="1300"/>
      <c r="K34" s="1275">
        <v>0</v>
      </c>
      <c r="L34" s="1275"/>
      <c r="M34" s="1308"/>
      <c r="N34" s="1309">
        <f>SUM(C34:L34)</f>
        <v>0</v>
      </c>
      <c r="O34" s="1289"/>
      <c r="P34" s="1289"/>
      <c r="Q34" s="1317"/>
      <c r="R34" s="1317"/>
      <c r="S34" s="1317"/>
      <c r="T34" s="1317"/>
      <c r="U34" s="1317"/>
    </row>
    <row r="35" spans="1:21" ht="15" customHeight="1">
      <c r="A35" s="1315" t="s">
        <v>528</v>
      </c>
      <c r="B35" s="1300"/>
      <c r="C35" s="1275">
        <v>12273811</v>
      </c>
      <c r="D35" s="1300"/>
      <c r="E35" s="1275">
        <v>12910960</v>
      </c>
      <c r="F35" s="1300"/>
      <c r="G35" s="1275">
        <v>12842986</v>
      </c>
      <c r="H35" s="1300"/>
      <c r="I35" s="1275">
        <v>4239323</v>
      </c>
      <c r="J35" s="1300"/>
      <c r="K35" s="1275">
        <v>4382154</v>
      </c>
      <c r="L35" s="1275"/>
      <c r="M35" s="1308"/>
      <c r="N35" s="1309">
        <f>SUM(C35:L35)</f>
        <v>46649234</v>
      </c>
      <c r="O35" s="1289"/>
      <c r="P35" s="1289"/>
      <c r="Q35" s="1317"/>
      <c r="R35" s="1317"/>
      <c r="S35" s="1317"/>
      <c r="T35" s="1317"/>
      <c r="U35" s="1317"/>
    </row>
    <row r="36" spans="1:21" ht="15" customHeight="1">
      <c r="A36" s="1303" t="s">
        <v>529</v>
      </c>
      <c r="B36" s="1300"/>
      <c r="C36" s="1309"/>
      <c r="D36" s="1300"/>
      <c r="E36" s="1309"/>
      <c r="F36" s="1300"/>
      <c r="G36" s="1309"/>
      <c r="H36" s="1300"/>
      <c r="I36" s="1309"/>
      <c r="J36" s="1300"/>
      <c r="K36" s="1309"/>
      <c r="L36" s="1309"/>
      <c r="M36" s="1308"/>
      <c r="N36" s="1309"/>
      <c r="O36" s="1289"/>
      <c r="P36" s="1289"/>
      <c r="Q36" s="1317"/>
      <c r="R36" s="1317"/>
      <c r="S36" s="1317"/>
      <c r="T36" s="1317"/>
      <c r="U36" s="1317"/>
    </row>
    <row r="37" spans="1:21" ht="15" customHeight="1">
      <c r="A37" s="1267" t="s">
        <v>530</v>
      </c>
      <c r="B37" s="1300"/>
      <c r="C37" s="1318">
        <v>0</v>
      </c>
      <c r="D37" s="1300"/>
      <c r="E37" s="1318">
        <v>0</v>
      </c>
      <c r="F37" s="1300"/>
      <c r="G37" s="1318">
        <v>10074996</v>
      </c>
      <c r="H37" s="1300"/>
      <c r="I37" s="1318">
        <v>0</v>
      </c>
      <c r="J37" s="1300"/>
      <c r="K37" s="1318">
        <v>0</v>
      </c>
      <c r="L37" s="1318"/>
      <c r="M37" s="1308"/>
      <c r="N37" s="1309">
        <f>SUM(C37:L37)</f>
        <v>10074996</v>
      </c>
      <c r="O37" s="1289"/>
      <c r="P37" s="1289"/>
      <c r="Q37" s="1317"/>
      <c r="R37" s="1317"/>
      <c r="S37" s="1317"/>
      <c r="T37" s="1317"/>
      <c r="U37" s="1317"/>
    </row>
    <row r="38" spans="1:21" s="1299" customFormat="1" ht="15.75">
      <c r="A38" s="1303" t="s">
        <v>531</v>
      </c>
      <c r="B38" s="1303"/>
      <c r="C38" s="1937">
        <f>ROUND(SUM(C34:C37),2)</f>
        <v>12273811</v>
      </c>
      <c r="D38" s="1303"/>
      <c r="E38" s="1937">
        <f>ROUND(SUM(E34:E37),2)</f>
        <v>12910960</v>
      </c>
      <c r="F38" s="1303"/>
      <c r="G38" s="1937">
        <f>ROUND(SUM(G34:G37),2)</f>
        <v>22917982</v>
      </c>
      <c r="H38" s="1303"/>
      <c r="I38" s="1937">
        <f>ROUND(SUM(I34:I37),2)</f>
        <v>4239323</v>
      </c>
      <c r="J38" s="1303"/>
      <c r="K38" s="1937">
        <f>ROUND(SUM(K34:K37),2)</f>
        <v>4382154</v>
      </c>
      <c r="L38" s="1312"/>
      <c r="M38" s="1311"/>
      <c r="N38" s="1937">
        <f>ROUND(SUM(N34:N37),2)</f>
        <v>56724230</v>
      </c>
      <c r="O38" s="1313"/>
      <c r="P38" s="1313"/>
      <c r="Q38" s="1319"/>
      <c r="R38" s="1319"/>
      <c r="S38" s="1319"/>
      <c r="T38" s="1319"/>
      <c r="U38" s="1319"/>
    </row>
    <row r="39" spans="1:21" ht="15" customHeight="1">
      <c r="A39" s="1300"/>
      <c r="B39" s="1300"/>
      <c r="C39" s="1307"/>
      <c r="D39" s="1300"/>
      <c r="E39" s="1307"/>
      <c r="F39" s="1300"/>
      <c r="G39" s="1307"/>
      <c r="H39" s="1300"/>
      <c r="I39" s="1307"/>
      <c r="J39" s="1300"/>
      <c r="K39" s="1307"/>
      <c r="L39" s="1307"/>
      <c r="M39" s="1308"/>
      <c r="N39" s="1309"/>
      <c r="O39" s="1289"/>
      <c r="P39" s="1289"/>
      <c r="Q39" s="1317"/>
      <c r="R39" s="1317"/>
      <c r="S39" s="1317"/>
      <c r="T39" s="1317"/>
      <c r="U39" s="1317"/>
    </row>
    <row r="40" spans="1:21" ht="15" customHeight="1">
      <c r="A40" s="1303" t="s">
        <v>943</v>
      </c>
      <c r="B40" s="1300"/>
      <c r="C40" s="1307"/>
      <c r="D40" s="1300"/>
      <c r="E40" s="1307"/>
      <c r="F40" s="1300"/>
      <c r="G40" s="1307"/>
      <c r="H40" s="1300"/>
      <c r="I40" s="1307"/>
      <c r="J40" s="1300"/>
      <c r="K40" s="1307"/>
      <c r="L40" s="1307"/>
      <c r="M40" s="1308"/>
      <c r="N40" s="1309"/>
      <c r="O40" s="1289"/>
      <c r="P40" s="1289"/>
      <c r="Q40" s="1317"/>
      <c r="R40" s="1317"/>
      <c r="S40" s="1317"/>
      <c r="T40" s="1317"/>
      <c r="U40" s="1317"/>
    </row>
    <row r="41" spans="1:21" ht="15" customHeight="1">
      <c r="A41" s="1300" t="s">
        <v>527</v>
      </c>
      <c r="B41" s="1300"/>
      <c r="C41" s="1268">
        <v>0</v>
      </c>
      <c r="D41" s="1300"/>
      <c r="E41" s="1268">
        <v>0</v>
      </c>
      <c r="F41" s="1300"/>
      <c r="G41" s="1268">
        <v>0</v>
      </c>
      <c r="H41" s="1300"/>
      <c r="I41" s="1268">
        <v>0</v>
      </c>
      <c r="J41" s="1300"/>
      <c r="K41" s="1268">
        <v>0</v>
      </c>
      <c r="L41" s="1268"/>
      <c r="M41" s="1308"/>
      <c r="N41" s="1309">
        <f>SUM(C41:L41)</f>
        <v>0</v>
      </c>
      <c r="O41" s="1289"/>
      <c r="P41" s="1289"/>
      <c r="Q41" s="1317"/>
      <c r="R41" s="1317"/>
      <c r="S41" s="1317"/>
      <c r="T41" s="1317"/>
      <c r="U41" s="1317"/>
    </row>
    <row r="42" spans="1:21" ht="15" customHeight="1">
      <c r="A42" s="1300" t="s">
        <v>532</v>
      </c>
      <c r="B42" s="1300"/>
      <c r="C42" s="1307">
        <v>0</v>
      </c>
      <c r="D42" s="1300"/>
      <c r="E42" s="1307">
        <v>0</v>
      </c>
      <c r="F42" s="1300"/>
      <c r="G42" s="1307">
        <v>0</v>
      </c>
      <c r="H42" s="1300"/>
      <c r="I42" s="1307">
        <v>0</v>
      </c>
      <c r="J42" s="1300"/>
      <c r="K42" s="1307">
        <v>0</v>
      </c>
      <c r="L42" s="1307"/>
      <c r="M42" s="1308"/>
      <c r="N42" s="1309">
        <f>SUM(C42:L42)</f>
        <v>0</v>
      </c>
      <c r="O42" s="1289"/>
      <c r="P42" s="1289"/>
      <c r="Q42" s="1317"/>
      <c r="R42" s="1317"/>
      <c r="S42" s="1317"/>
      <c r="T42" s="1317"/>
      <c r="U42" s="1317"/>
    </row>
    <row r="43" spans="1:21" ht="15" customHeight="1">
      <c r="A43" s="1303" t="s">
        <v>944</v>
      </c>
      <c r="B43" s="1300"/>
      <c r="C43" s="1307"/>
      <c r="D43" s="1300"/>
      <c r="E43" s="1307"/>
      <c r="F43" s="1300"/>
      <c r="G43" s="1307"/>
      <c r="H43" s="1300"/>
      <c r="I43" s="1307"/>
      <c r="J43" s="1300"/>
      <c r="K43" s="1307"/>
      <c r="L43" s="1307"/>
      <c r="M43" s="1308"/>
      <c r="N43" s="1309"/>
      <c r="O43" s="1289"/>
      <c r="P43" s="1289"/>
      <c r="Q43" s="1317"/>
      <c r="R43" s="1317"/>
      <c r="S43" s="1317"/>
      <c r="T43" s="1317"/>
      <c r="U43" s="1317"/>
    </row>
    <row r="44" spans="1:21" ht="15" customHeight="1">
      <c r="A44" s="1315" t="s">
        <v>530</v>
      </c>
      <c r="B44" s="1300"/>
      <c r="C44" s="1275">
        <v>-1211212716.7199998</v>
      </c>
      <c r="D44" s="1300"/>
      <c r="E44" s="1275">
        <v>-1061871734.4300001</v>
      </c>
      <c r="F44" s="1300"/>
      <c r="G44" s="1275">
        <v>-1136233577.6799998</v>
      </c>
      <c r="H44" s="1300"/>
      <c r="I44" s="1275">
        <v>-394234112.12999994</v>
      </c>
      <c r="J44" s="1300"/>
      <c r="K44" s="1275">
        <v>-384548582.09999996</v>
      </c>
      <c r="L44" s="1275"/>
      <c r="M44" s="1308"/>
      <c r="N44" s="1309">
        <f>SUM(C44:L44)</f>
        <v>-4188100723.0599995</v>
      </c>
      <c r="O44" s="1289"/>
      <c r="P44" s="1289"/>
      <c r="Q44" s="1317"/>
      <c r="R44" s="1317"/>
      <c r="S44" s="1317"/>
      <c r="T44" s="1317"/>
      <c r="U44" s="1317"/>
    </row>
    <row r="45" spans="1:21" ht="15" customHeight="1">
      <c r="A45" s="1300" t="s">
        <v>1314</v>
      </c>
      <c r="B45" s="1300"/>
      <c r="C45" s="1275">
        <v>-189777239.46000004</v>
      </c>
      <c r="D45" s="1300"/>
      <c r="E45" s="1275">
        <v>-325895043.33000004</v>
      </c>
      <c r="F45" s="1300"/>
      <c r="G45" s="1275">
        <v>-168654356.44000003</v>
      </c>
      <c r="H45" s="1300"/>
      <c r="I45" s="1275">
        <v>-82349151.89000003</v>
      </c>
      <c r="J45" s="1300"/>
      <c r="K45" s="1275">
        <v>-61745762.880000032</v>
      </c>
      <c r="L45" s="1275"/>
      <c r="M45" s="1308"/>
      <c r="N45" s="1309">
        <f>SUM(C45:L45)</f>
        <v>-828421554.00000012</v>
      </c>
      <c r="O45" s="1289"/>
      <c r="P45" s="1289"/>
      <c r="Q45" s="1317"/>
      <c r="R45" s="1317"/>
      <c r="S45" s="1317"/>
      <c r="T45" s="1317"/>
      <c r="U45" s="1317"/>
    </row>
    <row r="46" spans="1:21" ht="15" customHeight="1">
      <c r="A46" s="1300" t="s">
        <v>1315</v>
      </c>
      <c r="B46" s="1300"/>
      <c r="C46" s="2005">
        <v>930888.21</v>
      </c>
      <c r="D46" s="1300"/>
      <c r="E46" s="2005">
        <v>-22078117.129999988</v>
      </c>
      <c r="F46" s="1300"/>
      <c r="G46" s="2005">
        <v>114215.32999999999</v>
      </c>
      <c r="H46" s="1300"/>
      <c r="I46" s="2005">
        <v>-4714168.66</v>
      </c>
      <c r="J46" s="1300"/>
      <c r="K46" s="2005">
        <v>236537.88000000003</v>
      </c>
      <c r="L46" s="1309"/>
      <c r="M46" s="1308"/>
      <c r="N46" s="1309">
        <f>SUM(C46:L46)</f>
        <v>-25510644.36999999</v>
      </c>
      <c r="O46" s="1289"/>
      <c r="P46" s="1289"/>
      <c r="Q46" s="1317"/>
      <c r="R46" s="1317"/>
      <c r="S46" s="1317"/>
      <c r="T46" s="1317"/>
      <c r="U46" s="1317"/>
    </row>
    <row r="47" spans="1:21" ht="15.75">
      <c r="A47" s="1303" t="s">
        <v>533</v>
      </c>
      <c r="B47" s="1303"/>
      <c r="C47" s="1937">
        <f>ROUND(SUM(C41:C46),2)</f>
        <v>-1400059067.97</v>
      </c>
      <c r="D47" s="1303"/>
      <c r="E47" s="1937">
        <f>ROUND(SUM(E41:E46),2)</f>
        <v>-1409844894.8900001</v>
      </c>
      <c r="F47" s="1303"/>
      <c r="G47" s="1937">
        <f>ROUND(SUM(G41:G46),2)</f>
        <v>-1304773718.79</v>
      </c>
      <c r="H47" s="1303"/>
      <c r="I47" s="1937">
        <f>ROUND(SUM(I41:I46),2)</f>
        <v>-481297432.68000001</v>
      </c>
      <c r="J47" s="1303"/>
      <c r="K47" s="1937">
        <f>ROUND(SUM(K41:K46),2)</f>
        <v>-446057807.10000002</v>
      </c>
      <c r="L47" s="1312"/>
      <c r="M47" s="1311"/>
      <c r="N47" s="1937">
        <f>ROUND(SUM(N41:N46),2)</f>
        <v>-5042032921.4300003</v>
      </c>
      <c r="O47" s="1289"/>
      <c r="P47" s="1289"/>
      <c r="Q47" s="1317"/>
      <c r="R47" s="1317"/>
      <c r="S47" s="1317"/>
      <c r="T47" s="1317"/>
      <c r="U47" s="1317"/>
    </row>
    <row r="48" spans="1:21" ht="15" customHeight="1">
      <c r="A48" s="1300"/>
      <c r="B48" s="1300"/>
      <c r="C48" s="1307"/>
      <c r="D48" s="1300"/>
      <c r="E48" s="1307"/>
      <c r="F48" s="1300"/>
      <c r="G48" s="1307"/>
      <c r="H48" s="1300"/>
      <c r="I48" s="1307"/>
      <c r="J48" s="1300"/>
      <c r="K48" s="1307"/>
      <c r="L48" s="1307"/>
      <c r="M48" s="1308"/>
      <c r="N48" s="1309"/>
      <c r="O48" s="1289"/>
      <c r="P48" s="1289"/>
      <c r="Q48" s="1317"/>
      <c r="R48" s="1317"/>
      <c r="S48" s="1317"/>
      <c r="T48" s="1317"/>
      <c r="U48" s="1317"/>
    </row>
    <row r="49" spans="1:21" ht="15" customHeight="1">
      <c r="A49" s="1303" t="s">
        <v>534</v>
      </c>
      <c r="B49" s="1300"/>
      <c r="C49" s="1307"/>
      <c r="D49" s="1300"/>
      <c r="E49" s="1307"/>
      <c r="F49" s="1300"/>
      <c r="G49" s="1307"/>
      <c r="H49" s="1300"/>
      <c r="I49" s="1307"/>
      <c r="J49" s="1300"/>
      <c r="K49" s="1307"/>
      <c r="L49" s="1307"/>
      <c r="M49" s="1308"/>
      <c r="N49" s="1309"/>
      <c r="O49" s="1289"/>
      <c r="P49" s="1289"/>
      <c r="Q49" s="1317"/>
      <c r="R49" s="1317"/>
      <c r="S49" s="1317"/>
      <c r="T49" s="1317"/>
      <c r="U49" s="1317"/>
    </row>
    <row r="50" spans="1:21" ht="15" customHeight="1">
      <c r="A50" s="1303" t="s">
        <v>535</v>
      </c>
      <c r="B50" s="1300"/>
      <c r="C50" s="2004">
        <f>ROUND(+C30+C38+C47,2)</f>
        <v>-67763431</v>
      </c>
      <c r="D50" s="1300"/>
      <c r="E50" s="2004">
        <f>ROUND(+E30+E38+E47,2)</f>
        <v>132138910.58</v>
      </c>
      <c r="F50" s="1300"/>
      <c r="G50" s="2004">
        <f>ROUND(+G30+G38+G47,2)</f>
        <v>13428980.08</v>
      </c>
      <c r="H50" s="1300"/>
      <c r="I50" s="2004">
        <f>ROUND(+I30+I38+I47,2)</f>
        <v>-29017198.539999999</v>
      </c>
      <c r="J50" s="1300"/>
      <c r="K50" s="2004">
        <f>ROUND(+K30+K38+K47,2)</f>
        <v>-157612534.5</v>
      </c>
      <c r="L50" s="1312"/>
      <c r="M50" s="1316"/>
      <c r="N50" s="2004">
        <f>ROUND(+N30+N38+N47,2)</f>
        <v>-108825273.38</v>
      </c>
      <c r="O50" s="1289"/>
      <c r="P50" s="1289"/>
      <c r="Q50" s="1317"/>
      <c r="R50" s="1317"/>
      <c r="S50" s="1317"/>
      <c r="T50" s="1317"/>
      <c r="U50" s="1317"/>
    </row>
    <row r="51" spans="1:21" ht="15" customHeight="1">
      <c r="A51" s="1300"/>
      <c r="B51" s="1300"/>
      <c r="C51" s="1302"/>
      <c r="D51" s="1300"/>
      <c r="E51" s="1302"/>
      <c r="F51" s="1300"/>
      <c r="G51" s="1302"/>
      <c r="H51" s="1300"/>
      <c r="I51" s="1302"/>
      <c r="J51" s="1300"/>
      <c r="K51" s="1302"/>
      <c r="L51" s="1302"/>
      <c r="M51" s="1320"/>
      <c r="N51" s="1309"/>
      <c r="O51" s="1289"/>
      <c r="P51" s="1289"/>
      <c r="Q51" s="1317"/>
      <c r="R51" s="1317"/>
      <c r="S51" s="1317"/>
      <c r="T51" s="1317"/>
      <c r="U51" s="1317"/>
    </row>
    <row r="52" spans="1:21" s="1299" customFormat="1" ht="21" customHeight="1" thickBot="1">
      <c r="A52" s="1303" t="s">
        <v>536</v>
      </c>
      <c r="B52" s="1303"/>
      <c r="C52" s="2282">
        <f>ROUND(C12+C50,2)</f>
        <v>217136341.69999999</v>
      </c>
      <c r="D52" s="1303"/>
      <c r="E52" s="2282">
        <f>ROUND(E12+E50,2)</f>
        <v>349275252.27999997</v>
      </c>
      <c r="F52" s="1303"/>
      <c r="G52" s="2282">
        <f>ROUND(G12+G50,2)</f>
        <v>362704232.36000001</v>
      </c>
      <c r="H52" s="1303"/>
      <c r="I52" s="2282">
        <f>ROUND(I12+I50,2)</f>
        <v>333687033.81999999</v>
      </c>
      <c r="J52" s="1303"/>
      <c r="K52" s="2282">
        <f>ROUND(K12+K50,2)</f>
        <v>176074499.31999999</v>
      </c>
      <c r="L52" s="1383"/>
      <c r="M52" s="1321"/>
      <c r="N52" s="1383">
        <f>ROUND(N12+N50,2)</f>
        <v>176074499.31999999</v>
      </c>
      <c r="O52" s="1286"/>
      <c r="P52" s="1286"/>
    </row>
    <row r="53" spans="1:21" ht="15" customHeight="1" thickTop="1">
      <c r="A53" s="1300" t="s">
        <v>15</v>
      </c>
      <c r="B53" s="1300"/>
      <c r="C53" s="1292"/>
      <c r="D53" s="1300"/>
      <c r="E53" s="1292"/>
      <c r="F53" s="1300"/>
      <c r="G53" s="1292"/>
      <c r="H53" s="1300"/>
      <c r="I53" s="1292"/>
      <c r="J53" s="1300"/>
      <c r="K53" s="1292"/>
      <c r="L53" s="1292"/>
      <c r="M53" s="1292"/>
      <c r="N53" s="1322"/>
    </row>
    <row r="54" spans="1:21" ht="15" customHeight="1">
      <c r="A54" s="1283" t="s">
        <v>537</v>
      </c>
    </row>
    <row r="55" spans="1:21" ht="15" customHeight="1">
      <c r="A55" s="1323"/>
    </row>
  </sheetData>
  <pageMargins left="0.24" right="0.24" top="0.5" bottom="0.5" header="0.18" footer="0.25"/>
  <pageSetup scale="58"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6"/>
  <sheetViews>
    <sheetView showGridLines="0" zoomScale="90" zoomScaleNormal="90" workbookViewId="0"/>
  </sheetViews>
  <sheetFormatPr defaultColWidth="8.88671875" defaultRowHeight="15.75"/>
  <cols>
    <col min="1" max="1" width="3.5546875" style="1525" customWidth="1"/>
    <col min="2" max="2" width="8.44140625" style="1526" customWidth="1"/>
    <col min="3" max="3" width="12.109375" style="1526" customWidth="1"/>
    <col min="4" max="4" width="15" style="1527" customWidth="1"/>
    <col min="5" max="5" width="15.109375" style="1524" customWidth="1"/>
    <col min="6" max="6" width="10.44140625" style="1525" customWidth="1"/>
    <col min="7" max="7" width="10.109375" style="1525" customWidth="1"/>
    <col min="8" max="8" width="9.109375" style="1591" customWidth="1"/>
    <col min="9" max="9" width="5.5546875" style="1523" customWidth="1"/>
    <col min="10" max="10" width="9.109375" style="1523" customWidth="1"/>
    <col min="11" max="11" width="8.109375" style="1524" customWidth="1"/>
    <col min="12" max="12" width="16" style="1524" customWidth="1"/>
    <col min="13" max="13" width="12.109375" style="1524" customWidth="1"/>
    <col min="14" max="14" width="5.44140625" style="1524" customWidth="1"/>
    <col min="15" max="15" width="18.88671875" style="1593" customWidth="1"/>
    <col min="16" max="16" width="4.88671875" style="1593" customWidth="1"/>
    <col min="17" max="17" width="8" style="1593" customWidth="1"/>
    <col min="18" max="18" width="3.88671875" style="1593" customWidth="1"/>
    <col min="19" max="19" width="13.109375" style="1593" customWidth="1"/>
    <col min="20" max="21" width="12.109375" style="1593" customWidth="1"/>
    <col min="22" max="16384" width="8.88671875" style="1593"/>
  </cols>
  <sheetData>
    <row r="1" spans="1:20">
      <c r="A1" s="653" t="s">
        <v>979</v>
      </c>
    </row>
    <row r="2" spans="1:20">
      <c r="A2" s="555" t="s">
        <v>792</v>
      </c>
      <c r="B2" s="556"/>
      <c r="C2" s="557"/>
      <c r="D2" s="558"/>
      <c r="E2" s="1591"/>
      <c r="F2" s="1591"/>
      <c r="G2" s="1591"/>
      <c r="I2" s="559"/>
      <c r="J2" s="559"/>
      <c r="K2" s="1591"/>
      <c r="L2" s="1591"/>
      <c r="M2" s="1591"/>
      <c r="N2" s="560"/>
      <c r="O2" s="895" t="s">
        <v>974</v>
      </c>
      <c r="Q2" s="562"/>
      <c r="R2" s="562"/>
      <c r="S2" s="563"/>
      <c r="T2" s="564"/>
    </row>
    <row r="3" spans="1:20" ht="12.75" customHeight="1">
      <c r="A3" s="556"/>
      <c r="B3" s="556"/>
      <c r="C3" s="557"/>
      <c r="D3" s="558"/>
      <c r="E3" s="1591"/>
      <c r="F3" s="1591"/>
      <c r="G3" s="1591"/>
      <c r="I3" s="1526"/>
      <c r="J3" s="1526"/>
      <c r="K3" s="1527"/>
      <c r="M3" s="1525"/>
      <c r="N3" s="1525"/>
      <c r="O3" s="896" t="s">
        <v>1588</v>
      </c>
      <c r="T3" s="564"/>
    </row>
    <row r="4" spans="1:20" ht="9" customHeight="1">
      <c r="B4" s="1662"/>
      <c r="C4" s="1662"/>
      <c r="D4" s="1657"/>
      <c r="E4" s="1658"/>
      <c r="F4" s="1659"/>
      <c r="G4" s="1659"/>
      <c r="H4" s="572"/>
      <c r="I4" s="676"/>
      <c r="J4" s="676"/>
      <c r="K4" s="1658"/>
      <c r="L4" s="1658"/>
      <c r="M4" s="1658"/>
      <c r="N4" s="1658"/>
      <c r="O4" s="1664"/>
      <c r="P4" s="1664"/>
      <c r="T4" s="564"/>
    </row>
    <row r="5" spans="1:20" ht="13.5" customHeight="1">
      <c r="T5" s="564"/>
    </row>
    <row r="6" spans="1:20" ht="13.5" customHeight="1">
      <c r="A6" s="565" t="s">
        <v>793</v>
      </c>
      <c r="B6" s="1592" t="s">
        <v>794</v>
      </c>
      <c r="C6" s="1592"/>
      <c r="D6" s="1592"/>
      <c r="E6" s="572"/>
      <c r="F6" s="572"/>
      <c r="G6" s="572"/>
      <c r="I6" s="1688" t="s">
        <v>1458</v>
      </c>
      <c r="J6" s="1526"/>
      <c r="K6" s="1527"/>
      <c r="M6" s="1525"/>
      <c r="N6" s="1525"/>
    </row>
    <row r="7" spans="1:20" ht="13.5" customHeight="1">
      <c r="A7" s="565"/>
      <c r="B7" s="1592" t="s">
        <v>795</v>
      </c>
      <c r="C7" s="1592"/>
      <c r="D7" s="1592"/>
      <c r="E7" s="572"/>
      <c r="F7" s="572"/>
      <c r="G7" s="572"/>
      <c r="I7" s="1592" t="s">
        <v>1617</v>
      </c>
      <c r="J7" s="1526"/>
      <c r="K7" s="1527"/>
      <c r="M7" s="1525"/>
      <c r="N7" s="1525"/>
    </row>
    <row r="8" spans="1:20" ht="13.35" customHeight="1">
      <c r="A8" s="565"/>
      <c r="B8" s="1592" t="s">
        <v>796</v>
      </c>
      <c r="C8" s="1592"/>
      <c r="D8" s="1592"/>
      <c r="E8" s="572"/>
      <c r="F8" s="572"/>
      <c r="G8" s="572"/>
      <c r="I8" s="1592" t="s">
        <v>1459</v>
      </c>
      <c r="J8" s="1526"/>
      <c r="K8" s="1527"/>
      <c r="M8" s="1525"/>
      <c r="N8" s="1525"/>
    </row>
    <row r="9" spans="1:20" ht="12.75" customHeight="1">
      <c r="A9" s="565"/>
      <c r="B9" s="1592" t="s">
        <v>797</v>
      </c>
      <c r="C9" s="1592"/>
      <c r="D9" s="1592"/>
      <c r="E9" s="572"/>
      <c r="F9" s="572"/>
      <c r="G9" s="572"/>
      <c r="I9" s="2161" t="s">
        <v>1626</v>
      </c>
      <c r="J9" s="1526"/>
      <c r="K9" s="1527"/>
      <c r="M9" s="1525"/>
      <c r="N9" s="1525"/>
    </row>
    <row r="10" spans="1:20" ht="12.75" customHeight="1">
      <c r="B10" s="1662"/>
      <c r="C10" s="1662"/>
      <c r="D10" s="1657"/>
      <c r="E10" s="1658"/>
      <c r="F10" s="1666"/>
      <c r="G10" s="1659"/>
      <c r="I10" s="2161" t="s">
        <v>1618</v>
      </c>
      <c r="J10" s="1526"/>
      <c r="K10" s="1527"/>
      <c r="M10" s="1525"/>
      <c r="N10" s="1525"/>
    </row>
    <row r="11" spans="1:20" ht="12.75" customHeight="1">
      <c r="A11" s="1591"/>
      <c r="B11" s="1592"/>
      <c r="C11" s="1665" t="s">
        <v>845</v>
      </c>
      <c r="D11" s="1660"/>
      <c r="E11" s="572"/>
      <c r="F11" s="1660">
        <v>376</v>
      </c>
      <c r="G11" s="572" t="s">
        <v>798</v>
      </c>
    </row>
    <row r="12" spans="1:20" ht="12.75" customHeight="1">
      <c r="A12" s="1591"/>
      <c r="B12" s="1665"/>
      <c r="C12" s="1665" t="s">
        <v>1006</v>
      </c>
      <c r="D12" s="1667"/>
      <c r="E12" s="572"/>
      <c r="F12" s="3152">
        <v>20.100000000000001</v>
      </c>
      <c r="G12" s="572"/>
      <c r="H12" s="1525"/>
      <c r="I12" s="1592" t="s">
        <v>987</v>
      </c>
      <c r="K12" s="676"/>
      <c r="L12" s="1657"/>
      <c r="M12" s="1658"/>
      <c r="N12" s="1659"/>
    </row>
    <row r="13" spans="1:20" ht="12.75" customHeight="1">
      <c r="A13" s="1591"/>
      <c r="B13" s="1665"/>
      <c r="C13" s="1665" t="s">
        <v>799</v>
      </c>
      <c r="D13" s="1667"/>
      <c r="E13" s="572"/>
      <c r="F13" s="3153">
        <v>175.7</v>
      </c>
      <c r="G13" s="572"/>
      <c r="H13" s="1525"/>
      <c r="I13" s="1591"/>
      <c r="J13" s="676"/>
      <c r="K13" s="676"/>
      <c r="L13" s="1657"/>
      <c r="M13" s="1658"/>
      <c r="N13" s="1659"/>
      <c r="P13" s="572"/>
      <c r="T13" s="1591"/>
    </row>
    <row r="14" spans="1:20" ht="12.75" customHeight="1">
      <c r="A14" s="1591"/>
      <c r="B14" s="1665"/>
      <c r="C14" s="1665" t="s">
        <v>800</v>
      </c>
      <c r="D14" s="1667"/>
      <c r="E14" s="572"/>
      <c r="F14" s="3153">
        <v>12.9</v>
      </c>
      <c r="G14" s="1659"/>
      <c r="J14" s="559" t="s">
        <v>1492</v>
      </c>
      <c r="O14" s="3759">
        <v>3.8</v>
      </c>
      <c r="P14" s="572" t="s">
        <v>798</v>
      </c>
      <c r="T14" s="566"/>
    </row>
    <row r="15" spans="1:20" ht="12.75" customHeight="1">
      <c r="A15" s="1591"/>
      <c r="B15" s="1665"/>
      <c r="C15" s="1665" t="s">
        <v>1007</v>
      </c>
      <c r="D15" s="1667"/>
      <c r="E15" s="572"/>
      <c r="F15" s="3153">
        <v>383.8</v>
      </c>
      <c r="G15" s="572"/>
      <c r="J15" s="559" t="s">
        <v>1446</v>
      </c>
      <c r="O15" s="1663">
        <v>101.3</v>
      </c>
      <c r="T15" s="566"/>
    </row>
    <row r="16" spans="1:20" ht="12.75" customHeight="1">
      <c r="A16" s="1591"/>
      <c r="B16" s="1665"/>
      <c r="C16" s="1665" t="s">
        <v>846</v>
      </c>
      <c r="D16" s="1667"/>
      <c r="E16" s="572"/>
      <c r="F16" s="3152">
        <v>759.2</v>
      </c>
      <c r="G16" s="572"/>
      <c r="J16" s="559" t="s">
        <v>1619</v>
      </c>
      <c r="O16" s="1663">
        <v>21.8</v>
      </c>
      <c r="R16" s="1591"/>
    </row>
    <row r="17" spans="1:15" ht="12.75" customHeight="1">
      <c r="A17" s="1591"/>
      <c r="B17" s="1665"/>
      <c r="C17" s="1665" t="s">
        <v>801</v>
      </c>
      <c r="D17" s="1668"/>
      <c r="E17" s="572"/>
      <c r="F17" s="3152">
        <v>566.79999999999995</v>
      </c>
      <c r="G17" s="572"/>
      <c r="H17" s="1525"/>
      <c r="J17" s="559" t="s">
        <v>1499</v>
      </c>
      <c r="O17" s="1663">
        <v>6.4</v>
      </c>
    </row>
    <row r="18" spans="1:15" ht="12.75" customHeight="1">
      <c r="A18" s="1591"/>
      <c r="B18" s="1665"/>
      <c r="C18" s="1665" t="s">
        <v>1272</v>
      </c>
      <c r="D18" s="1668"/>
      <c r="E18" s="572"/>
      <c r="F18" s="3153">
        <v>143.5</v>
      </c>
      <c r="G18" s="572"/>
      <c r="H18" s="1659"/>
      <c r="I18" s="1591"/>
      <c r="J18" s="559" t="s">
        <v>1438</v>
      </c>
      <c r="O18" s="1663">
        <v>53.1</v>
      </c>
    </row>
    <row r="19" spans="1:15" ht="12.75" customHeight="1">
      <c r="A19" s="1659"/>
      <c r="B19" s="1662"/>
      <c r="C19" s="1662"/>
      <c r="D19" s="1657"/>
      <c r="E19" s="1658"/>
      <c r="F19" s="1659"/>
      <c r="G19" s="1659"/>
      <c r="J19" s="559" t="s">
        <v>1437</v>
      </c>
      <c r="O19" s="1663">
        <v>1.5</v>
      </c>
    </row>
    <row r="20" spans="1:15" ht="13.35" customHeight="1">
      <c r="A20" s="1671" t="s">
        <v>802</v>
      </c>
      <c r="B20" s="1592" t="s">
        <v>988</v>
      </c>
      <c r="C20" s="1592"/>
      <c r="D20" s="1592"/>
      <c r="E20" s="572"/>
      <c r="F20" s="572"/>
      <c r="G20" s="572"/>
      <c r="J20" s="559" t="s">
        <v>1485</v>
      </c>
      <c r="O20" s="1663">
        <v>1.2</v>
      </c>
    </row>
    <row r="21" spans="1:15" ht="12.75" customHeight="1">
      <c r="A21" s="1671"/>
      <c r="B21" s="1592" t="s">
        <v>1428</v>
      </c>
      <c r="C21" s="1592"/>
      <c r="D21" s="1592"/>
      <c r="E21" s="572"/>
      <c r="F21" s="572"/>
      <c r="G21" s="572"/>
      <c r="J21" s="559" t="s">
        <v>1501</v>
      </c>
      <c r="O21" s="1663">
        <v>3.5</v>
      </c>
    </row>
    <row r="22" spans="1:15" ht="14.1" customHeight="1">
      <c r="A22" s="1671"/>
      <c r="B22" s="1592"/>
      <c r="C22" s="1592"/>
      <c r="D22" s="1592"/>
      <c r="E22" s="572"/>
      <c r="F22" s="572"/>
      <c r="G22" s="572"/>
      <c r="J22" s="559" t="s">
        <v>1581</v>
      </c>
      <c r="O22" s="1663">
        <v>41.7</v>
      </c>
    </row>
    <row r="23" spans="1:15" ht="12.75" customHeight="1">
      <c r="A23" s="572"/>
      <c r="B23" s="1670" t="s">
        <v>1289</v>
      </c>
      <c r="C23" s="1670"/>
      <c r="D23" s="1592"/>
      <c r="E23" s="572"/>
      <c r="F23" s="572"/>
      <c r="G23" s="572"/>
      <c r="J23" s="559" t="s">
        <v>1493</v>
      </c>
      <c r="O23" s="1663">
        <v>5.9</v>
      </c>
    </row>
    <row r="24" spans="1:15" ht="12.75" customHeight="1">
      <c r="A24" s="1659"/>
      <c r="B24" s="1662"/>
      <c r="C24" s="1662"/>
      <c r="D24" s="1657"/>
      <c r="E24" s="1658"/>
      <c r="F24" s="1659"/>
      <c r="G24" s="572"/>
      <c r="J24" s="559" t="s">
        <v>1620</v>
      </c>
      <c r="O24" s="1663">
        <v>14.3</v>
      </c>
    </row>
    <row r="25" spans="1:15" ht="13.35" customHeight="1">
      <c r="A25" s="1659"/>
      <c r="B25" s="1662"/>
      <c r="C25" s="1665" t="s">
        <v>1244</v>
      </c>
      <c r="D25" s="1657"/>
      <c r="E25" s="1658"/>
      <c r="F25" s="1689">
        <v>2627.1</v>
      </c>
      <c r="G25" s="572" t="s">
        <v>798</v>
      </c>
      <c r="J25" s="3879" t="s">
        <v>1627</v>
      </c>
      <c r="O25" s="3880">
        <v>1.1000000000000001</v>
      </c>
    </row>
    <row r="26" spans="1:15" ht="12.75" customHeight="1">
      <c r="A26" s="1659"/>
      <c r="B26" s="1662"/>
      <c r="C26" s="1665" t="s">
        <v>803</v>
      </c>
      <c r="D26" s="1660"/>
      <c r="E26" s="572"/>
      <c r="F26" s="1661">
        <v>525</v>
      </c>
      <c r="G26" s="1664"/>
      <c r="J26" s="559" t="s">
        <v>1500</v>
      </c>
      <c r="O26" s="1663">
        <v>1.2</v>
      </c>
    </row>
    <row r="27" spans="1:15" ht="12.75" customHeight="1">
      <c r="A27" s="1659"/>
      <c r="B27" s="1662"/>
      <c r="C27" s="1665" t="s">
        <v>1225</v>
      </c>
      <c r="D27" s="1660"/>
      <c r="E27" s="572"/>
      <c r="F27" s="1661">
        <v>35.6</v>
      </c>
      <c r="G27" s="572"/>
      <c r="J27" s="559" t="s">
        <v>1344</v>
      </c>
      <c r="O27" s="1663">
        <v>22.9</v>
      </c>
    </row>
    <row r="28" spans="1:15" ht="12.75" customHeight="1">
      <c r="C28" s="1665" t="s">
        <v>1424</v>
      </c>
      <c r="D28" s="1660"/>
      <c r="E28" s="572"/>
      <c r="F28" s="1661">
        <v>8</v>
      </c>
      <c r="J28" s="559" t="s">
        <v>1497</v>
      </c>
      <c r="O28" s="1663">
        <v>1.5</v>
      </c>
    </row>
    <row r="29" spans="1:15" ht="13.35" customHeight="1">
      <c r="C29" s="1665" t="s">
        <v>1422</v>
      </c>
      <c r="D29" s="1660"/>
      <c r="E29" s="572"/>
      <c r="F29" s="1661">
        <v>8.1</v>
      </c>
      <c r="J29" s="559" t="s">
        <v>1495</v>
      </c>
      <c r="O29" s="1663">
        <v>2.7</v>
      </c>
    </row>
    <row r="30" spans="1:15" ht="12.75" customHeight="1">
      <c r="C30" s="1665" t="s">
        <v>1342</v>
      </c>
      <c r="D30" s="1660"/>
      <c r="E30" s="572"/>
      <c r="F30" s="1661">
        <v>11.5</v>
      </c>
      <c r="J30" s="559" t="s">
        <v>1498</v>
      </c>
      <c r="O30" s="1663">
        <v>5.2</v>
      </c>
    </row>
    <row r="31" spans="1:15" ht="12.75" customHeight="1">
      <c r="C31" s="1665" t="s">
        <v>1423</v>
      </c>
      <c r="D31" s="1660"/>
      <c r="E31" s="572"/>
      <c r="F31" s="1661">
        <v>113.7</v>
      </c>
      <c r="J31" s="559" t="s">
        <v>1582</v>
      </c>
      <c r="O31" s="1663">
        <v>74.900000000000006</v>
      </c>
    </row>
    <row r="32" spans="1:15" ht="12.75" customHeight="1">
      <c r="C32" s="1665" t="s">
        <v>1433</v>
      </c>
      <c r="D32" s="1660"/>
      <c r="E32" s="572"/>
      <c r="F32" s="1661">
        <v>49.5</v>
      </c>
      <c r="J32" s="2162" t="s">
        <v>1023</v>
      </c>
      <c r="O32" s="1663">
        <v>34.299999999999997</v>
      </c>
    </row>
    <row r="33" spans="1:20" ht="12.75" customHeight="1">
      <c r="C33" s="1665" t="s">
        <v>1275</v>
      </c>
      <c r="D33" s="1660"/>
      <c r="E33" s="572"/>
      <c r="F33" s="1661">
        <v>1160</v>
      </c>
      <c r="J33" s="559" t="s">
        <v>1496</v>
      </c>
      <c r="O33" s="1663">
        <v>2.5</v>
      </c>
    </row>
    <row r="34" spans="1:20" ht="13.35" customHeight="1">
      <c r="C34" s="1665" t="s">
        <v>1434</v>
      </c>
      <c r="D34" s="1660"/>
      <c r="E34" s="572"/>
      <c r="F34" s="1661">
        <v>6.6</v>
      </c>
      <c r="J34" s="559" t="s">
        <v>1484</v>
      </c>
      <c r="O34" s="1663">
        <v>1.4</v>
      </c>
    </row>
    <row r="35" spans="1:20" ht="12.75" customHeight="1">
      <c r="C35" s="1665" t="s">
        <v>1435</v>
      </c>
      <c r="D35" s="1660"/>
      <c r="E35" s="572"/>
      <c r="F35" s="1661">
        <v>36.700000000000003</v>
      </c>
      <c r="G35" s="1659"/>
      <c r="J35" s="559" t="s">
        <v>1439</v>
      </c>
      <c r="O35" s="1663">
        <v>19.5</v>
      </c>
    </row>
    <row r="36" spans="1:20" ht="12.75" customHeight="1">
      <c r="C36" s="1665" t="s">
        <v>1436</v>
      </c>
      <c r="D36" s="1660"/>
      <c r="E36" s="572"/>
      <c r="F36" s="1661">
        <v>3.8</v>
      </c>
      <c r="J36" s="559" t="s">
        <v>1470</v>
      </c>
      <c r="O36" s="1663">
        <v>11.6</v>
      </c>
      <c r="R36" s="1591"/>
    </row>
    <row r="37" spans="1:20" ht="12.75" customHeight="1">
      <c r="C37" s="3760" t="s">
        <v>1486</v>
      </c>
      <c r="D37" s="3761"/>
      <c r="E37" s="3762"/>
      <c r="F37" s="3846">
        <v>28</v>
      </c>
      <c r="J37" s="559" t="s">
        <v>1494</v>
      </c>
      <c r="O37" s="1663">
        <v>6.2</v>
      </c>
      <c r="P37" s="572"/>
      <c r="R37" s="566"/>
    </row>
    <row r="38" spans="1:20" ht="12.75" customHeight="1">
      <c r="C38" s="559" t="s">
        <v>1624</v>
      </c>
      <c r="D38" s="558"/>
      <c r="E38" s="1591"/>
      <c r="F38" s="1661">
        <v>7.9</v>
      </c>
      <c r="R38" s="566"/>
      <c r="T38" s="671"/>
    </row>
    <row r="39" spans="1:20" ht="12.75" customHeight="1">
      <c r="C39" s="559" t="s">
        <v>1469</v>
      </c>
      <c r="D39" s="558"/>
      <c r="E39" s="1591"/>
      <c r="F39" s="1661">
        <v>1.5</v>
      </c>
      <c r="I39" s="1688" t="s">
        <v>1190</v>
      </c>
      <c r="J39" s="1688"/>
      <c r="K39" s="572"/>
      <c r="L39" s="572"/>
      <c r="M39" s="572"/>
      <c r="N39" s="572"/>
      <c r="P39" s="1664"/>
      <c r="T39" s="671"/>
    </row>
    <row r="40" spans="1:20" ht="13.35" customHeight="1">
      <c r="C40" s="559" t="s">
        <v>1568</v>
      </c>
      <c r="F40" s="1661">
        <v>22.1</v>
      </c>
      <c r="I40" s="676"/>
      <c r="J40" s="676"/>
      <c r="K40" s="1658"/>
      <c r="L40" s="1658"/>
      <c r="M40" s="1658"/>
      <c r="N40" s="1658"/>
      <c r="T40" s="671"/>
    </row>
    <row r="41" spans="1:20" ht="12.75" customHeight="1">
      <c r="B41" s="1526" t="s">
        <v>15</v>
      </c>
      <c r="C41" s="1665" t="s">
        <v>808</v>
      </c>
      <c r="D41" s="1660"/>
      <c r="E41" s="572"/>
      <c r="F41" s="1661">
        <v>244.3</v>
      </c>
      <c r="G41" s="1659"/>
      <c r="I41" s="1665"/>
      <c r="J41" s="1665" t="s">
        <v>804</v>
      </c>
      <c r="K41" s="1660"/>
      <c r="L41" s="572"/>
      <c r="O41" s="1689">
        <v>22552.2</v>
      </c>
      <c r="P41" s="572" t="s">
        <v>798</v>
      </c>
      <c r="T41" s="671"/>
    </row>
    <row r="42" spans="1:20" ht="12.75" customHeight="1">
      <c r="A42" s="572"/>
      <c r="B42" s="1665"/>
      <c r="C42" s="1665" t="s">
        <v>1341</v>
      </c>
      <c r="D42" s="1660"/>
      <c r="E42" s="572"/>
      <c r="F42" s="1661">
        <v>36.9</v>
      </c>
      <c r="G42" s="1659"/>
      <c r="I42" s="1665"/>
      <c r="J42" s="1665" t="s">
        <v>805</v>
      </c>
      <c r="K42" s="1660"/>
      <c r="L42" s="572"/>
      <c r="O42" s="1661">
        <v>3105.4</v>
      </c>
      <c r="T42" s="671"/>
    </row>
    <row r="43" spans="1:20" ht="12.75" customHeight="1">
      <c r="C43" s="1665" t="s">
        <v>1625</v>
      </c>
      <c r="F43" s="1661">
        <v>100</v>
      </c>
      <c r="I43" s="1665"/>
      <c r="J43" s="1665" t="s">
        <v>806</v>
      </c>
      <c r="K43" s="1660"/>
      <c r="L43" s="572"/>
      <c r="O43" s="1661">
        <v>2602.3000000000002</v>
      </c>
      <c r="T43" s="671"/>
    </row>
    <row r="44" spans="1:20" ht="12.75" customHeight="1">
      <c r="C44" s="1665" t="s">
        <v>1425</v>
      </c>
      <c r="D44" s="1660"/>
      <c r="E44" s="572"/>
      <c r="F44" s="1661">
        <v>3.2</v>
      </c>
      <c r="I44" s="676"/>
      <c r="J44" s="1665" t="s">
        <v>807</v>
      </c>
      <c r="K44" s="1660"/>
      <c r="L44" s="572"/>
      <c r="O44" s="1661">
        <v>878</v>
      </c>
      <c r="T44" s="671"/>
    </row>
    <row r="45" spans="1:20" ht="12.75" customHeight="1">
      <c r="C45" s="1665" t="s">
        <v>1580</v>
      </c>
      <c r="F45" s="1661">
        <v>2.1</v>
      </c>
      <c r="G45" s="1524"/>
      <c r="J45" s="559" t="s">
        <v>1339</v>
      </c>
      <c r="K45" s="2217"/>
      <c r="L45" s="1591"/>
      <c r="O45" s="1663">
        <v>1401.1</v>
      </c>
      <c r="T45" s="671"/>
    </row>
    <row r="46" spans="1:20" ht="12.75" customHeight="1">
      <c r="C46" s="1665" t="s">
        <v>946</v>
      </c>
      <c r="D46" s="1660"/>
      <c r="E46" s="572"/>
      <c r="F46" s="1661">
        <v>1161.5</v>
      </c>
      <c r="G46" s="1524"/>
      <c r="I46" s="676"/>
      <c r="J46" s="1665"/>
      <c r="K46" s="1658"/>
      <c r="L46" s="1658"/>
      <c r="M46" s="1658"/>
      <c r="N46" s="1658"/>
      <c r="T46" s="671"/>
    </row>
    <row r="47" spans="1:20" ht="13.5" customHeight="1">
      <c r="G47" s="1524"/>
      <c r="I47" s="572" t="s">
        <v>1004</v>
      </c>
      <c r="J47" s="1665"/>
      <c r="K47" s="572"/>
      <c r="L47" s="572"/>
      <c r="M47" s="572"/>
      <c r="N47" s="572"/>
    </row>
    <row r="48" spans="1:20" ht="13.5" customHeight="1">
      <c r="A48" s="1659"/>
      <c r="B48" s="1665" t="s">
        <v>810</v>
      </c>
      <c r="C48" s="1665"/>
      <c r="D48" s="1660"/>
      <c r="E48" s="572"/>
      <c r="F48" s="1661"/>
      <c r="G48" s="1524"/>
      <c r="I48" s="572" t="s">
        <v>1432</v>
      </c>
      <c r="J48" s="1665"/>
      <c r="K48" s="572"/>
      <c r="L48" s="572"/>
      <c r="M48" s="572"/>
      <c r="N48" s="572"/>
    </row>
    <row r="49" spans="1:21" ht="12.75" customHeight="1">
      <c r="A49" s="572"/>
      <c r="B49" s="572" t="s">
        <v>1615</v>
      </c>
      <c r="C49" s="1665"/>
      <c r="D49" s="1660"/>
      <c r="E49" s="572"/>
      <c r="F49" s="1661"/>
      <c r="G49" s="1524"/>
      <c r="I49" s="572" t="s">
        <v>1621</v>
      </c>
      <c r="J49" s="1665"/>
      <c r="K49" s="572"/>
      <c r="L49" s="572"/>
      <c r="M49" s="572"/>
      <c r="N49" s="572"/>
    </row>
    <row r="50" spans="1:21" ht="12.75" customHeight="1">
      <c r="B50" s="572" t="s">
        <v>1616</v>
      </c>
      <c r="C50" s="1665"/>
      <c r="D50" s="1660"/>
      <c r="E50" s="572"/>
      <c r="F50" s="1661"/>
      <c r="G50" s="1524"/>
      <c r="I50" s="676"/>
      <c r="J50" s="676"/>
      <c r="K50" s="1658"/>
      <c r="L50" s="1658"/>
      <c r="M50" s="1658"/>
      <c r="N50" s="1658"/>
    </row>
    <row r="51" spans="1:21" ht="13.35" customHeight="1">
      <c r="A51" s="572"/>
      <c r="B51" s="572"/>
      <c r="I51" s="1688" t="s">
        <v>1622</v>
      </c>
      <c r="J51" s="1665"/>
      <c r="K51" s="572"/>
      <c r="L51" s="572"/>
      <c r="M51" s="572"/>
      <c r="N51" s="572"/>
    </row>
    <row r="52" spans="1:21" ht="12.75" customHeight="1">
      <c r="B52" s="1592" t="s">
        <v>989</v>
      </c>
      <c r="C52" s="1665"/>
      <c r="D52" s="1660"/>
      <c r="E52" s="572"/>
      <c r="F52" s="1661"/>
      <c r="I52" s="1592" t="s">
        <v>1623</v>
      </c>
      <c r="J52" s="1665"/>
      <c r="K52" s="572"/>
      <c r="L52" s="572"/>
      <c r="M52" s="572"/>
      <c r="N52" s="572"/>
      <c r="S52" s="557"/>
      <c r="T52" s="671"/>
      <c r="U52" s="671"/>
    </row>
    <row r="53" spans="1:21" ht="12.75" customHeight="1">
      <c r="A53" s="1659"/>
      <c r="B53" s="1592" t="s">
        <v>990</v>
      </c>
      <c r="C53" s="1523"/>
      <c r="D53" s="1524"/>
      <c r="F53" s="1524"/>
      <c r="S53" s="569"/>
      <c r="T53" s="671"/>
      <c r="U53" s="671"/>
    </row>
    <row r="54" spans="1:21" ht="12.75" customHeight="1">
      <c r="B54" s="1592" t="s">
        <v>1612</v>
      </c>
      <c r="C54" s="1523"/>
      <c r="D54" s="1524"/>
      <c r="F54" s="1524"/>
      <c r="S54" s="569"/>
      <c r="T54" s="671"/>
      <c r="U54" s="671"/>
    </row>
    <row r="55" spans="1:21" ht="12.75" customHeight="1">
      <c r="B55" s="2160" t="s">
        <v>1614</v>
      </c>
      <c r="C55" s="1523"/>
      <c r="D55" s="1524"/>
      <c r="F55" s="1524"/>
      <c r="P55" s="1524"/>
      <c r="S55" s="570"/>
      <c r="T55" s="671"/>
      <c r="U55" s="671"/>
    </row>
    <row r="56" spans="1:21" ht="12.75" customHeight="1">
      <c r="R56" s="561"/>
    </row>
    <row r="57" spans="1:21" ht="12.75" customHeight="1">
      <c r="R57" s="561"/>
    </row>
    <row r="58" spans="1:21" ht="12.75" customHeight="1">
      <c r="J58" s="559"/>
      <c r="O58" s="1663"/>
      <c r="R58" s="1528"/>
    </row>
    <row r="59" spans="1:21" ht="12.75" customHeight="1">
      <c r="R59" s="1528"/>
    </row>
    <row r="60" spans="1:21" ht="12.75" customHeight="1">
      <c r="R60" s="1528"/>
    </row>
    <row r="61" spans="1:21" ht="12.75" customHeight="1">
      <c r="R61" s="1528"/>
    </row>
    <row r="62" spans="1:21" ht="12.75" customHeight="1">
      <c r="H62" s="1663"/>
      <c r="R62" s="1528"/>
    </row>
    <row r="63" spans="1:21" ht="12.75" customHeight="1">
      <c r="A63" s="1669" t="s">
        <v>809</v>
      </c>
      <c r="B63" s="572" t="s">
        <v>1334</v>
      </c>
      <c r="C63" s="559"/>
      <c r="D63" s="1524"/>
      <c r="F63" s="1524"/>
      <c r="G63" s="1524"/>
      <c r="H63" s="1663"/>
      <c r="I63" s="1593"/>
      <c r="J63" s="1593"/>
      <c r="K63" s="1593"/>
      <c r="L63" s="1593"/>
      <c r="M63" s="1593"/>
      <c r="N63" s="1593"/>
      <c r="R63" s="1528"/>
    </row>
    <row r="64" spans="1:21" ht="12.75" customHeight="1">
      <c r="A64" s="572"/>
      <c r="B64" s="572" t="s">
        <v>1337</v>
      </c>
      <c r="C64" s="559"/>
      <c r="D64" s="1524"/>
      <c r="F64" s="1524"/>
      <c r="G64" s="1524"/>
      <c r="H64" s="1663"/>
      <c r="J64" s="1591"/>
      <c r="K64" s="1591"/>
      <c r="L64" s="1591"/>
      <c r="M64" s="1591"/>
      <c r="N64" s="1591"/>
      <c r="O64" s="1591"/>
      <c r="R64" s="1528"/>
    </row>
    <row r="65" spans="1:19" ht="12.75" customHeight="1">
      <c r="A65" s="1671" t="s">
        <v>15</v>
      </c>
      <c r="B65" s="1592" t="s">
        <v>1335</v>
      </c>
      <c r="C65" s="559"/>
      <c r="D65" s="1524"/>
      <c r="F65" s="1524"/>
      <c r="G65" s="1524"/>
      <c r="H65" s="1663"/>
      <c r="J65" s="1591"/>
      <c r="K65" s="1591"/>
      <c r="L65" s="1591"/>
      <c r="M65" s="1591"/>
      <c r="N65" s="1591"/>
      <c r="O65" s="1591"/>
      <c r="R65" s="1528"/>
    </row>
    <row r="66" spans="1:19" ht="12.75" customHeight="1">
      <c r="A66" s="572"/>
      <c r="B66" s="1592" t="s">
        <v>1336</v>
      </c>
      <c r="C66" s="1665"/>
      <c r="D66" s="1524"/>
      <c r="E66" s="1657"/>
      <c r="F66" s="1658"/>
      <c r="G66" s="1524"/>
      <c r="H66" s="1663"/>
      <c r="J66" s="1591"/>
      <c r="K66" s="1591"/>
      <c r="L66" s="1591"/>
      <c r="M66" s="1591"/>
      <c r="N66" s="1591"/>
      <c r="O66" s="1591"/>
      <c r="R66" s="1528"/>
    </row>
    <row r="67" spans="1:19" ht="12.75" customHeight="1">
      <c r="A67" s="1664"/>
      <c r="B67" s="1592" t="s">
        <v>1462</v>
      </c>
      <c r="C67" s="1665"/>
      <c r="D67" s="1524"/>
      <c r="E67" s="1657"/>
      <c r="F67" s="1658"/>
      <c r="G67" s="1524"/>
      <c r="H67" s="1663"/>
      <c r="J67" s="559"/>
      <c r="K67" s="1591"/>
      <c r="L67" s="1591"/>
      <c r="M67" s="1591"/>
      <c r="N67" s="1591"/>
      <c r="O67" s="1591"/>
      <c r="R67" s="1528"/>
    </row>
    <row r="68" spans="1:19" ht="12.75" customHeight="1">
      <c r="J68" s="559"/>
      <c r="K68" s="1591"/>
      <c r="L68" s="1591"/>
      <c r="M68" s="1591"/>
      <c r="N68" s="1591"/>
      <c r="O68" s="1591"/>
      <c r="R68" s="1528"/>
    </row>
    <row r="69" spans="1:19" ht="12.75" customHeight="1">
      <c r="A69" s="1669" t="s">
        <v>1333</v>
      </c>
      <c r="B69" s="3694" t="s">
        <v>1414</v>
      </c>
      <c r="C69" s="2162"/>
      <c r="D69" s="1524"/>
      <c r="F69" s="1524"/>
      <c r="G69" s="1524"/>
      <c r="I69" s="559"/>
      <c r="J69" s="1591"/>
      <c r="K69" s="1591"/>
      <c r="L69" s="1591"/>
      <c r="M69" s="1591"/>
      <c r="N69" s="1591"/>
      <c r="O69" s="1591"/>
      <c r="P69" s="1664"/>
      <c r="R69" s="1528"/>
    </row>
    <row r="70" spans="1:19" ht="12.75" customHeight="1">
      <c r="A70" s="572"/>
      <c r="B70" s="1591" t="s">
        <v>1430</v>
      </c>
      <c r="C70" s="2162"/>
      <c r="D70" s="1524"/>
      <c r="F70" s="1524"/>
      <c r="G70" s="1524"/>
      <c r="I70" s="559"/>
      <c r="J70" s="1591"/>
      <c r="K70" s="1591"/>
      <c r="L70" s="1591"/>
      <c r="M70" s="1591"/>
      <c r="N70" s="1591"/>
      <c r="O70" s="1591"/>
      <c r="P70" s="1664"/>
      <c r="R70" s="1528"/>
    </row>
    <row r="71" spans="1:19" ht="12.75" customHeight="1">
      <c r="A71" s="1671" t="s">
        <v>15</v>
      </c>
      <c r="B71" s="1591" t="s">
        <v>1431</v>
      </c>
      <c r="C71" s="2162"/>
      <c r="D71" s="1524"/>
      <c r="F71" s="1524"/>
      <c r="G71" s="1524"/>
      <c r="H71" s="572"/>
      <c r="I71" s="1591"/>
      <c r="J71" s="559"/>
      <c r="K71" s="1591"/>
      <c r="L71" s="1591"/>
      <c r="M71" s="1591"/>
      <c r="N71" s="1591"/>
      <c r="O71" s="1591"/>
      <c r="P71" s="1664"/>
      <c r="R71" s="1528"/>
    </row>
    <row r="72" spans="1:19" ht="12.75" customHeight="1">
      <c r="A72" s="572"/>
      <c r="B72" s="3717" t="s">
        <v>1441</v>
      </c>
      <c r="C72" s="2162"/>
      <c r="D72" s="1524"/>
      <c r="F72" s="1524"/>
      <c r="G72" s="1524"/>
      <c r="H72" s="1661"/>
      <c r="I72" s="1591"/>
      <c r="J72" s="559"/>
      <c r="K72" s="1591"/>
      <c r="L72" s="1591"/>
      <c r="M72" s="1591"/>
      <c r="N72" s="1591"/>
      <c r="O72" s="1591"/>
      <c r="R72" s="1528"/>
    </row>
    <row r="73" spans="1:19" ht="12.75" customHeight="1">
      <c r="A73" s="1591"/>
      <c r="B73" s="3717" t="s">
        <v>1456</v>
      </c>
      <c r="C73" s="1523"/>
      <c r="D73" s="1524"/>
      <c r="F73" s="1524"/>
      <c r="G73" s="1524"/>
      <c r="H73" s="1661"/>
      <c r="I73" s="1591"/>
      <c r="J73" s="1591"/>
      <c r="K73" s="1591"/>
      <c r="L73" s="1591"/>
      <c r="M73" s="1591"/>
      <c r="N73" s="1591"/>
      <c r="O73" s="1591"/>
      <c r="R73" s="1528"/>
    </row>
    <row r="74" spans="1:19" s="567" customFormat="1" ht="12.75" customHeight="1">
      <c r="A74" s="1525"/>
      <c r="B74" s="1526"/>
      <c r="C74" s="1526"/>
      <c r="D74" s="1527"/>
      <c r="E74" s="1524"/>
      <c r="F74" s="1525"/>
      <c r="G74" s="1525"/>
      <c r="H74" s="1661"/>
      <c r="I74" s="1591"/>
      <c r="J74" s="1665"/>
      <c r="K74" s="1592"/>
      <c r="L74" s="572"/>
      <c r="M74" s="572"/>
      <c r="N74" s="572"/>
      <c r="O74" s="572"/>
      <c r="P74" s="1593"/>
      <c r="R74" s="1528"/>
    </row>
    <row r="75" spans="1:19" s="567" customFormat="1" ht="12.75" customHeight="1">
      <c r="A75" s="1671" t="s">
        <v>1412</v>
      </c>
      <c r="B75" s="1591" t="s">
        <v>1465</v>
      </c>
      <c r="C75" s="559"/>
      <c r="D75" s="1524"/>
      <c r="E75" s="1524"/>
      <c r="F75" s="1524"/>
      <c r="G75" s="1524"/>
      <c r="H75" s="572"/>
      <c r="I75" s="1591"/>
      <c r="J75" s="1665"/>
      <c r="K75" s="572"/>
      <c r="L75" s="572"/>
      <c r="M75" s="572"/>
      <c r="N75" s="572"/>
      <c r="O75" s="572"/>
      <c r="P75" s="1593"/>
      <c r="R75" s="1528"/>
    </row>
    <row r="76" spans="1:19" ht="12.75" customHeight="1">
      <c r="A76" s="1591"/>
      <c r="B76" s="1591" t="s">
        <v>1466</v>
      </c>
      <c r="C76" s="1665"/>
      <c r="D76" s="1524"/>
      <c r="E76" s="1657"/>
      <c r="F76" s="1658"/>
      <c r="G76" s="1524"/>
      <c r="H76" s="572"/>
      <c r="I76" s="572"/>
      <c r="J76" s="1665"/>
      <c r="K76" s="572"/>
      <c r="L76" s="572"/>
      <c r="M76" s="572"/>
      <c r="N76" s="572"/>
      <c r="O76" s="572"/>
      <c r="R76" s="571"/>
    </row>
    <row r="77" spans="1:19" ht="12.75" customHeight="1">
      <c r="A77" s="1591"/>
      <c r="B77" s="559" t="s">
        <v>1464</v>
      </c>
      <c r="C77" s="2162"/>
      <c r="D77" s="1524"/>
      <c r="F77" s="1524"/>
      <c r="G77" s="1524"/>
      <c r="H77" s="572"/>
      <c r="I77" s="572"/>
      <c r="J77" s="1665"/>
      <c r="K77" s="572"/>
      <c r="L77" s="572"/>
      <c r="M77" s="572"/>
      <c r="N77" s="572"/>
      <c r="O77" s="572"/>
      <c r="R77" s="571"/>
    </row>
    <row r="78" spans="1:19" ht="12.75" customHeight="1">
      <c r="A78" s="1591"/>
      <c r="B78" s="559" t="s">
        <v>1467</v>
      </c>
      <c r="C78" s="2162"/>
      <c r="D78" s="1524"/>
      <c r="F78" s="1524"/>
      <c r="G78" s="1524"/>
      <c r="H78" s="572"/>
      <c r="I78" s="572"/>
      <c r="J78" s="1665"/>
      <c r="K78" s="572"/>
      <c r="L78" s="572"/>
      <c r="M78" s="572"/>
      <c r="N78" s="572"/>
      <c r="O78" s="572"/>
      <c r="R78" s="571"/>
    </row>
    <row r="79" spans="1:19" ht="12.75" customHeight="1">
      <c r="A79" s="1591"/>
      <c r="B79" s="559" t="s">
        <v>1468</v>
      </c>
      <c r="C79" s="1523"/>
      <c r="D79" s="1524"/>
      <c r="E79" s="1657"/>
      <c r="F79" s="1658"/>
      <c r="G79" s="1524"/>
      <c r="I79" s="1591"/>
      <c r="J79" s="1591"/>
      <c r="K79" s="1591"/>
      <c r="L79" s="1591"/>
      <c r="M79" s="1591"/>
      <c r="N79" s="1591"/>
      <c r="O79" s="1591"/>
      <c r="R79" s="1591"/>
      <c r="S79" s="1591"/>
    </row>
    <row r="80" spans="1:19" ht="12.75" customHeight="1">
      <c r="I80" s="1591"/>
      <c r="J80" s="1591"/>
      <c r="K80" s="1591"/>
      <c r="L80" s="1591"/>
      <c r="M80" s="1591"/>
      <c r="N80" s="1591"/>
      <c r="O80" s="1591"/>
      <c r="R80" s="1591"/>
      <c r="S80" s="1591"/>
    </row>
    <row r="81" spans="1:19" ht="12.75" customHeight="1">
      <c r="A81" s="565" t="s">
        <v>1461</v>
      </c>
      <c r="B81" s="3730" t="s">
        <v>1463</v>
      </c>
      <c r="C81" s="1523"/>
      <c r="D81" s="1524"/>
      <c r="F81" s="1524"/>
      <c r="G81" s="1524"/>
      <c r="I81" s="1591"/>
      <c r="J81" s="1591"/>
      <c r="K81" s="1591"/>
      <c r="L81" s="1591"/>
      <c r="M81" s="1591"/>
      <c r="N81" s="1591"/>
      <c r="O81" s="1591"/>
      <c r="R81" s="1591"/>
      <c r="S81" s="1591"/>
    </row>
    <row r="82" spans="1:19" ht="12.75" customHeight="1">
      <c r="A82" s="1591"/>
      <c r="B82" s="3729" t="s">
        <v>1460</v>
      </c>
      <c r="C82" s="1523"/>
      <c r="D82" s="1524"/>
      <c r="F82" s="1524"/>
      <c r="G82" s="1524"/>
      <c r="I82" s="1591"/>
      <c r="J82" s="1591"/>
      <c r="K82" s="1591"/>
      <c r="L82" s="1591"/>
      <c r="M82" s="1591"/>
      <c r="N82" s="1591"/>
      <c r="O82" s="1591"/>
      <c r="R82" s="1591"/>
      <c r="S82" s="1591"/>
    </row>
    <row r="83" spans="1:19" ht="12.75" customHeight="1">
      <c r="A83" s="1591"/>
      <c r="B83" s="3742" t="s">
        <v>1473</v>
      </c>
      <c r="C83" s="1523"/>
      <c r="D83" s="1524"/>
      <c r="F83" s="1524"/>
      <c r="G83" s="1524"/>
      <c r="I83" s="1591"/>
      <c r="J83" s="1591"/>
      <c r="K83" s="1591"/>
      <c r="L83" s="1591"/>
      <c r="M83" s="1591"/>
      <c r="N83" s="1591"/>
      <c r="O83" s="1591"/>
      <c r="R83" s="1591"/>
      <c r="S83" s="1591"/>
    </row>
    <row r="84" spans="1:19" ht="12.75" customHeight="1">
      <c r="A84" s="1591"/>
      <c r="B84" s="3742" t="s">
        <v>1491</v>
      </c>
      <c r="C84" s="1523"/>
      <c r="D84" s="1524"/>
      <c r="F84" s="1524"/>
      <c r="G84" s="1524"/>
      <c r="I84" s="1591"/>
      <c r="J84" s="1591"/>
      <c r="K84" s="1591"/>
      <c r="L84" s="1591"/>
      <c r="M84" s="1591"/>
      <c r="N84" s="1591"/>
      <c r="O84" s="1591"/>
      <c r="R84" s="1591"/>
    </row>
    <row r="85" spans="1:19" ht="12.75" customHeight="1">
      <c r="A85" s="1591"/>
      <c r="B85" s="3742" t="s">
        <v>1490</v>
      </c>
      <c r="C85" s="2162"/>
      <c r="D85" s="1524"/>
      <c r="F85" s="1524"/>
      <c r="G85" s="1524"/>
      <c r="I85" s="1591"/>
      <c r="J85" s="1591"/>
      <c r="K85" s="1591"/>
      <c r="L85" s="1591"/>
      <c r="M85" s="1591"/>
      <c r="N85" s="1591"/>
      <c r="O85" s="1591"/>
      <c r="R85" s="1591"/>
      <c r="S85" s="1591"/>
    </row>
    <row r="86" spans="1:19" ht="12.75" customHeight="1">
      <c r="H86" s="692"/>
      <c r="L86" s="557"/>
      <c r="M86" s="557"/>
      <c r="N86" s="557"/>
      <c r="O86" s="557"/>
      <c r="R86" s="1591"/>
      <c r="S86" s="1591"/>
    </row>
    <row r="87" spans="1:19" ht="12.75" customHeight="1">
      <c r="A87" s="565" t="s">
        <v>1480</v>
      </c>
      <c r="B87" s="558" t="s">
        <v>1478</v>
      </c>
      <c r="H87" s="692"/>
      <c r="L87" s="557"/>
      <c r="M87" s="557"/>
      <c r="N87" s="557"/>
      <c r="O87" s="557"/>
      <c r="R87" s="1591"/>
      <c r="S87" s="1591"/>
    </row>
    <row r="88" spans="1:19" ht="12.75" customHeight="1">
      <c r="B88" s="558" t="s">
        <v>1479</v>
      </c>
      <c r="H88" s="692"/>
      <c r="M88" s="1593"/>
      <c r="N88" s="1593"/>
      <c r="R88" s="1591"/>
      <c r="S88" s="1591"/>
    </row>
    <row r="89" spans="1:19" ht="12.75" customHeight="1">
      <c r="B89" s="558" t="s">
        <v>1559</v>
      </c>
      <c r="H89" s="692"/>
      <c r="I89" s="559"/>
      <c r="M89" s="573"/>
      <c r="N89" s="574"/>
      <c r="R89" s="1591"/>
      <c r="S89" s="1591"/>
    </row>
    <row r="90" spans="1:19" ht="12.75" customHeight="1">
      <c r="B90" s="558" t="s">
        <v>1613</v>
      </c>
      <c r="H90" s="692"/>
      <c r="I90" s="559"/>
      <c r="M90" s="573"/>
      <c r="N90" s="574"/>
      <c r="P90" s="574"/>
      <c r="R90" s="1591"/>
      <c r="S90" s="582"/>
    </row>
    <row r="91" spans="1:19" ht="12.75" customHeight="1">
      <c r="H91" s="578"/>
      <c r="I91" s="1593"/>
      <c r="M91" s="573"/>
      <c r="N91" s="574"/>
      <c r="P91" s="562"/>
      <c r="R91" s="582"/>
      <c r="S91" s="582"/>
    </row>
    <row r="92" spans="1:19" ht="12.75" customHeight="1">
      <c r="A92" s="555"/>
      <c r="B92" s="1364"/>
      <c r="C92" s="1364"/>
      <c r="D92" s="1365"/>
      <c r="E92" s="1366"/>
      <c r="F92" s="1365"/>
      <c r="G92" s="1368"/>
      <c r="H92" s="578"/>
      <c r="I92" s="1593"/>
      <c r="M92" s="573"/>
      <c r="N92" s="574"/>
      <c r="P92" s="562"/>
      <c r="R92" s="582"/>
      <c r="S92" s="1591"/>
    </row>
    <row r="93" spans="1:19" ht="12.75" customHeight="1">
      <c r="A93" s="555"/>
      <c r="B93" s="1364"/>
      <c r="C93" s="1364"/>
      <c r="D93" s="1365"/>
      <c r="E93" s="1367"/>
      <c r="F93" s="1365"/>
      <c r="G93" s="1368"/>
      <c r="H93" s="692"/>
      <c r="I93" s="1593"/>
      <c r="M93" s="573"/>
      <c r="N93" s="574"/>
      <c r="P93" s="562"/>
      <c r="R93" s="582"/>
    </row>
    <row r="94" spans="1:19" ht="12.75" customHeight="1">
      <c r="A94" s="577"/>
      <c r="B94" s="1364"/>
      <c r="C94" s="1364"/>
      <c r="D94" s="1365"/>
      <c r="E94" s="1367"/>
      <c r="F94" s="1365"/>
      <c r="G94" s="1368"/>
      <c r="H94" s="567"/>
      <c r="I94" s="1593"/>
      <c r="M94" s="573"/>
      <c r="N94" s="574"/>
      <c r="P94" s="562"/>
      <c r="R94" s="582"/>
    </row>
    <row r="95" spans="1:19" ht="12.75" customHeight="1">
      <c r="A95" s="1593"/>
      <c r="B95" s="1364"/>
      <c r="C95" s="1364"/>
      <c r="D95" s="1365"/>
      <c r="E95" s="1369"/>
      <c r="F95" s="1365"/>
      <c r="G95" s="1372"/>
      <c r="H95" s="567"/>
      <c r="I95" s="1593"/>
      <c r="M95" s="573"/>
      <c r="N95" s="574"/>
      <c r="P95" s="562"/>
      <c r="R95" s="582"/>
    </row>
    <row r="96" spans="1:19" ht="12.75" customHeight="1">
      <c r="A96" s="1593"/>
      <c r="B96" s="1364"/>
      <c r="C96" s="1364"/>
      <c r="D96" s="1365"/>
      <c r="E96" s="1370"/>
      <c r="F96" s="1371"/>
      <c r="G96" s="1372"/>
      <c r="H96" s="567"/>
      <c r="I96" s="1593"/>
      <c r="M96" s="573"/>
      <c r="N96" s="574"/>
      <c r="P96" s="562"/>
      <c r="R96" s="1591"/>
    </row>
    <row r="97" spans="1:18" ht="12.75" customHeight="1">
      <c r="A97" s="1593"/>
      <c r="B97" s="1364"/>
      <c r="C97" s="1364"/>
      <c r="D97" s="1365"/>
      <c r="E97" s="1372"/>
      <c r="F97" s="1371"/>
      <c r="G97" s="1373"/>
      <c r="I97" s="1593"/>
      <c r="M97" s="573"/>
      <c r="N97" s="574"/>
      <c r="P97" s="562"/>
      <c r="R97" s="1591"/>
    </row>
    <row r="98" spans="1:18" ht="12.75" customHeight="1">
      <c r="A98" s="1526"/>
      <c r="B98" s="1364"/>
      <c r="C98" s="1364"/>
      <c r="D98" s="1365"/>
      <c r="E98" s="1366"/>
      <c r="F98" s="1371"/>
      <c r="G98" s="580"/>
      <c r="I98" s="1593"/>
      <c r="M98" s="573"/>
      <c r="N98" s="574"/>
      <c r="P98" s="562"/>
      <c r="R98" s="1591"/>
    </row>
    <row r="99" spans="1:18" ht="12.75" customHeight="1">
      <c r="B99" s="1592"/>
      <c r="C99" s="1592"/>
      <c r="D99" s="1592"/>
      <c r="E99" s="579"/>
      <c r="F99" s="580"/>
      <c r="G99" s="580"/>
      <c r="I99" s="559"/>
      <c r="M99" s="573"/>
      <c r="N99" s="574"/>
      <c r="P99" s="562"/>
    </row>
    <row r="100" spans="1:18" ht="12.75" customHeight="1">
      <c r="E100" s="581"/>
      <c r="F100" s="672"/>
      <c r="G100" s="580"/>
      <c r="I100" s="559"/>
      <c r="M100" s="573"/>
      <c r="N100" s="574"/>
      <c r="P100" s="562"/>
    </row>
    <row r="101" spans="1:18" ht="12.75" customHeight="1">
      <c r="E101" s="581"/>
      <c r="F101" s="672"/>
      <c r="G101" s="572"/>
      <c r="I101" s="559"/>
      <c r="M101" s="573"/>
      <c r="N101" s="574"/>
      <c r="P101" s="562"/>
    </row>
    <row r="102" spans="1:18" ht="12.75" customHeight="1">
      <c r="G102" s="572"/>
      <c r="I102" s="559"/>
      <c r="M102" s="571"/>
      <c r="N102" s="574"/>
      <c r="P102" s="562"/>
    </row>
    <row r="103" spans="1:18" ht="12.75" customHeight="1">
      <c r="I103" s="559"/>
      <c r="J103" s="559"/>
      <c r="K103" s="1591"/>
      <c r="L103" s="568"/>
      <c r="M103" s="575"/>
      <c r="N103" s="575"/>
      <c r="P103" s="562"/>
    </row>
    <row r="104" spans="1:18" ht="12.75" customHeight="1">
      <c r="I104" s="559"/>
      <c r="J104" s="559"/>
      <c r="K104" s="1591"/>
      <c r="L104" s="568"/>
      <c r="M104" s="575"/>
      <c r="N104" s="575"/>
      <c r="P104" s="562"/>
    </row>
    <row r="105" spans="1:18">
      <c r="G105" s="1591"/>
      <c r="I105" s="559"/>
      <c r="J105" s="559"/>
      <c r="K105" s="1591"/>
      <c r="L105" s="568"/>
      <c r="M105" s="575"/>
      <c r="N105" s="575"/>
      <c r="P105" s="562"/>
    </row>
    <row r="106" spans="1:18">
      <c r="C106" s="1523"/>
      <c r="D106" s="558"/>
      <c r="E106" s="1591"/>
      <c r="F106" s="1591"/>
      <c r="G106" s="1591"/>
      <c r="I106" s="559"/>
      <c r="J106" s="559"/>
      <c r="K106" s="1591"/>
      <c r="L106" s="568"/>
      <c r="M106" s="575"/>
      <c r="N106" s="575"/>
      <c r="P106" s="562"/>
    </row>
    <row r="107" spans="1:18">
      <c r="C107" s="676"/>
      <c r="D107" s="558"/>
      <c r="E107" s="1591"/>
      <c r="F107" s="1591"/>
      <c r="G107" s="1591"/>
      <c r="I107" s="559"/>
      <c r="J107" s="559"/>
      <c r="K107" s="1591"/>
      <c r="L107" s="568"/>
      <c r="M107" s="575"/>
      <c r="N107" s="575"/>
      <c r="P107" s="562"/>
    </row>
    <row r="108" spans="1:18">
      <c r="B108" s="583"/>
      <c r="C108" s="558"/>
      <c r="D108" s="558"/>
      <c r="E108" s="1591"/>
      <c r="F108" s="1591"/>
      <c r="G108" s="1591"/>
      <c r="I108" s="559"/>
      <c r="J108" s="559"/>
      <c r="K108" s="1591"/>
      <c r="L108" s="568"/>
      <c r="M108" s="575"/>
      <c r="N108" s="575"/>
      <c r="P108" s="562"/>
    </row>
    <row r="109" spans="1:18">
      <c r="A109" s="565"/>
      <c r="B109" s="583"/>
      <c r="C109" s="558"/>
      <c r="D109" s="558"/>
      <c r="E109" s="1591"/>
      <c r="F109" s="1591"/>
      <c r="G109" s="1591"/>
      <c r="I109" s="559"/>
      <c r="J109" s="559"/>
      <c r="K109" s="1591"/>
      <c r="L109" s="568"/>
      <c r="M109" s="575"/>
      <c r="N109" s="575"/>
    </row>
    <row r="110" spans="1:18">
      <c r="A110" s="1591"/>
      <c r="B110" s="583"/>
      <c r="C110" s="558"/>
      <c r="D110" s="558"/>
      <c r="E110" s="1591"/>
      <c r="F110" s="1591"/>
      <c r="I110" s="559"/>
      <c r="J110" s="559"/>
      <c r="K110" s="1591"/>
      <c r="L110" s="568"/>
      <c r="M110" s="575"/>
      <c r="N110" s="575"/>
    </row>
    <row r="111" spans="1:18">
      <c r="A111" s="1591"/>
      <c r="I111" s="559"/>
      <c r="J111" s="559"/>
      <c r="K111" s="1591"/>
      <c r="L111" s="568"/>
      <c r="M111" s="575"/>
      <c r="N111" s="575"/>
    </row>
    <row r="112" spans="1:18">
      <c r="I112" s="559"/>
      <c r="J112" s="559"/>
      <c r="K112" s="1591"/>
      <c r="L112" s="568"/>
      <c r="M112" s="575"/>
      <c r="N112" s="575"/>
      <c r="Q112" s="1591"/>
    </row>
    <row r="113" spans="1:17">
      <c r="A113" s="1591"/>
      <c r="I113" s="559"/>
      <c r="J113" s="559"/>
      <c r="K113" s="1591"/>
      <c r="L113" s="568"/>
      <c r="M113" s="575"/>
      <c r="N113" s="575"/>
      <c r="Q113" s="1591"/>
    </row>
    <row r="114" spans="1:17">
      <c r="A114" s="1591"/>
      <c r="G114" s="1593"/>
      <c r="I114" s="559"/>
      <c r="J114" s="559"/>
      <c r="K114" s="1591"/>
      <c r="L114" s="568"/>
      <c r="M114" s="575"/>
      <c r="N114" s="575"/>
      <c r="Q114" s="1591"/>
    </row>
    <row r="115" spans="1:17">
      <c r="B115" s="1593"/>
      <c r="C115" s="1593"/>
      <c r="D115" s="1593"/>
      <c r="E115" s="1593"/>
      <c r="F115" s="1593"/>
      <c r="G115" s="1593"/>
      <c r="I115" s="559"/>
      <c r="J115" s="559"/>
      <c r="K115" s="1591"/>
      <c r="L115" s="568"/>
      <c r="M115" s="575"/>
      <c r="N115" s="575"/>
      <c r="Q115" s="1591"/>
    </row>
    <row r="116" spans="1:17">
      <c r="B116" s="1593"/>
      <c r="C116" s="1593"/>
      <c r="D116" s="1593"/>
      <c r="E116" s="1593"/>
      <c r="F116" s="1593"/>
      <c r="G116" s="1593"/>
      <c r="I116" s="559"/>
      <c r="J116" s="559"/>
      <c r="K116" s="1591"/>
      <c r="L116" s="568"/>
      <c r="M116" s="575"/>
      <c r="N116" s="575"/>
      <c r="Q116" s="1591"/>
    </row>
    <row r="117" spans="1:17">
      <c r="B117" s="1593"/>
      <c r="C117" s="1593"/>
      <c r="D117" s="1593"/>
      <c r="E117" s="1593"/>
      <c r="F117" s="1593"/>
      <c r="G117" s="1593"/>
      <c r="I117" s="559"/>
      <c r="J117" s="559"/>
      <c r="K117" s="1591"/>
      <c r="L117" s="568"/>
      <c r="M117" s="575"/>
      <c r="N117" s="575"/>
      <c r="Q117" s="1591"/>
    </row>
    <row r="118" spans="1:17">
      <c r="B118" s="1593"/>
      <c r="C118" s="1593"/>
      <c r="D118" s="1593"/>
      <c r="E118" s="1593"/>
      <c r="F118" s="1593"/>
      <c r="G118" s="1593"/>
      <c r="I118" s="559"/>
      <c r="J118" s="559"/>
      <c r="K118" s="1591"/>
      <c r="L118" s="568"/>
      <c r="M118" s="575"/>
      <c r="N118" s="575"/>
      <c r="Q118" s="1591"/>
    </row>
    <row r="119" spans="1:17">
      <c r="B119" s="1593"/>
      <c r="C119" s="1593"/>
      <c r="D119" s="1593"/>
      <c r="E119" s="1593"/>
      <c r="F119" s="1593"/>
      <c r="G119" s="1593"/>
      <c r="I119" s="559"/>
      <c r="J119" s="559"/>
      <c r="K119" s="1591"/>
      <c r="L119" s="568"/>
      <c r="M119" s="575"/>
      <c r="N119" s="575"/>
      <c r="P119" s="562"/>
      <c r="Q119" s="1591"/>
    </row>
    <row r="120" spans="1:17">
      <c r="B120" s="1593"/>
      <c r="C120" s="1593"/>
      <c r="D120" s="1593"/>
      <c r="E120" s="1593"/>
      <c r="F120" s="1593"/>
      <c r="G120" s="1593"/>
      <c r="I120" s="559"/>
      <c r="J120" s="559"/>
      <c r="K120" s="1591"/>
      <c r="L120" s="568"/>
      <c r="M120" s="575"/>
      <c r="N120" s="575"/>
      <c r="P120" s="562"/>
      <c r="Q120" s="1591"/>
    </row>
    <row r="121" spans="1:17">
      <c r="A121" s="1593"/>
      <c r="B121" s="1593"/>
      <c r="C121" s="1593"/>
      <c r="D121" s="1593"/>
      <c r="E121" s="1593"/>
      <c r="F121" s="1593"/>
      <c r="G121" s="1593"/>
      <c r="I121" s="559"/>
      <c r="J121" s="559"/>
      <c r="K121" s="1591"/>
      <c r="L121" s="568"/>
      <c r="M121" s="575"/>
      <c r="N121" s="575"/>
      <c r="P121" s="562"/>
      <c r="Q121" s="1591"/>
    </row>
    <row r="122" spans="1:17">
      <c r="A122" s="1593"/>
      <c r="B122" s="1593"/>
      <c r="C122" s="1593"/>
      <c r="D122" s="1593"/>
      <c r="E122" s="1593"/>
      <c r="F122" s="1593"/>
      <c r="G122" s="1593"/>
      <c r="J122" s="1526"/>
      <c r="K122" s="1591"/>
      <c r="L122" s="568"/>
      <c r="M122" s="575"/>
      <c r="N122" s="575"/>
      <c r="P122" s="562"/>
      <c r="Q122" s="1591"/>
    </row>
    <row r="123" spans="1:17">
      <c r="A123" s="1593"/>
      <c r="B123" s="1593"/>
      <c r="C123" s="1593"/>
      <c r="D123" s="1593"/>
      <c r="E123" s="1593"/>
      <c r="F123" s="1593"/>
      <c r="G123" s="1593"/>
      <c r="J123" s="1526"/>
      <c r="K123" s="1591"/>
      <c r="L123" s="568"/>
      <c r="M123" s="575"/>
      <c r="N123" s="575"/>
      <c r="P123" s="1591"/>
      <c r="Q123" s="1591"/>
    </row>
    <row r="124" spans="1:17">
      <c r="A124" s="1593"/>
      <c r="B124" s="1593"/>
      <c r="C124" s="1593"/>
      <c r="D124" s="1593"/>
      <c r="E124" s="1593"/>
      <c r="F124" s="1593"/>
      <c r="G124" s="1593"/>
      <c r="H124" s="578"/>
      <c r="P124" s="1591"/>
      <c r="Q124" s="1591"/>
    </row>
    <row r="125" spans="1:17">
      <c r="A125" s="1593"/>
      <c r="B125" s="1593"/>
      <c r="C125" s="1593"/>
      <c r="D125" s="1593"/>
      <c r="E125" s="1593"/>
      <c r="F125" s="1593"/>
      <c r="G125" s="1593"/>
      <c r="H125" s="578"/>
      <c r="P125" s="1591"/>
      <c r="Q125" s="1591"/>
    </row>
    <row r="126" spans="1:17">
      <c r="A126" s="1593"/>
      <c r="B126" s="1593"/>
      <c r="C126" s="1593"/>
      <c r="D126" s="1593"/>
      <c r="E126" s="1593"/>
      <c r="F126" s="1593"/>
      <c r="G126" s="1593"/>
      <c r="H126" s="578"/>
      <c r="P126" s="1591"/>
      <c r="Q126" s="1591"/>
    </row>
    <row r="127" spans="1:17">
      <c r="A127" s="1593"/>
      <c r="B127" s="1593"/>
      <c r="C127" s="1593"/>
      <c r="D127" s="1593"/>
      <c r="E127" s="1593"/>
      <c r="F127" s="1593"/>
      <c r="G127" s="1593"/>
      <c r="H127" s="578"/>
      <c r="P127" s="1591"/>
      <c r="Q127" s="1591"/>
    </row>
    <row r="128" spans="1:17">
      <c r="A128" s="1593"/>
      <c r="B128" s="1593"/>
      <c r="C128" s="1593"/>
      <c r="D128" s="1593"/>
      <c r="E128" s="1593"/>
      <c r="F128" s="1593"/>
      <c r="G128" s="1593"/>
      <c r="I128" s="562"/>
      <c r="J128" s="559"/>
      <c r="K128" s="1591"/>
      <c r="L128" s="1591"/>
      <c r="M128" s="1591"/>
      <c r="N128" s="1591"/>
      <c r="O128" s="1591"/>
      <c r="P128" s="1591"/>
      <c r="Q128" s="1591"/>
    </row>
    <row r="129" spans="1:17">
      <c r="A129" s="1593"/>
      <c r="B129" s="1593"/>
      <c r="C129" s="1593"/>
      <c r="D129" s="1593"/>
      <c r="E129" s="1593"/>
      <c r="F129" s="1593"/>
      <c r="G129" s="1593"/>
      <c r="I129" s="562"/>
      <c r="J129" s="559"/>
      <c r="K129" s="1591"/>
      <c r="L129" s="1591"/>
      <c r="M129" s="1591"/>
      <c r="N129" s="1591"/>
      <c r="O129" s="1591"/>
      <c r="P129" s="1591"/>
      <c r="Q129" s="1591"/>
    </row>
    <row r="130" spans="1:17">
      <c r="A130" s="1593"/>
      <c r="B130" s="1593"/>
      <c r="C130" s="1593"/>
      <c r="D130" s="1593"/>
      <c r="E130" s="1593"/>
      <c r="F130" s="1593"/>
      <c r="I130" s="562"/>
      <c r="J130" s="559"/>
      <c r="K130" s="1591"/>
      <c r="L130" s="1591"/>
      <c r="M130" s="1591"/>
      <c r="N130" s="1591"/>
      <c r="O130" s="1591"/>
      <c r="P130" s="1591"/>
      <c r="Q130" s="1591"/>
    </row>
    <row r="131" spans="1:17">
      <c r="A131" s="1593"/>
      <c r="I131" s="562"/>
      <c r="J131" s="559"/>
      <c r="K131" s="1591"/>
      <c r="L131" s="1591"/>
      <c r="M131" s="1591"/>
      <c r="N131" s="1591"/>
      <c r="O131" s="1591"/>
      <c r="Q131" s="1591"/>
    </row>
    <row r="132" spans="1:17">
      <c r="A132" s="1593"/>
      <c r="I132" s="562"/>
      <c r="J132" s="559"/>
      <c r="K132" s="1591"/>
      <c r="L132" s="1591"/>
      <c r="M132" s="1591"/>
      <c r="N132" s="1591"/>
      <c r="O132" s="1591"/>
      <c r="P132" s="1591"/>
      <c r="Q132" s="1591"/>
    </row>
    <row r="133" spans="1:17">
      <c r="A133" s="1593"/>
      <c r="G133" s="1593"/>
      <c r="I133" s="562"/>
      <c r="J133" s="559"/>
      <c r="K133" s="1591"/>
      <c r="L133" s="1591"/>
      <c r="M133" s="1591"/>
      <c r="N133" s="1591"/>
      <c r="O133" s="1591"/>
      <c r="P133" s="576"/>
      <c r="Q133" s="1591"/>
    </row>
    <row r="134" spans="1:17">
      <c r="B134" s="1593"/>
      <c r="C134" s="1593"/>
      <c r="D134" s="1593"/>
      <c r="E134" s="1593"/>
      <c r="F134" s="1593"/>
      <c r="G134" s="1593"/>
      <c r="I134" s="1593"/>
      <c r="J134" s="559"/>
      <c r="K134" s="1591"/>
      <c r="L134" s="1591"/>
      <c r="M134" s="1591"/>
      <c r="N134" s="1591"/>
      <c r="O134" s="1591"/>
      <c r="P134" s="1591"/>
      <c r="Q134" s="1591"/>
    </row>
    <row r="135" spans="1:17">
      <c r="B135" s="1593"/>
      <c r="C135" s="1593"/>
      <c r="D135" s="1593"/>
      <c r="E135" s="1593"/>
      <c r="F135" s="1593"/>
      <c r="G135" s="1593"/>
      <c r="I135" s="1591"/>
      <c r="J135" s="559"/>
      <c r="K135" s="1591"/>
      <c r="L135" s="1591"/>
      <c r="M135" s="1591"/>
      <c r="N135" s="1591"/>
      <c r="O135" s="1591"/>
      <c r="P135" s="584"/>
      <c r="Q135" s="1591"/>
    </row>
    <row r="136" spans="1:17">
      <c r="A136" s="1593"/>
      <c r="B136" s="1593"/>
      <c r="C136" s="1593"/>
      <c r="D136" s="1593"/>
      <c r="E136" s="1593"/>
      <c r="F136" s="1593"/>
      <c r="G136" s="1593"/>
      <c r="I136" s="559"/>
      <c r="J136" s="559"/>
      <c r="K136" s="1591"/>
      <c r="L136" s="1591"/>
      <c r="M136" s="1591"/>
      <c r="N136" s="1591"/>
      <c r="O136" s="1591"/>
      <c r="P136" s="1591"/>
      <c r="Q136" s="1591"/>
    </row>
    <row r="137" spans="1:17">
      <c r="A137" s="1593"/>
      <c r="B137" s="1593"/>
      <c r="C137" s="1593"/>
      <c r="D137" s="1593"/>
      <c r="E137" s="1593"/>
      <c r="F137" s="1593"/>
      <c r="G137" s="1593"/>
      <c r="I137" s="559"/>
      <c r="J137" s="559"/>
      <c r="K137" s="1591"/>
      <c r="L137" s="1591"/>
      <c r="M137" s="1591"/>
      <c r="N137" s="1591"/>
      <c r="O137" s="1591"/>
      <c r="P137" s="1591"/>
      <c r="Q137" s="1591"/>
    </row>
    <row r="138" spans="1:17">
      <c r="A138" s="1593"/>
      <c r="B138" s="1593"/>
      <c r="C138" s="1593"/>
      <c r="D138" s="1593"/>
      <c r="E138" s="1593"/>
      <c r="F138" s="1593"/>
      <c r="G138" s="1593"/>
      <c r="I138" s="559"/>
      <c r="J138" s="559"/>
      <c r="K138" s="1591"/>
      <c r="L138" s="1591"/>
      <c r="M138" s="1591"/>
      <c r="N138" s="1591"/>
      <c r="O138" s="1591"/>
      <c r="P138" s="1591"/>
    </row>
    <row r="139" spans="1:17">
      <c r="A139" s="1593"/>
      <c r="B139" s="1593"/>
      <c r="C139" s="1593"/>
      <c r="D139" s="1593"/>
      <c r="E139" s="1593"/>
      <c r="F139" s="1593"/>
      <c r="G139" s="1593"/>
      <c r="I139" s="559"/>
      <c r="J139" s="559"/>
      <c r="K139" s="1591"/>
      <c r="L139" s="1591"/>
      <c r="M139" s="1591"/>
      <c r="N139" s="1591"/>
      <c r="O139" s="1591"/>
      <c r="P139" s="1591"/>
      <c r="Q139" s="1591"/>
    </row>
    <row r="140" spans="1:17">
      <c r="A140" s="1593"/>
      <c r="B140" s="1593"/>
      <c r="C140" s="1593"/>
      <c r="D140" s="1593"/>
      <c r="E140" s="1593"/>
      <c r="F140" s="1593"/>
      <c r="G140" s="1593"/>
      <c r="I140" s="559"/>
      <c r="J140" s="559"/>
      <c r="K140" s="1591"/>
      <c r="L140" s="1591"/>
      <c r="M140" s="1591"/>
      <c r="N140" s="1591"/>
      <c r="P140" s="1591"/>
      <c r="Q140" s="576"/>
    </row>
    <row r="141" spans="1:17">
      <c r="A141" s="1593"/>
      <c r="B141" s="1593"/>
      <c r="C141" s="1593"/>
      <c r="D141" s="1593"/>
      <c r="E141" s="1593"/>
      <c r="F141" s="1593"/>
      <c r="G141" s="1593"/>
      <c r="I141" s="559"/>
      <c r="J141" s="559"/>
      <c r="K141" s="1591"/>
      <c r="L141" s="1591"/>
      <c r="M141" s="1591"/>
      <c r="N141" s="1591"/>
      <c r="O141" s="1591"/>
      <c r="P141" s="1591"/>
      <c r="Q141" s="1591"/>
    </row>
    <row r="142" spans="1:17">
      <c r="A142" s="1593"/>
      <c r="B142" s="1593"/>
      <c r="C142" s="1593"/>
      <c r="D142" s="1593"/>
      <c r="E142" s="1593"/>
      <c r="F142" s="1593"/>
      <c r="G142" s="1593"/>
      <c r="I142" s="559"/>
      <c r="J142" s="559"/>
      <c r="K142" s="1591"/>
      <c r="L142" s="1591"/>
      <c r="M142" s="1591"/>
      <c r="N142" s="1591"/>
      <c r="O142" s="1591"/>
      <c r="P142" s="582"/>
      <c r="Q142" s="1591"/>
    </row>
    <row r="143" spans="1:17">
      <c r="A143" s="1593"/>
      <c r="B143" s="1593"/>
      <c r="C143" s="1593"/>
      <c r="D143" s="1593"/>
      <c r="E143" s="1593"/>
      <c r="F143" s="1593"/>
      <c r="G143" s="1593"/>
      <c r="I143" s="559"/>
      <c r="J143" s="559"/>
      <c r="K143" s="1591"/>
      <c r="L143" s="585"/>
      <c r="O143" s="1591"/>
      <c r="Q143" s="1591"/>
    </row>
    <row r="144" spans="1:17">
      <c r="A144" s="1593"/>
      <c r="B144" s="1593"/>
      <c r="C144" s="1593"/>
      <c r="D144" s="1593"/>
      <c r="E144" s="1593"/>
      <c r="F144" s="1593"/>
      <c r="G144" s="1593"/>
      <c r="I144" s="559"/>
      <c r="J144" s="559"/>
      <c r="K144" s="1591"/>
      <c r="L144" s="585"/>
      <c r="M144" s="1591"/>
      <c r="N144" s="568"/>
      <c r="O144" s="1591"/>
    </row>
    <row r="145" spans="1:14">
      <c r="A145" s="1593"/>
      <c r="B145" s="1593"/>
      <c r="C145" s="1593"/>
      <c r="D145" s="1593"/>
      <c r="E145" s="1593"/>
      <c r="F145" s="1593"/>
      <c r="G145" s="1593"/>
      <c r="I145" s="1591"/>
      <c r="J145" s="1591"/>
      <c r="K145" s="585"/>
      <c r="L145" s="1593"/>
      <c r="M145" s="1593"/>
      <c r="N145" s="1593"/>
    </row>
    <row r="146" spans="1:14">
      <c r="A146" s="1593"/>
      <c r="B146" s="1593"/>
      <c r="C146" s="1593"/>
      <c r="D146" s="1593"/>
      <c r="E146" s="1593"/>
      <c r="F146" s="1593"/>
      <c r="I146" s="1591"/>
      <c r="J146" s="1591"/>
      <c r="K146" s="586"/>
      <c r="L146" s="1593"/>
      <c r="M146" s="1593"/>
      <c r="N146" s="1593"/>
    </row>
    <row r="147" spans="1:14">
      <c r="A147" s="1593"/>
      <c r="I147" s="1591"/>
      <c r="J147" s="1591"/>
      <c r="K147" s="1591"/>
      <c r="L147" s="1593"/>
      <c r="M147" s="1593"/>
      <c r="N147" s="1593"/>
    </row>
    <row r="148" spans="1:14">
      <c r="A148" s="1593"/>
      <c r="I148" s="1591"/>
      <c r="J148" s="1591"/>
      <c r="K148" s="1591"/>
      <c r="L148" s="1593"/>
      <c r="M148" s="1593"/>
      <c r="N148" s="1593"/>
    </row>
    <row r="149" spans="1:14">
      <c r="A149" s="1593"/>
      <c r="G149" s="1593"/>
      <c r="I149" s="1591"/>
      <c r="J149" s="1591"/>
      <c r="L149" s="1593"/>
      <c r="M149" s="1593"/>
      <c r="N149" s="1593"/>
    </row>
    <row r="150" spans="1:14">
      <c r="B150" s="1593"/>
      <c r="C150" s="1593"/>
      <c r="D150" s="1593"/>
      <c r="E150" s="1593"/>
      <c r="F150" s="1593"/>
      <c r="G150" s="1593"/>
    </row>
    <row r="151" spans="1:14">
      <c r="B151" s="1593"/>
      <c r="C151" s="1593"/>
      <c r="D151" s="1593"/>
      <c r="E151" s="1593"/>
      <c r="F151" s="1593"/>
      <c r="G151" s="1593"/>
    </row>
    <row r="152" spans="1:14">
      <c r="B152" s="1593"/>
      <c r="C152" s="1593"/>
      <c r="D152" s="1593"/>
      <c r="E152" s="1593"/>
      <c r="F152" s="1593"/>
      <c r="G152" s="1593"/>
    </row>
    <row r="153" spans="1:14">
      <c r="A153" s="1593"/>
      <c r="B153" s="1593"/>
      <c r="C153" s="1593"/>
      <c r="D153" s="1593"/>
      <c r="E153" s="1593"/>
      <c r="F153" s="1593"/>
      <c r="J153" s="1593"/>
      <c r="K153" s="1593"/>
      <c r="L153" s="1593"/>
      <c r="M153" s="1593"/>
      <c r="N153" s="1593"/>
    </row>
    <row r="154" spans="1:14">
      <c r="A154" s="1593"/>
      <c r="J154" s="1593"/>
      <c r="K154" s="1593"/>
      <c r="L154" s="1593"/>
      <c r="M154" s="1593"/>
      <c r="N154" s="1593"/>
    </row>
    <row r="155" spans="1:14">
      <c r="A155" s="1593"/>
      <c r="I155" s="1593"/>
      <c r="J155" s="1593"/>
      <c r="K155" s="1593"/>
      <c r="L155" s="1593"/>
      <c r="M155" s="1593"/>
      <c r="N155" s="1593"/>
    </row>
    <row r="156" spans="1:14">
      <c r="A156" s="1593"/>
      <c r="I156" s="1593"/>
      <c r="J156" s="1593"/>
      <c r="K156" s="1593"/>
      <c r="L156" s="1593"/>
      <c r="M156" s="1593"/>
      <c r="N156" s="1593"/>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A63:A92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61"/>
  <sheetViews>
    <sheetView showGridLines="0" zoomScale="90" workbookViewId="0"/>
  </sheetViews>
  <sheetFormatPr defaultColWidth="8.88671875" defaultRowHeight="15"/>
  <cols>
    <col min="1" max="1" width="1.88671875" style="1243" customWidth="1"/>
    <col min="2" max="2" width="48" style="1243" customWidth="1"/>
    <col min="3" max="3" width="4.5546875" style="1244" customWidth="1"/>
    <col min="4" max="4" width="20.5546875" style="1245" customWidth="1"/>
    <col min="5" max="5" width="2.44140625" style="1245" customWidth="1"/>
    <col min="6" max="6" width="20.5546875" style="1245" customWidth="1"/>
    <col min="7" max="7" width="2.44140625" style="1245" customWidth="1"/>
    <col min="8" max="8" width="20.5546875" style="1245" customWidth="1"/>
    <col min="9" max="9" width="2.44140625" style="1245" customWidth="1"/>
    <col min="10" max="10" width="20.5546875" style="1245" customWidth="1"/>
    <col min="11" max="11" width="2.44140625" style="1245" customWidth="1"/>
    <col min="12" max="12" width="20.5546875" style="1245" customWidth="1"/>
    <col min="13" max="14" width="2.44140625" style="1245" customWidth="1"/>
    <col min="15" max="15" width="19" style="1245" customWidth="1"/>
    <col min="16" max="16" width="8.88671875" style="1244"/>
    <col min="17" max="17" width="24.109375" style="1244" customWidth="1"/>
    <col min="18" max="19" width="8.88671875" style="1244"/>
    <col min="20" max="16384" width="8.88671875" style="1243"/>
  </cols>
  <sheetData>
    <row r="1" spans="1:44">
      <c r="B1" s="653" t="s">
        <v>979</v>
      </c>
    </row>
    <row r="3" spans="1:44" ht="18">
      <c r="O3" s="1384" t="s">
        <v>515</v>
      </c>
    </row>
    <row r="4" spans="1:44" s="1248" customFormat="1" ht="18" customHeight="1">
      <c r="A4" s="1246"/>
      <c r="B4" s="1999" t="s">
        <v>499</v>
      </c>
      <c r="C4" s="1385"/>
      <c r="D4" s="1385"/>
      <c r="E4" s="3706"/>
      <c r="F4" s="1385"/>
      <c r="G4" s="3706"/>
      <c r="H4" s="1385"/>
      <c r="I4" s="3706"/>
      <c r="J4" s="1385"/>
      <c r="K4" s="3706"/>
      <c r="L4" s="1385"/>
      <c r="M4" s="1385"/>
      <c r="N4" s="1385"/>
      <c r="O4" s="1385"/>
      <c r="P4" s="1247"/>
      <c r="Q4" s="1247"/>
      <c r="R4" s="1247"/>
      <c r="S4" s="1247"/>
    </row>
    <row r="5" spans="1:44" s="1248" customFormat="1" ht="18" customHeight="1">
      <c r="A5" s="1246"/>
      <c r="B5" s="1999" t="s">
        <v>1000</v>
      </c>
      <c r="C5" s="1249"/>
      <c r="D5" s="1249"/>
      <c r="E5" s="1249"/>
      <c r="F5" s="1249"/>
      <c r="G5" s="1249"/>
      <c r="H5" s="1249"/>
      <c r="I5" s="1249"/>
      <c r="J5" s="1249"/>
      <c r="K5" s="1249"/>
      <c r="L5" s="1249"/>
      <c r="M5" s="1249"/>
      <c r="N5" s="1249"/>
      <c r="O5" s="1267"/>
      <c r="P5" s="1247"/>
      <c r="Q5" s="1247"/>
      <c r="R5" s="1247"/>
      <c r="S5" s="1247"/>
    </row>
    <row r="6" spans="1:44" s="1248" customFormat="1" ht="18" customHeight="1">
      <c r="A6" s="1246"/>
      <c r="B6" s="1999" t="s">
        <v>1407</v>
      </c>
      <c r="C6" s="2000"/>
      <c r="D6" s="2000"/>
      <c r="E6" s="2000"/>
      <c r="F6" s="2000"/>
      <c r="G6" s="2000"/>
      <c r="H6" s="2000"/>
      <c r="I6" s="2000"/>
      <c r="J6" s="2000"/>
      <c r="K6" s="2000"/>
      <c r="L6" s="2000"/>
      <c r="M6" s="2000"/>
      <c r="N6" s="2000"/>
      <c r="O6" s="1385"/>
      <c r="P6" s="1247"/>
      <c r="Q6" s="1247"/>
      <c r="R6" s="1247"/>
      <c r="S6" s="1247"/>
    </row>
    <row r="7" spans="1:44" s="1248" customFormat="1" ht="18" customHeight="1">
      <c r="A7" s="1246"/>
      <c r="B7" s="2001"/>
      <c r="C7" s="2002"/>
      <c r="D7" s="2002"/>
      <c r="E7" s="2002"/>
      <c r="F7" s="2002"/>
      <c r="G7" s="2002"/>
      <c r="H7" s="2002"/>
      <c r="I7" s="2002"/>
      <c r="J7" s="2002"/>
      <c r="K7" s="2002"/>
      <c r="L7" s="2002"/>
      <c r="M7" s="2002"/>
      <c r="N7" s="2002"/>
      <c r="O7" s="1386"/>
      <c r="P7" s="1250"/>
      <c r="Q7" s="1247"/>
      <c r="R7" s="1247"/>
      <c r="S7" s="1247"/>
    </row>
    <row r="8" spans="1:44" s="1248" customFormat="1" ht="18" customHeight="1">
      <c r="A8" s="1246"/>
      <c r="B8" s="2001"/>
      <c r="C8" s="1251"/>
      <c r="D8" s="1251"/>
      <c r="E8" s="1251"/>
      <c r="F8" s="1251"/>
      <c r="G8" s="1251"/>
      <c r="H8" s="1251"/>
      <c r="I8" s="1251"/>
      <c r="J8" s="1251"/>
      <c r="K8" s="1251"/>
      <c r="L8" s="1251"/>
      <c r="M8" s="1251"/>
      <c r="N8" s="1251"/>
      <c r="O8" s="1251"/>
      <c r="P8" s="1250"/>
      <c r="Q8" s="1247"/>
      <c r="R8" s="1247"/>
      <c r="S8" s="1247"/>
    </row>
    <row r="9" spans="1:44" s="1257" customFormat="1" ht="15.75">
      <c r="A9" s="1252"/>
      <c r="B9" s="1252"/>
      <c r="C9" s="1253"/>
      <c r="D9" s="1675" t="s">
        <v>1443</v>
      </c>
      <c r="E9" s="3707"/>
      <c r="F9" s="1675" t="s">
        <v>1476</v>
      </c>
      <c r="G9" s="3707"/>
      <c r="H9" s="1675" t="s">
        <v>1557</v>
      </c>
      <c r="I9" s="3707"/>
      <c r="J9" s="1675">
        <v>2020</v>
      </c>
      <c r="K9" s="3707"/>
      <c r="L9" s="1675">
        <v>2020</v>
      </c>
      <c r="M9" s="1254"/>
      <c r="N9" s="1254"/>
      <c r="O9" s="1255"/>
      <c r="P9" s="1256"/>
      <c r="Q9" s="1256"/>
      <c r="R9" s="1256"/>
      <c r="S9" s="1256"/>
    </row>
    <row r="10" spans="1:44" ht="15.75">
      <c r="A10" s="1258"/>
      <c r="B10" s="1258"/>
      <c r="C10" s="1259"/>
      <c r="D10" s="2006" t="s">
        <v>1444</v>
      </c>
      <c r="E10" s="1590"/>
      <c r="F10" s="2006" t="s">
        <v>1477</v>
      </c>
      <c r="G10" s="1590"/>
      <c r="H10" s="2006" t="s">
        <v>1558</v>
      </c>
      <c r="I10" s="1590"/>
      <c r="J10" s="2006" t="s">
        <v>134</v>
      </c>
      <c r="K10" s="1590"/>
      <c r="L10" s="2006" t="s">
        <v>135</v>
      </c>
      <c r="M10" s="1590"/>
      <c r="N10" s="1590"/>
      <c r="O10" s="1260" t="s">
        <v>1408</v>
      </c>
    </row>
    <row r="11" spans="1:44">
      <c r="A11" s="1258"/>
      <c r="B11" s="1258"/>
      <c r="C11" s="1259"/>
      <c r="D11" s="1259"/>
      <c r="E11" s="1261"/>
      <c r="F11" s="1259"/>
      <c r="G11" s="1261"/>
      <c r="H11" s="1259"/>
      <c r="I11" s="1261"/>
      <c r="J11" s="1259"/>
      <c r="K11" s="1261"/>
      <c r="L11" s="1259"/>
      <c r="M11" s="1261"/>
      <c r="N11" s="1259"/>
      <c r="O11" s="1930"/>
    </row>
    <row r="12" spans="1:44" s="1257" customFormat="1" ht="15.75">
      <c r="A12" s="1262"/>
      <c r="B12" s="1262" t="s">
        <v>474</v>
      </c>
      <c r="C12" s="1253"/>
      <c r="D12" s="1263">
        <v>2224.4899999999998</v>
      </c>
      <c r="E12" s="1264"/>
      <c r="F12" s="1263">
        <f>D48</f>
        <v>1198.3900000000001</v>
      </c>
      <c r="G12" s="1264"/>
      <c r="H12" s="1263">
        <f>F48</f>
        <v>9008.14</v>
      </c>
      <c r="I12" s="1264"/>
      <c r="J12" s="1263">
        <f>H48</f>
        <v>1493.26</v>
      </c>
      <c r="K12" s="1264"/>
      <c r="L12" s="1263">
        <f>J48</f>
        <v>4063.85</v>
      </c>
      <c r="M12" s="2007"/>
      <c r="N12" s="1263"/>
      <c r="O12" s="1264">
        <f>D12</f>
        <v>2224.4899999999998</v>
      </c>
      <c r="P12" s="1256"/>
      <c r="Q12" s="1256"/>
      <c r="R12" s="1256"/>
      <c r="S12" s="1256"/>
      <c r="T12" s="1265"/>
      <c r="U12" s="1265"/>
      <c r="V12" s="1265"/>
      <c r="W12" s="1265"/>
      <c r="X12" s="1265"/>
      <c r="Y12" s="1265"/>
      <c r="Z12" s="1265"/>
      <c r="AA12" s="1265"/>
      <c r="AB12" s="1265"/>
      <c r="AC12" s="1265"/>
      <c r="AD12" s="1265"/>
      <c r="AE12" s="1266"/>
      <c r="AF12" s="1266"/>
      <c r="AG12" s="1266"/>
      <c r="AH12" s="1266"/>
      <c r="AI12" s="1266"/>
      <c r="AJ12" s="1266"/>
      <c r="AK12" s="1266"/>
      <c r="AL12" s="1266"/>
      <c r="AM12" s="1266"/>
      <c r="AN12" s="1266"/>
      <c r="AO12" s="1266"/>
      <c r="AP12" s="1266"/>
      <c r="AQ12" s="1266"/>
      <c r="AR12" s="1266"/>
    </row>
    <row r="13" spans="1:44" s="1257" customFormat="1" ht="15.75">
      <c r="A13" s="1262"/>
      <c r="B13" s="1262"/>
      <c r="C13" s="1253"/>
      <c r="D13" s="1263"/>
      <c r="E13" s="1264"/>
      <c r="F13" s="1263"/>
      <c r="G13" s="1264"/>
      <c r="H13" s="1263"/>
      <c r="I13" s="1264"/>
      <c r="J13" s="1263"/>
      <c r="K13" s="1264"/>
      <c r="L13" s="1263"/>
      <c r="M13" s="2007"/>
      <c r="N13" s="1263"/>
      <c r="O13" s="1264"/>
      <c r="P13" s="1256"/>
      <c r="Q13" s="1256"/>
      <c r="R13" s="1256"/>
      <c r="S13" s="1256"/>
      <c r="T13" s="1265"/>
      <c r="U13" s="1265"/>
      <c r="V13" s="1265"/>
      <c r="W13" s="1265"/>
      <c r="X13" s="1265"/>
      <c r="Y13" s="1265"/>
      <c r="Z13" s="1265"/>
      <c r="AA13" s="1265"/>
      <c r="AB13" s="1265"/>
      <c r="AC13" s="1265"/>
      <c r="AD13" s="1265"/>
      <c r="AE13" s="1266"/>
      <c r="AF13" s="1266"/>
      <c r="AG13" s="1266"/>
      <c r="AH13" s="1266"/>
      <c r="AI13" s="1266"/>
      <c r="AJ13" s="1266"/>
      <c r="AK13" s="1266"/>
      <c r="AL13" s="1266"/>
      <c r="AM13" s="1266"/>
      <c r="AN13" s="1266"/>
      <c r="AO13" s="1266"/>
      <c r="AP13" s="1266"/>
      <c r="AQ13" s="1266"/>
      <c r="AR13" s="1266"/>
    </row>
    <row r="14" spans="1:44" ht="15.75">
      <c r="A14" s="1258"/>
      <c r="B14" s="1262" t="s">
        <v>14</v>
      </c>
      <c r="C14" s="1259"/>
      <c r="D14" s="1259"/>
      <c r="E14" s="1261"/>
      <c r="F14" s="1259"/>
      <c r="G14" s="1261"/>
      <c r="H14" s="1259"/>
      <c r="I14" s="1261"/>
      <c r="J14" s="1259"/>
      <c r="K14" s="1261"/>
      <c r="L14" s="1259"/>
      <c r="M14" s="2008"/>
      <c r="N14" s="1259"/>
      <c r="O14" s="1261"/>
    </row>
    <row r="15" spans="1:44">
      <c r="A15" s="1258"/>
      <c r="B15" s="1267" t="s">
        <v>521</v>
      </c>
      <c r="C15" s="1259"/>
      <c r="D15" s="1268">
        <v>4789.67</v>
      </c>
      <c r="E15" s="1269"/>
      <c r="F15" s="1268">
        <v>11549.279999999999</v>
      </c>
      <c r="G15" s="1269"/>
      <c r="H15" s="1268">
        <v>2275.1799999999998</v>
      </c>
      <c r="I15" s="1269"/>
      <c r="J15" s="1268">
        <v>4063.85</v>
      </c>
      <c r="K15" s="1269"/>
      <c r="L15" s="1268">
        <v>584.51</v>
      </c>
      <c r="M15" s="2009"/>
      <c r="N15" s="1268"/>
      <c r="O15" s="1269">
        <f>ROUND(SUM(D15:N15),2)</f>
        <v>23262.49</v>
      </c>
    </row>
    <row r="16" spans="1:44" s="1257" customFormat="1" ht="15.75">
      <c r="A16" s="1262"/>
      <c r="B16" s="1262" t="s">
        <v>151</v>
      </c>
      <c r="C16" s="1253"/>
      <c r="D16" s="1931">
        <f>ROUND(SUM(D15:D15),2)</f>
        <v>4789.67</v>
      </c>
      <c r="E16" s="1270"/>
      <c r="F16" s="1931">
        <f>ROUND(SUM(F15:F15),2)</f>
        <v>11549.28</v>
      </c>
      <c r="G16" s="1270"/>
      <c r="H16" s="1931">
        <f>ROUND(SUM(H15:H15),2)</f>
        <v>2275.1799999999998</v>
      </c>
      <c r="I16" s="1270"/>
      <c r="J16" s="1931">
        <f>ROUND(SUM(J15:J15),2)</f>
        <v>4063.85</v>
      </c>
      <c r="K16" s="1270"/>
      <c r="L16" s="1931">
        <f>ROUND(SUM(L15:L15),2)</f>
        <v>584.51</v>
      </c>
      <c r="M16" s="2010"/>
      <c r="N16" s="1270"/>
      <c r="O16" s="1931">
        <f>ROUND(SUM(O15:O15),2)</f>
        <v>23262.49</v>
      </c>
      <c r="P16" s="1256"/>
      <c r="Q16" s="1256"/>
      <c r="R16" s="1256"/>
      <c r="S16" s="1256"/>
    </row>
    <row r="17" spans="1:24">
      <c r="A17" s="1258"/>
      <c r="B17" s="1258"/>
      <c r="C17" s="1259"/>
      <c r="D17" s="1268"/>
      <c r="E17" s="1269"/>
      <c r="F17" s="1268"/>
      <c r="G17" s="1269"/>
      <c r="H17" s="1268"/>
      <c r="I17" s="1269"/>
      <c r="J17" s="1268"/>
      <c r="K17" s="1269"/>
      <c r="L17" s="1268"/>
      <c r="M17" s="2009"/>
      <c r="N17" s="1268"/>
      <c r="O17" s="1932"/>
    </row>
    <row r="18" spans="1:24" ht="15.75">
      <c r="A18" s="1258"/>
      <c r="B18" s="1262" t="s">
        <v>945</v>
      </c>
      <c r="C18" s="1259"/>
      <c r="D18" s="1268"/>
      <c r="E18" s="1269"/>
      <c r="F18" s="1268"/>
      <c r="G18" s="1269"/>
      <c r="H18" s="1268"/>
      <c r="I18" s="1269"/>
      <c r="J18" s="1268"/>
      <c r="K18" s="1269"/>
      <c r="L18" s="1268"/>
      <c r="M18" s="2009"/>
      <c r="N18" s="1268"/>
      <c r="O18" s="1269"/>
    </row>
    <row r="19" spans="1:24">
      <c r="A19" s="1258"/>
      <c r="B19" s="1267" t="s">
        <v>539</v>
      </c>
      <c r="C19" s="1259"/>
      <c r="D19" s="1268">
        <v>-189777239.46000001</v>
      </c>
      <c r="E19" s="1269"/>
      <c r="F19" s="1268">
        <v>-223008636.27000001</v>
      </c>
      <c r="G19" s="1269"/>
      <c r="H19" s="1268">
        <v>-168828419.44</v>
      </c>
      <c r="I19" s="1269"/>
      <c r="J19" s="1268">
        <v>-85507670.890000001</v>
      </c>
      <c r="K19" s="1269"/>
      <c r="L19" s="1268">
        <v>-61745762.880000003</v>
      </c>
      <c r="M19" s="2009"/>
      <c r="N19" s="1268"/>
      <c r="O19" s="1269">
        <f>ROUND(SUM(D19:N19),2)</f>
        <v>-728867728.94000006</v>
      </c>
    </row>
    <row r="20" spans="1:24">
      <c r="A20" s="1258"/>
      <c r="B20" s="1267" t="s">
        <v>540</v>
      </c>
      <c r="C20" s="1259"/>
      <c r="D20" s="1268">
        <v>0</v>
      </c>
      <c r="E20" s="1269"/>
      <c r="F20" s="1268">
        <v>0</v>
      </c>
      <c r="G20" s="1269"/>
      <c r="H20" s="1268">
        <v>0</v>
      </c>
      <c r="I20" s="1269"/>
      <c r="J20" s="1268">
        <v>0</v>
      </c>
      <c r="K20" s="1269"/>
      <c r="L20" s="1268">
        <v>0</v>
      </c>
      <c r="M20" s="2009"/>
      <c r="N20" s="1268"/>
      <c r="O20" s="1269">
        <f>ROUND(SUM(D20:N20),2)</f>
        <v>0</v>
      </c>
    </row>
    <row r="21" spans="1:24">
      <c r="A21" s="1258"/>
      <c r="B21" s="1267" t="s">
        <v>541</v>
      </c>
      <c r="C21" s="1259"/>
      <c r="D21" s="1268">
        <v>945583.86</v>
      </c>
      <c r="E21" s="1269"/>
      <c r="F21" s="1268">
        <v>-120704277.72</v>
      </c>
      <c r="G21" s="1269"/>
      <c r="H21" s="1268">
        <v>2596349.33</v>
      </c>
      <c r="I21" s="1269"/>
      <c r="J21" s="1268">
        <v>168868.34</v>
      </c>
      <c r="K21" s="1269"/>
      <c r="L21" s="1268">
        <v>236537.88</v>
      </c>
      <c r="M21" s="2009"/>
      <c r="N21" s="1268"/>
      <c r="O21" s="1269">
        <f>ROUND(SUM(D21:N21),2)</f>
        <v>-116756938.31</v>
      </c>
    </row>
    <row r="22" spans="1:24" s="1257" customFormat="1" ht="15.75">
      <c r="A22" s="1262"/>
      <c r="B22" s="1271" t="s">
        <v>964</v>
      </c>
      <c r="C22" s="1253"/>
      <c r="D22" s="1933">
        <f>ROUND(SUM(D18:D21),2)</f>
        <v>-188831655.59999999</v>
      </c>
      <c r="E22" s="1270"/>
      <c r="F22" s="1933">
        <f>ROUND(SUM(F18:F21),2)</f>
        <v>-343712913.99000001</v>
      </c>
      <c r="G22" s="1270"/>
      <c r="H22" s="1933">
        <f>ROUND(SUM(H18:H21),2)</f>
        <v>-166232070.11000001</v>
      </c>
      <c r="I22" s="1270"/>
      <c r="J22" s="1933">
        <f>ROUND(SUM(J18:J21),2)</f>
        <v>-85338802.549999997</v>
      </c>
      <c r="K22" s="1270"/>
      <c r="L22" s="1933">
        <f>ROUND(SUM(L18:L21),2)</f>
        <v>-61509225</v>
      </c>
      <c r="M22" s="2010"/>
      <c r="N22" s="1270"/>
      <c r="O22" s="1933">
        <f>ROUND(SUM(O18:O21),2)</f>
        <v>-845624667.25</v>
      </c>
      <c r="P22" s="1256"/>
      <c r="Q22" s="1256"/>
      <c r="R22" s="1256"/>
      <c r="S22" s="1256"/>
    </row>
    <row r="23" spans="1:24">
      <c r="A23" s="1258"/>
      <c r="B23" s="1272"/>
      <c r="C23" s="1259"/>
      <c r="D23" s="1932"/>
      <c r="E23" s="1269"/>
      <c r="F23" s="1932"/>
      <c r="G23" s="1269"/>
      <c r="H23" s="1932"/>
      <c r="I23" s="1269"/>
      <c r="J23" s="1932"/>
      <c r="K23" s="1269"/>
      <c r="L23" s="1932"/>
      <c r="M23" s="2009"/>
      <c r="N23" s="1269"/>
      <c r="O23" s="1932"/>
    </row>
    <row r="24" spans="1:24" s="1257" customFormat="1" ht="15.75">
      <c r="A24" s="1262"/>
      <c r="B24" s="1262" t="s">
        <v>1227</v>
      </c>
      <c r="C24" s="1253"/>
      <c r="D24" s="1273">
        <f>ROUND(+D16+D22,2)</f>
        <v>-188826865.93000001</v>
      </c>
      <c r="E24" s="1273"/>
      <c r="F24" s="1273">
        <f>ROUND(+F16+F22,2)</f>
        <v>-343701364.70999998</v>
      </c>
      <c r="G24" s="1273"/>
      <c r="H24" s="1273">
        <f>ROUND(+H16+H22,2)</f>
        <v>-166229794.93000001</v>
      </c>
      <c r="I24" s="1273"/>
      <c r="J24" s="1273">
        <f>ROUND(+J16+J22,2)</f>
        <v>-85334738.700000003</v>
      </c>
      <c r="K24" s="1273"/>
      <c r="L24" s="1273">
        <f>ROUND(+L16+L22,2)</f>
        <v>-61508640.490000002</v>
      </c>
      <c r="M24" s="2012"/>
      <c r="N24" s="1273"/>
      <c r="O24" s="1273">
        <f>ROUND(+O16+O22,2)</f>
        <v>-845601404.75999999</v>
      </c>
      <c r="P24" s="1256"/>
      <c r="Q24" s="1256"/>
      <c r="R24" s="1256"/>
      <c r="S24" s="1256"/>
    </row>
    <row r="25" spans="1:24">
      <c r="A25" s="1258"/>
      <c r="B25" s="1258"/>
      <c r="C25" s="1259"/>
      <c r="D25" s="1932"/>
      <c r="E25" s="1269"/>
      <c r="F25" s="1932"/>
      <c r="G25" s="1269"/>
      <c r="H25" s="1932"/>
      <c r="I25" s="1269"/>
      <c r="J25" s="1932"/>
      <c r="K25" s="1269"/>
      <c r="L25" s="1932"/>
      <c r="M25" s="2009"/>
      <c r="N25" s="1269"/>
      <c r="O25" s="1932"/>
      <c r="P25" s="1245"/>
      <c r="Q25" s="1245"/>
      <c r="R25" s="1245"/>
      <c r="S25" s="1245"/>
      <c r="T25" s="1274"/>
      <c r="U25" s="1274"/>
      <c r="V25" s="1274"/>
      <c r="W25" s="1274"/>
      <c r="X25" s="1274"/>
    </row>
    <row r="26" spans="1:24" ht="15.75">
      <c r="A26" s="1258"/>
      <c r="B26" s="1262" t="s">
        <v>46</v>
      </c>
      <c r="C26" s="1259"/>
      <c r="D26" s="1268"/>
      <c r="E26" s="1269"/>
      <c r="F26" s="1268"/>
      <c r="G26" s="1269"/>
      <c r="H26" s="1268"/>
      <c r="I26" s="1269"/>
      <c r="J26" s="1268"/>
      <c r="K26" s="1269"/>
      <c r="L26" s="1268"/>
      <c r="M26" s="2009"/>
      <c r="N26" s="1268"/>
      <c r="O26" s="1269"/>
      <c r="P26" s="1245"/>
      <c r="Q26" s="1245"/>
      <c r="R26" s="1245"/>
      <c r="S26" s="1245"/>
      <c r="T26" s="1274"/>
      <c r="U26" s="1274"/>
      <c r="V26" s="1274"/>
      <c r="W26" s="1274"/>
      <c r="X26" s="1274"/>
    </row>
    <row r="27" spans="1:24" ht="15.75">
      <c r="A27" s="1258"/>
      <c r="B27" s="1262" t="s">
        <v>888</v>
      </c>
      <c r="C27" s="1259"/>
      <c r="D27" s="1268"/>
      <c r="E27" s="1269"/>
      <c r="F27" s="1268"/>
      <c r="G27" s="1269"/>
      <c r="H27" s="1268"/>
      <c r="I27" s="1269"/>
      <c r="J27" s="1268"/>
      <c r="K27" s="1269"/>
      <c r="L27" s="1268"/>
      <c r="M27" s="2009"/>
      <c r="N27" s="1268"/>
      <c r="O27" s="1269"/>
      <c r="P27" s="1245"/>
      <c r="Q27" s="1245"/>
      <c r="R27" s="1245"/>
      <c r="S27" s="1245"/>
      <c r="T27" s="1274"/>
      <c r="U27" s="1274"/>
      <c r="V27" s="1274"/>
      <c r="W27" s="1274"/>
      <c r="X27" s="1274"/>
    </row>
    <row r="28" spans="1:24">
      <c r="A28" s="1258"/>
      <c r="B28" s="1267" t="s">
        <v>542</v>
      </c>
      <c r="C28" s="1259"/>
      <c r="D28" s="1268">
        <v>0</v>
      </c>
      <c r="E28" s="1269"/>
      <c r="F28" s="1268">
        <v>0</v>
      </c>
      <c r="G28" s="1269"/>
      <c r="H28" s="1268">
        <v>0</v>
      </c>
      <c r="I28" s="1269"/>
      <c r="J28" s="1268">
        <v>0</v>
      </c>
      <c r="K28" s="1269"/>
      <c r="L28" s="1268">
        <v>0</v>
      </c>
      <c r="M28" s="2009"/>
      <c r="N28" s="1268"/>
      <c r="O28" s="1269">
        <f>ROUND(SUM(D28:N28),2)</f>
        <v>0</v>
      </c>
      <c r="P28" s="1245"/>
      <c r="Q28" s="1245"/>
      <c r="R28" s="1245"/>
      <c r="S28" s="1245"/>
      <c r="T28" s="1274"/>
      <c r="U28" s="1274"/>
      <c r="V28" s="1274"/>
      <c r="W28" s="1274"/>
      <c r="X28" s="1274"/>
    </row>
    <row r="29" spans="1:24">
      <c r="A29" s="1258"/>
      <c r="B29" s="1267" t="s">
        <v>532</v>
      </c>
      <c r="C29" s="1259"/>
      <c r="D29" s="1268">
        <v>0</v>
      </c>
      <c r="E29" s="1269"/>
      <c r="F29" s="1268">
        <v>0</v>
      </c>
      <c r="G29" s="1269"/>
      <c r="H29" s="1268">
        <v>0</v>
      </c>
      <c r="I29" s="1269"/>
      <c r="J29" s="1268">
        <v>0</v>
      </c>
      <c r="K29" s="1269"/>
      <c r="L29" s="1268">
        <v>0</v>
      </c>
      <c r="M29" s="2009"/>
      <c r="N29" s="1268"/>
      <c r="O29" s="1269">
        <f>ROUND(SUM(D29:N29),2)</f>
        <v>0</v>
      </c>
      <c r="P29" s="1245"/>
      <c r="Q29" s="1245"/>
      <c r="R29" s="1245"/>
      <c r="S29" s="1245"/>
      <c r="T29" s="1274"/>
      <c r="U29" s="1274"/>
      <c r="V29" s="1274"/>
      <c r="W29" s="1274"/>
      <c r="X29" s="1274"/>
    </row>
    <row r="30" spans="1:24" ht="15.75">
      <c r="A30" s="1258"/>
      <c r="B30" s="1262" t="s">
        <v>529</v>
      </c>
      <c r="C30" s="1259"/>
      <c r="D30" s="1268"/>
      <c r="E30" s="1269"/>
      <c r="F30" s="1268"/>
      <c r="G30" s="1269"/>
      <c r="H30" s="1268"/>
      <c r="I30" s="1269"/>
      <c r="J30" s="1268"/>
      <c r="K30" s="1269"/>
      <c r="L30" s="1268"/>
      <c r="M30" s="2009"/>
      <c r="N30" s="1268"/>
      <c r="O30" s="1269"/>
      <c r="P30" s="1245"/>
      <c r="Q30" s="1245"/>
      <c r="R30" s="1245"/>
      <c r="S30" s="1245"/>
      <c r="T30" s="1274"/>
      <c r="U30" s="1274"/>
      <c r="V30" s="1274"/>
      <c r="W30" s="1274"/>
      <c r="X30" s="1274"/>
    </row>
    <row r="31" spans="1:24">
      <c r="A31" s="1258"/>
      <c r="B31" s="1267" t="s">
        <v>543</v>
      </c>
      <c r="C31" s="1259"/>
      <c r="D31" s="1275">
        <v>94888619.730000004</v>
      </c>
      <c r="E31" s="1275"/>
      <c r="F31" s="1275">
        <v>162947521.68000001</v>
      </c>
      <c r="G31" s="1275"/>
      <c r="H31" s="1275">
        <v>84327178.219999999</v>
      </c>
      <c r="I31" s="1275"/>
      <c r="J31" s="1275">
        <v>41174575.950000003</v>
      </c>
      <c r="K31" s="1275"/>
      <c r="L31" s="1275">
        <v>30872881.440000001</v>
      </c>
      <c r="M31" s="2013"/>
      <c r="N31" s="1268"/>
      <c r="O31" s="1269">
        <f t="shared" ref="O31:O35" si="0">ROUND(SUM(D31:N31),2)</f>
        <v>414210777.01999998</v>
      </c>
      <c r="P31" s="1245"/>
      <c r="Q31" s="1245"/>
      <c r="R31" s="1245"/>
      <c r="S31" s="1245"/>
      <c r="T31" s="1274"/>
      <c r="U31" s="1274"/>
      <c r="V31" s="1274"/>
      <c r="W31" s="1274"/>
      <c r="X31" s="1274"/>
    </row>
    <row r="32" spans="1:24">
      <c r="A32" s="1258"/>
      <c r="B32" s="1267" t="s">
        <v>544</v>
      </c>
      <c r="C32" s="1259"/>
      <c r="D32" s="1275">
        <v>-930888.21</v>
      </c>
      <c r="E32" s="1275"/>
      <c r="F32" s="1275">
        <v>20125941.659999989</v>
      </c>
      <c r="G32" s="1275"/>
      <c r="H32" s="1275">
        <v>-114215.32999999999</v>
      </c>
      <c r="I32" s="1275"/>
      <c r="J32" s="1275">
        <v>2989650.66</v>
      </c>
      <c r="K32" s="1275"/>
      <c r="L32" s="1275">
        <v>-236537.88000000003</v>
      </c>
      <c r="M32" s="2013"/>
      <c r="N32" s="1268"/>
      <c r="O32" s="1269">
        <f t="shared" si="0"/>
        <v>21833950.899999999</v>
      </c>
      <c r="P32" s="1245"/>
      <c r="Q32" s="1245"/>
      <c r="R32" s="1245"/>
      <c r="S32" s="1245"/>
      <c r="T32" s="1274"/>
      <c r="U32" s="1274"/>
      <c r="V32" s="1274"/>
      <c r="W32" s="1274"/>
      <c r="X32" s="1274"/>
    </row>
    <row r="33" spans="1:49">
      <c r="A33" s="1258"/>
      <c r="B33" s="1267" t="s">
        <v>545</v>
      </c>
      <c r="C33" s="1259"/>
      <c r="D33" s="1275">
        <v>0</v>
      </c>
      <c r="E33" s="1275"/>
      <c r="F33" s="1275">
        <v>0</v>
      </c>
      <c r="G33" s="1275"/>
      <c r="H33" s="1275">
        <v>0</v>
      </c>
      <c r="I33" s="1275"/>
      <c r="J33" s="1275">
        <v>0</v>
      </c>
      <c r="K33" s="1275"/>
      <c r="L33" s="1275">
        <v>0</v>
      </c>
      <c r="M33" s="2013"/>
      <c r="N33" s="1268"/>
      <c r="O33" s="1269">
        <f t="shared" si="0"/>
        <v>0</v>
      </c>
      <c r="P33" s="1245"/>
      <c r="Q33" s="1245"/>
      <c r="R33" s="1245"/>
      <c r="S33" s="1245"/>
      <c r="T33" s="1274"/>
      <c r="U33" s="1274"/>
      <c r="V33" s="1274"/>
      <c r="W33" s="1274"/>
      <c r="X33" s="1274"/>
    </row>
    <row r="34" spans="1:49">
      <c r="A34" s="1258"/>
      <c r="B34" s="1267" t="s">
        <v>546</v>
      </c>
      <c r="C34" s="1259"/>
      <c r="D34" s="1275">
        <v>94888619.730000004</v>
      </c>
      <c r="E34" s="1275"/>
      <c r="F34" s="1275">
        <v>162947521.65000007</v>
      </c>
      <c r="G34" s="1275"/>
      <c r="H34" s="1275">
        <v>84327178.219999999</v>
      </c>
      <c r="I34" s="1275"/>
      <c r="J34" s="1275">
        <v>41174575.940000027</v>
      </c>
      <c r="K34" s="1275"/>
      <c r="L34" s="1275">
        <v>30872881.440000031</v>
      </c>
      <c r="M34" s="2013"/>
      <c r="N34" s="1268"/>
      <c r="O34" s="1269">
        <f t="shared" si="0"/>
        <v>414210776.98000002</v>
      </c>
      <c r="P34" s="1245"/>
      <c r="Q34" s="1245"/>
      <c r="R34" s="1245"/>
      <c r="S34" s="1245"/>
      <c r="T34" s="1274"/>
      <c r="U34" s="1274"/>
      <c r="V34" s="1274"/>
      <c r="W34" s="1274"/>
      <c r="X34" s="1274"/>
    </row>
    <row r="35" spans="1:49">
      <c r="A35" s="1258"/>
      <c r="B35" s="1267" t="s">
        <v>541</v>
      </c>
      <c r="C35" s="1259"/>
      <c r="D35" s="2014">
        <v>0</v>
      </c>
      <c r="E35" s="1275"/>
      <c r="F35" s="2014">
        <v>0</v>
      </c>
      <c r="G35" s="1275"/>
      <c r="H35" s="2014">
        <v>0</v>
      </c>
      <c r="I35" s="1275"/>
      <c r="J35" s="2014">
        <v>0</v>
      </c>
      <c r="K35" s="1275"/>
      <c r="L35" s="2014">
        <v>0</v>
      </c>
      <c r="M35" s="2013"/>
      <c r="N35" s="1275"/>
      <c r="O35" s="1269">
        <f t="shared" si="0"/>
        <v>0</v>
      </c>
      <c r="P35" s="1245"/>
      <c r="Q35" s="1245"/>
      <c r="R35" s="1245"/>
      <c r="S35" s="1245"/>
      <c r="T35" s="1274"/>
      <c r="U35" s="1274"/>
      <c r="V35" s="1274"/>
      <c r="W35" s="1274"/>
      <c r="X35" s="1274"/>
    </row>
    <row r="36" spans="1:49" s="1257" customFormat="1" ht="15.75">
      <c r="A36" s="1262"/>
      <c r="B36" s="1262" t="s">
        <v>531</v>
      </c>
      <c r="C36" s="1253"/>
      <c r="D36" s="1934">
        <f>ROUND(SUM(D28:D35),2)</f>
        <v>188846351.25</v>
      </c>
      <c r="E36" s="1270"/>
      <c r="F36" s="1934">
        <f>ROUND(SUM(F28:F35),2)</f>
        <v>346020984.99000001</v>
      </c>
      <c r="G36" s="1270"/>
      <c r="H36" s="1934">
        <f>ROUND(SUM(H28:H35),2)</f>
        <v>168540141.11000001</v>
      </c>
      <c r="I36" s="1270"/>
      <c r="J36" s="1934">
        <f>ROUND(SUM(J28:J35),2)</f>
        <v>85338802.549999997</v>
      </c>
      <c r="K36" s="1270"/>
      <c r="L36" s="1934">
        <f>ROUND(SUM(L28:L35),2)</f>
        <v>61509225</v>
      </c>
      <c r="M36" s="2010"/>
      <c r="N36" s="1270"/>
      <c r="O36" s="1934">
        <f>ROUND(SUM(O28:O35),2)</f>
        <v>850255504.89999998</v>
      </c>
      <c r="P36" s="1276"/>
      <c r="Q36" s="1276"/>
      <c r="R36" s="1276"/>
      <c r="S36" s="1276"/>
      <c r="T36" s="1277"/>
      <c r="U36" s="1277"/>
      <c r="V36" s="1277"/>
      <c r="W36" s="1277"/>
      <c r="X36" s="1277"/>
    </row>
    <row r="37" spans="1:49">
      <c r="A37" s="1258"/>
      <c r="B37" s="1258"/>
      <c r="C37" s="1259"/>
      <c r="D37" s="1268"/>
      <c r="E37" s="1269"/>
      <c r="F37" s="1268"/>
      <c r="G37" s="1269"/>
      <c r="H37" s="1268"/>
      <c r="I37" s="1269"/>
      <c r="J37" s="1268"/>
      <c r="K37" s="1269"/>
      <c r="L37" s="1268"/>
      <c r="M37" s="2009"/>
      <c r="N37" s="1268"/>
      <c r="O37" s="1269"/>
      <c r="P37" s="1245"/>
      <c r="Q37" s="1245"/>
      <c r="R37" s="1245"/>
      <c r="S37" s="1245"/>
      <c r="T37" s="1274"/>
      <c r="U37" s="1274"/>
      <c r="V37" s="1274"/>
      <c r="W37" s="1274"/>
      <c r="X37" s="1274"/>
    </row>
    <row r="38" spans="1:49" ht="15.75">
      <c r="A38" s="1258"/>
      <c r="B38" s="1262" t="s">
        <v>943</v>
      </c>
      <c r="C38" s="1259"/>
      <c r="D38" s="1268"/>
      <c r="E38" s="1269"/>
      <c r="F38" s="1268"/>
      <c r="G38" s="1269"/>
      <c r="H38" s="1268"/>
      <c r="I38" s="1269"/>
      <c r="J38" s="1268"/>
      <c r="K38" s="1269"/>
      <c r="L38" s="1268"/>
      <c r="M38" s="2009"/>
      <c r="N38" s="1268"/>
      <c r="O38" s="1269"/>
      <c r="P38" s="1245"/>
      <c r="Q38" s="1245"/>
      <c r="R38" s="1245"/>
      <c r="S38" s="1245"/>
      <c r="T38" s="1274"/>
      <c r="U38" s="1274"/>
      <c r="V38" s="1274"/>
      <c r="W38" s="1274"/>
      <c r="X38" s="1274"/>
    </row>
    <row r="39" spans="1:49">
      <c r="A39" s="1258"/>
      <c r="B39" s="1258" t="s">
        <v>542</v>
      </c>
      <c r="C39" s="1259"/>
      <c r="D39" s="1278">
        <v>0</v>
      </c>
      <c r="E39" s="1278"/>
      <c r="F39" s="1278">
        <v>0</v>
      </c>
      <c r="G39" s="1278"/>
      <c r="H39" s="1278">
        <v>0</v>
      </c>
      <c r="I39" s="1278"/>
      <c r="J39" s="1278">
        <v>0</v>
      </c>
      <c r="K39" s="1278"/>
      <c r="L39" s="1278">
        <v>0</v>
      </c>
      <c r="M39" s="2015"/>
      <c r="N39" s="1278"/>
      <c r="O39" s="1269">
        <f>ROUND(SUM(D39:N39),2)</f>
        <v>0</v>
      </c>
      <c r="P39" s="1245"/>
      <c r="Q39" s="1245"/>
      <c r="R39" s="1245"/>
      <c r="S39" s="1245"/>
      <c r="T39" s="1274"/>
      <c r="U39" s="1274"/>
      <c r="V39" s="1274"/>
      <c r="W39" s="1274"/>
      <c r="X39" s="1274"/>
    </row>
    <row r="40" spans="1:49">
      <c r="A40" s="1258"/>
      <c r="B40" s="1258" t="s">
        <v>532</v>
      </c>
      <c r="C40" s="1259"/>
      <c r="D40" s="1269">
        <v>0</v>
      </c>
      <c r="E40" s="1269"/>
      <c r="F40" s="1269">
        <v>0</v>
      </c>
      <c r="G40" s="1269"/>
      <c r="H40" s="1269">
        <v>0</v>
      </c>
      <c r="I40" s="1269"/>
      <c r="J40" s="1269">
        <v>0</v>
      </c>
      <c r="K40" s="1269"/>
      <c r="L40" s="1269">
        <v>0</v>
      </c>
      <c r="M40" s="2009"/>
      <c r="N40" s="1269"/>
      <c r="O40" s="1269">
        <f>ROUND(SUM(D40:N40),2)</f>
        <v>0</v>
      </c>
      <c r="P40" s="1245"/>
      <c r="Q40" s="1245"/>
      <c r="R40" s="1245"/>
      <c r="S40" s="1245"/>
      <c r="T40" s="1274"/>
      <c r="U40" s="1274"/>
      <c r="V40" s="1274"/>
      <c r="W40" s="1274"/>
      <c r="X40" s="1274"/>
    </row>
    <row r="41" spans="1:49" ht="15.75">
      <c r="A41" s="1258"/>
      <c r="B41" s="1262" t="s">
        <v>944</v>
      </c>
      <c r="C41" s="1259"/>
      <c r="D41" s="1268"/>
      <c r="E41" s="1269"/>
      <c r="F41" s="1268"/>
      <c r="G41" s="1269"/>
      <c r="H41" s="1268"/>
      <c r="I41" s="1269"/>
      <c r="J41" s="1268"/>
      <c r="K41" s="1269"/>
      <c r="L41" s="1268"/>
      <c r="M41" s="2009"/>
      <c r="N41" s="1268"/>
      <c r="O41" s="1269"/>
      <c r="P41" s="1245"/>
      <c r="Q41" s="1245"/>
      <c r="R41" s="1245"/>
      <c r="S41" s="1245"/>
      <c r="T41" s="1274"/>
      <c r="U41" s="1274"/>
      <c r="V41" s="1274"/>
      <c r="W41" s="1274"/>
      <c r="X41" s="1274"/>
    </row>
    <row r="42" spans="1:49">
      <c r="A42" s="1258"/>
      <c r="B42" s="1267" t="s">
        <v>547</v>
      </c>
      <c r="C42" s="1259"/>
      <c r="D42" s="2016">
        <v>-20511.419999999998</v>
      </c>
      <c r="E42" s="1269"/>
      <c r="F42" s="2016">
        <v>-2311810.5299999998</v>
      </c>
      <c r="G42" s="1269"/>
      <c r="H42" s="2016">
        <v>-2317861.06</v>
      </c>
      <c r="I42" s="1269"/>
      <c r="J42" s="2016">
        <v>-1493.26</v>
      </c>
      <c r="K42" s="1269"/>
      <c r="L42" s="2016">
        <v>-4063.85</v>
      </c>
      <c r="M42" s="2009"/>
      <c r="N42" s="1268"/>
      <c r="O42" s="1269">
        <f>ROUND(SUM(D42:N42),2)</f>
        <v>-4655740.12</v>
      </c>
      <c r="P42" s="1245"/>
      <c r="Q42" s="1245"/>
      <c r="R42" s="1245"/>
      <c r="S42" s="1245"/>
      <c r="T42" s="1274"/>
      <c r="U42" s="1274"/>
      <c r="V42" s="1274"/>
      <c r="W42" s="1274"/>
      <c r="X42" s="1274"/>
    </row>
    <row r="43" spans="1:49" s="1257" customFormat="1" ht="15.75">
      <c r="A43" s="1262"/>
      <c r="B43" s="1262" t="s">
        <v>533</v>
      </c>
      <c r="C43" s="1253"/>
      <c r="D43" s="1934">
        <f>ROUND(SUM(D39:D42),2)</f>
        <v>-20511.419999999998</v>
      </c>
      <c r="E43" s="1270"/>
      <c r="F43" s="1934">
        <f>ROUND(SUM(F39:F42),2)</f>
        <v>-2311810.5299999998</v>
      </c>
      <c r="G43" s="1270"/>
      <c r="H43" s="1934">
        <f>ROUND(SUM(H39:H42),2)</f>
        <v>-2317861.06</v>
      </c>
      <c r="I43" s="1270"/>
      <c r="J43" s="1934">
        <f>ROUND(SUM(J39:J42),2)</f>
        <v>-1493.26</v>
      </c>
      <c r="K43" s="1270"/>
      <c r="L43" s="1934">
        <f>ROUND(SUM(L39:L42),2)</f>
        <v>-4063.85</v>
      </c>
      <c r="M43" s="2010"/>
      <c r="N43" s="1270"/>
      <c r="O43" s="1934">
        <f>ROUND(SUM(O39:O42),2)</f>
        <v>-4655740.12</v>
      </c>
      <c r="P43" s="1276"/>
      <c r="Q43" s="1276"/>
      <c r="R43" s="1276"/>
      <c r="S43" s="1276"/>
      <c r="T43" s="1277"/>
      <c r="U43" s="1277"/>
      <c r="V43" s="1277"/>
      <c r="W43" s="1277"/>
      <c r="X43" s="1277"/>
    </row>
    <row r="44" spans="1:49">
      <c r="A44" s="1258"/>
      <c r="B44" s="1258"/>
      <c r="C44" s="1259"/>
      <c r="D44" s="1268"/>
      <c r="E44" s="1269"/>
      <c r="F44" s="1268"/>
      <c r="G44" s="1269"/>
      <c r="H44" s="1268"/>
      <c r="I44" s="1269"/>
      <c r="J44" s="1268"/>
      <c r="K44" s="1269"/>
      <c r="L44" s="1268"/>
      <c r="M44" s="2009"/>
      <c r="N44" s="1268"/>
      <c r="O44" s="1269"/>
      <c r="P44" s="1245"/>
      <c r="Q44" s="1245"/>
      <c r="R44" s="1245"/>
      <c r="S44" s="1245"/>
      <c r="T44" s="1274"/>
      <c r="U44" s="1274"/>
      <c r="V44" s="1274"/>
      <c r="W44" s="1274"/>
      <c r="X44" s="1274"/>
    </row>
    <row r="45" spans="1:49" ht="15.75">
      <c r="A45" s="1258"/>
      <c r="B45" s="1262" t="s">
        <v>548</v>
      </c>
      <c r="C45" s="1259"/>
      <c r="D45" s="1268"/>
      <c r="E45" s="1269"/>
      <c r="F45" s="1268"/>
      <c r="G45" s="1269"/>
      <c r="H45" s="1268"/>
      <c r="I45" s="1269"/>
      <c r="J45" s="1268"/>
      <c r="K45" s="1269"/>
      <c r="L45" s="1268"/>
      <c r="M45" s="2009"/>
      <c r="N45" s="1268"/>
      <c r="O45" s="1269"/>
      <c r="P45" s="1245"/>
      <c r="Q45" s="1245"/>
      <c r="R45" s="1245"/>
      <c r="S45" s="1245"/>
      <c r="T45" s="1274"/>
      <c r="U45" s="1274"/>
      <c r="V45" s="1274"/>
      <c r="W45" s="1274"/>
      <c r="X45" s="1274"/>
    </row>
    <row r="46" spans="1:49" ht="15.75">
      <c r="A46" s="1258"/>
      <c r="B46" s="1262" t="s">
        <v>549</v>
      </c>
      <c r="C46" s="1259"/>
      <c r="D46" s="2011">
        <f>ROUND(+D24+D36+D43,2)</f>
        <v>-1026.0999999999999</v>
      </c>
      <c r="E46" s="1273"/>
      <c r="F46" s="2011">
        <f>ROUND(+F24+F36+F43,2)</f>
        <v>7809.75</v>
      </c>
      <c r="G46" s="1273"/>
      <c r="H46" s="2011">
        <f>ROUND(+H24+H36+H43,2)</f>
        <v>-7514.88</v>
      </c>
      <c r="I46" s="1273"/>
      <c r="J46" s="2011">
        <f>ROUND(+J24+J36+J43,2)</f>
        <v>2570.59</v>
      </c>
      <c r="K46" s="1273"/>
      <c r="L46" s="2011">
        <f>ROUND(+L24+L36+L43,2)</f>
        <v>-3479.34</v>
      </c>
      <c r="M46" s="2012"/>
      <c r="N46" s="1273"/>
      <c r="O46" s="2011">
        <f>ROUND(+O24+O36+O43,2)</f>
        <v>-1639.98</v>
      </c>
      <c r="P46" s="1245"/>
      <c r="Q46" s="1245"/>
      <c r="R46" s="1245"/>
      <c r="S46" s="1245"/>
      <c r="T46" s="1274"/>
      <c r="U46" s="1274"/>
      <c r="V46" s="1274"/>
      <c r="W46" s="1274"/>
      <c r="X46" s="1274"/>
    </row>
    <row r="47" spans="1:49">
      <c r="A47" s="1258"/>
      <c r="B47" s="1258"/>
      <c r="C47" s="1259"/>
      <c r="D47" s="1259"/>
      <c r="E47" s="1261"/>
      <c r="F47" s="1259"/>
      <c r="G47" s="1261"/>
      <c r="H47" s="1259"/>
      <c r="I47" s="1261"/>
      <c r="J47" s="1259"/>
      <c r="K47" s="1261"/>
      <c r="L47" s="1259"/>
      <c r="M47" s="2008"/>
      <c r="N47" s="1259"/>
      <c r="O47" s="1279"/>
      <c r="P47" s="1245"/>
      <c r="Q47" s="1245"/>
      <c r="R47" s="1245"/>
      <c r="S47" s="1245"/>
      <c r="T47" s="1274"/>
      <c r="U47" s="1274"/>
      <c r="V47" s="1274"/>
      <c r="W47" s="1274"/>
      <c r="X47" s="1274"/>
    </row>
    <row r="48" spans="1:49" s="1257" customFormat="1" ht="16.5" thickBot="1">
      <c r="A48" s="1262"/>
      <c r="B48" s="1262" t="s">
        <v>536</v>
      </c>
      <c r="C48" s="1280"/>
      <c r="D48" s="1935">
        <f>ROUND(D12+D46,2)</f>
        <v>1198.3900000000001</v>
      </c>
      <c r="E48" s="1281"/>
      <c r="F48" s="1935">
        <f>ROUND(F12+F46,2)</f>
        <v>9008.14</v>
      </c>
      <c r="G48" s="1281"/>
      <c r="H48" s="1935">
        <f>ROUND(H12+H46,2)</f>
        <v>1493.26</v>
      </c>
      <c r="I48" s="1281"/>
      <c r="J48" s="1935">
        <f>ROUND(J12+J46,2)</f>
        <v>4063.85</v>
      </c>
      <c r="K48" s="1281"/>
      <c r="L48" s="1935">
        <f>ROUND(L12+L46,2)</f>
        <v>584.51</v>
      </c>
      <c r="M48" s="2017"/>
      <c r="N48" s="1281"/>
      <c r="O48" s="1935">
        <f>ROUND(O12+O46,2)</f>
        <v>584.51</v>
      </c>
      <c r="P48" s="1256"/>
      <c r="Q48" s="1256"/>
      <c r="R48" s="1256"/>
      <c r="S48" s="1256"/>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282"/>
      <c r="AV48" s="1282"/>
      <c r="AW48" s="1282"/>
    </row>
    <row r="49" spans="1:15" ht="15.75" thickTop="1">
      <c r="A49" s="1258"/>
      <c r="B49" s="1258" t="s">
        <v>15</v>
      </c>
      <c r="C49" s="1259"/>
      <c r="D49" s="1259"/>
      <c r="E49" s="1261"/>
      <c r="F49" s="1259"/>
      <c r="G49" s="1261"/>
      <c r="H49" s="1259"/>
      <c r="I49" s="1261"/>
      <c r="J49" s="1259"/>
      <c r="K49" s="1261"/>
      <c r="L49" s="1259"/>
      <c r="M49" s="1259"/>
      <c r="N49" s="1259"/>
      <c r="O49" s="1259"/>
    </row>
    <row r="50" spans="1:15">
      <c r="B50" s="1283" t="s">
        <v>537</v>
      </c>
    </row>
    <row r="51" spans="1:15">
      <c r="B51" s="1284"/>
    </row>
    <row r="59" spans="1:15" ht="15.75">
      <c r="B59" s="1285"/>
      <c r="C59" s="1286"/>
      <c r="D59" s="1286"/>
      <c r="E59" s="1313"/>
      <c r="F59" s="1286"/>
      <c r="G59" s="1313"/>
      <c r="H59" s="1286"/>
      <c r="I59" s="1313"/>
      <c r="J59" s="1286"/>
      <c r="K59" s="1313"/>
      <c r="L59" s="1286"/>
      <c r="M59" s="1286"/>
      <c r="N59" s="1286"/>
    </row>
    <row r="61" spans="1:15" ht="15.75">
      <c r="B61" s="1287"/>
      <c r="C61" s="1256"/>
    </row>
  </sheetData>
  <pageMargins left="0.24" right="0.24" top="0.5" bottom="0.5" header="0.18" footer="0.25"/>
  <pageSetup scale="60"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workbookViewId="0"/>
  </sheetViews>
  <sheetFormatPr defaultColWidth="8.88671875" defaultRowHeight="12.75"/>
  <cols>
    <col min="1" max="1" width="54.88671875" style="420" customWidth="1"/>
    <col min="2" max="2" width="1.88671875" style="420" customWidth="1"/>
    <col min="3" max="3" width="10.88671875" style="420" customWidth="1"/>
    <col min="4" max="4" width="1.88671875" style="420" customWidth="1"/>
    <col min="5" max="5" width="10.88671875" style="420" customWidth="1"/>
    <col min="6" max="6" width="1.88671875" style="420" customWidth="1"/>
    <col min="7" max="7" width="10.88671875" style="420" customWidth="1"/>
    <col min="8" max="8" width="1.88671875" style="420" customWidth="1"/>
    <col min="9" max="9" width="10.88671875" style="420" customWidth="1"/>
    <col min="10" max="10" width="1.88671875" style="420" customWidth="1"/>
    <col min="11" max="11" width="10.88671875" style="420" customWidth="1"/>
    <col min="12" max="12" width="1.88671875" style="420" customWidth="1"/>
    <col min="13" max="13" width="14.88671875" style="420" bestFit="1" customWidth="1"/>
    <col min="14" max="14" width="1.88671875" style="420" customWidth="1"/>
    <col min="15" max="15" width="10.88671875" style="420" customWidth="1"/>
    <col min="16" max="16" width="1.88671875" style="420" customWidth="1"/>
    <col min="17" max="17" width="13.5546875" style="420" bestFit="1" customWidth="1"/>
    <col min="18" max="18" width="1.88671875" style="420" customWidth="1"/>
    <col min="19" max="19" width="13.5546875" style="420" bestFit="1" customWidth="1"/>
    <col min="20" max="20" width="1.88671875" style="420" customWidth="1"/>
    <col min="21" max="21" width="11" style="420" customWidth="1"/>
    <col min="22" max="22" width="1.88671875" style="420" customWidth="1"/>
    <col min="23" max="23" width="10.88671875" style="420" customWidth="1"/>
    <col min="24" max="24" width="1.88671875" style="420" customWidth="1"/>
    <col min="25" max="25" width="10.88671875" style="420" customWidth="1"/>
    <col min="26" max="26" width="1.88671875" style="420" customWidth="1"/>
    <col min="27" max="27" width="14.109375" style="424" customWidth="1"/>
    <col min="28" max="28" width="3.88671875" style="420" customWidth="1"/>
    <col min="29" max="29" width="5.88671875" style="420" customWidth="1"/>
    <col min="30" max="30" width="10.109375" style="420" customWidth="1"/>
    <col min="31" max="31" width="2.88671875" style="420" customWidth="1"/>
    <col min="32" max="16384" width="8.88671875" style="420"/>
  </cols>
  <sheetData>
    <row r="1" spans="1:29" ht="15">
      <c r="A1" s="653" t="s">
        <v>979</v>
      </c>
    </row>
    <row r="2" spans="1:29" ht="20.25">
      <c r="A2" s="417"/>
      <c r="B2" s="1236"/>
      <c r="C2" s="1236"/>
      <c r="D2" s="1236"/>
      <c r="E2" s="1236"/>
      <c r="F2" s="1236"/>
      <c r="G2" s="1236"/>
      <c r="H2" s="1236"/>
      <c r="I2" s="1236"/>
      <c r="J2" s="1236"/>
      <c r="K2" s="1236"/>
      <c r="L2" s="418"/>
      <c r="M2" s="418"/>
      <c r="N2" s="1236"/>
      <c r="O2" s="1236"/>
      <c r="P2" s="1236"/>
      <c r="Q2" s="1236"/>
      <c r="R2" s="1236"/>
      <c r="S2" s="1236"/>
      <c r="T2" s="1236"/>
      <c r="U2" s="1236"/>
      <c r="V2" s="1236"/>
      <c r="W2" s="1236"/>
      <c r="X2" s="1236"/>
      <c r="Y2" s="1236"/>
      <c r="Z2" s="1236"/>
      <c r="AA2" s="1237"/>
      <c r="AB2" s="1236"/>
      <c r="AC2" s="419"/>
    </row>
    <row r="3" spans="1:29" ht="15">
      <c r="A3"/>
      <c r="B3" s="654"/>
      <c r="C3" s="654"/>
      <c r="D3" s="654"/>
      <c r="E3" s="654"/>
      <c r="F3" s="654"/>
      <c r="G3" s="654"/>
      <c r="H3" s="654"/>
      <c r="I3" s="654"/>
      <c r="J3" s="654"/>
      <c r="K3" s="654"/>
      <c r="L3"/>
      <c r="M3" s="654"/>
      <c r="N3" s="654"/>
      <c r="O3" s="654"/>
      <c r="P3" s="654"/>
      <c r="Q3" s="654"/>
      <c r="R3" s="654"/>
      <c r="S3" s="654"/>
      <c r="T3" s="654"/>
      <c r="U3" s="654"/>
      <c r="V3" s="654"/>
      <c r="W3" s="654"/>
      <c r="X3" s="654"/>
      <c r="Y3" s="654"/>
      <c r="Z3" s="654"/>
      <c r="AA3" s="420"/>
      <c r="AB3" s="1236"/>
      <c r="AC3" s="419"/>
    </row>
    <row r="4" spans="1:29" ht="20.25">
      <c r="A4" s="660" t="s">
        <v>0</v>
      </c>
      <c r="B4" s="654"/>
      <c r="C4" s="654"/>
      <c r="D4" s="654"/>
      <c r="E4" s="654"/>
      <c r="F4" s="654"/>
      <c r="G4" s="654"/>
      <c r="H4" s="654"/>
      <c r="I4" s="654"/>
      <c r="J4" s="654"/>
      <c r="K4" s="654"/>
      <c r="L4"/>
      <c r="M4" s="654"/>
      <c r="N4" s="654"/>
      <c r="O4" s="654"/>
      <c r="P4" s="654"/>
      <c r="Q4" s="654"/>
      <c r="R4" s="654"/>
      <c r="S4" s="654"/>
      <c r="T4" s="654"/>
      <c r="U4" s="654"/>
      <c r="V4" s="654"/>
      <c r="W4" s="654"/>
      <c r="X4" s="654"/>
      <c r="Y4" s="654"/>
      <c r="Z4" s="654"/>
      <c r="AA4" s="1238" t="s">
        <v>538</v>
      </c>
      <c r="AB4" s="1236"/>
      <c r="AC4" s="419"/>
    </row>
    <row r="5" spans="1:29" s="419" customFormat="1" ht="18">
      <c r="A5" s="660" t="s">
        <v>551</v>
      </c>
      <c r="B5" s="655"/>
      <c r="C5" s="655"/>
      <c r="D5" s="655"/>
      <c r="E5" s="655"/>
      <c r="F5" s="655"/>
      <c r="G5" s="655"/>
      <c r="H5" s="655"/>
      <c r="I5" s="655"/>
      <c r="J5" s="654"/>
      <c r="K5" s="654"/>
      <c r="L5" s="654"/>
      <c r="M5" s="654"/>
      <c r="N5" s="654"/>
      <c r="O5" s="654"/>
      <c r="P5" s="654"/>
      <c r="Q5" s="654"/>
      <c r="R5" s="654"/>
      <c r="S5" s="654"/>
      <c r="T5" s="654"/>
      <c r="U5" s="654"/>
      <c r="V5" s="654"/>
      <c r="W5" s="654"/>
      <c r="X5" s="654"/>
      <c r="Y5" s="654"/>
      <c r="Z5" s="654"/>
      <c r="AA5" s="654"/>
      <c r="AB5" s="1236"/>
    </row>
    <row r="6" spans="1:29" s="419" customFormat="1" ht="18">
      <c r="A6" s="227" t="s">
        <v>1397</v>
      </c>
      <c r="B6" s="655"/>
      <c r="C6" s="655"/>
      <c r="D6" s="655"/>
      <c r="E6" s="655"/>
      <c r="F6" s="655"/>
      <c r="G6" s="655"/>
      <c r="H6" s="655"/>
      <c r="I6" s="655"/>
      <c r="J6" s="654"/>
      <c r="K6" s="654"/>
      <c r="L6" s="654"/>
      <c r="M6" s="654"/>
      <c r="N6" s="654"/>
      <c r="O6" s="654"/>
      <c r="P6" s="654"/>
      <c r="Q6" s="654"/>
      <c r="R6" s="654"/>
      <c r="S6" s="654"/>
      <c r="T6" s="654"/>
      <c r="U6" s="654"/>
      <c r="V6" s="654"/>
      <c r="W6" s="654"/>
      <c r="X6" s="654"/>
      <c r="Y6" s="654"/>
      <c r="Z6" s="654"/>
      <c r="AA6" s="654"/>
      <c r="AB6" s="1236"/>
    </row>
    <row r="7" spans="1:29" s="419" customFormat="1" ht="18">
      <c r="A7" s="660" t="s">
        <v>1421</v>
      </c>
      <c r="B7" s="656"/>
      <c r="C7" s="656"/>
      <c r="D7" s="656"/>
      <c r="E7" s="656"/>
      <c r="F7" s="656"/>
      <c r="G7" s="656"/>
      <c r="H7" s="656"/>
      <c r="I7" s="656"/>
      <c r="J7"/>
      <c r="K7"/>
      <c r="L7"/>
      <c r="M7"/>
      <c r="N7"/>
      <c r="O7"/>
      <c r="P7"/>
      <c r="Q7"/>
      <c r="R7" s="654"/>
      <c r="S7" s="654"/>
      <c r="T7" s="654"/>
      <c r="U7" s="654"/>
      <c r="V7" s="654"/>
      <c r="W7" s="654"/>
      <c r="X7" s="654"/>
      <c r="Y7" s="654"/>
      <c r="Z7" s="654"/>
      <c r="AA7"/>
      <c r="AB7" s="1236"/>
    </row>
    <row r="8" spans="1:29" s="419" customFormat="1" ht="15.75">
      <c r="A8" s="657"/>
      <c r="B8" s="656"/>
      <c r="C8" s="776"/>
      <c r="D8" s="776"/>
      <c r="E8" s="776"/>
      <c r="F8" s="776"/>
      <c r="G8" s="776"/>
      <c r="H8" s="776"/>
      <c r="I8" s="776"/>
      <c r="J8" s="675"/>
      <c r="K8" s="675"/>
      <c r="L8" s="675"/>
      <c r="M8" s="675"/>
      <c r="N8" s="675"/>
      <c r="O8" s="675"/>
      <c r="P8" s="675"/>
      <c r="Q8" s="675"/>
      <c r="R8" s="675"/>
      <c r="S8" s="675"/>
      <c r="T8" s="675"/>
      <c r="U8" s="675"/>
      <c r="V8" s="675"/>
      <c r="W8" s="675"/>
      <c r="X8" s="675"/>
      <c r="Y8" s="675"/>
      <c r="Z8" s="675"/>
      <c r="AA8" s="675"/>
      <c r="AB8" s="1236"/>
    </row>
    <row r="9" spans="1:29" s="419" customFormat="1" ht="15.75">
      <c r="A9" s="654"/>
      <c r="B9" s="654"/>
      <c r="C9" s="675"/>
      <c r="D9" s="675"/>
      <c r="E9" s="675"/>
      <c r="F9" s="675"/>
      <c r="G9" s="675"/>
      <c r="H9" s="675"/>
      <c r="I9" s="675"/>
      <c r="J9" s="675"/>
      <c r="K9" s="675"/>
      <c r="L9" s="675"/>
      <c r="M9" s="675"/>
      <c r="N9" s="675"/>
      <c r="O9" s="675"/>
      <c r="P9" s="675"/>
      <c r="Q9" s="675"/>
      <c r="R9" s="675"/>
      <c r="S9" s="675"/>
      <c r="T9" s="675"/>
      <c r="U9" s="675"/>
      <c r="V9" s="675"/>
      <c r="W9" s="675"/>
      <c r="X9" s="675"/>
      <c r="Y9" s="675"/>
      <c r="Z9" s="675"/>
      <c r="AA9" s="675"/>
      <c r="AB9" s="1236"/>
    </row>
    <row r="10" spans="1:29" s="419" customFormat="1" ht="18">
      <c r="A10" s="654"/>
      <c r="B10" s="674"/>
      <c r="C10" s="777">
        <v>2019</v>
      </c>
      <c r="D10" s="777" t="s">
        <v>15</v>
      </c>
      <c r="E10" s="777">
        <v>2019</v>
      </c>
      <c r="F10" s="777" t="s">
        <v>15</v>
      </c>
      <c r="G10" s="777">
        <v>2019</v>
      </c>
      <c r="H10" s="777" t="s">
        <v>15</v>
      </c>
      <c r="I10" s="777">
        <v>2019</v>
      </c>
      <c r="J10" s="777" t="s">
        <v>15</v>
      </c>
      <c r="K10" s="777">
        <v>2019</v>
      </c>
      <c r="L10" s="777" t="s">
        <v>15</v>
      </c>
      <c r="M10" s="777">
        <v>2019</v>
      </c>
      <c r="N10" s="777" t="s">
        <v>15</v>
      </c>
      <c r="O10" s="777">
        <v>2019</v>
      </c>
      <c r="P10" s="777" t="s">
        <v>15</v>
      </c>
      <c r="Q10" s="777">
        <v>2019</v>
      </c>
      <c r="R10" s="777" t="s">
        <v>15</v>
      </c>
      <c r="S10" s="777">
        <v>2019</v>
      </c>
      <c r="T10" s="777"/>
      <c r="U10" s="777">
        <v>2020</v>
      </c>
      <c r="V10" s="777"/>
      <c r="W10" s="777">
        <v>2020</v>
      </c>
      <c r="X10" s="777"/>
      <c r="Y10" s="777">
        <v>2020</v>
      </c>
      <c r="Z10" s="660"/>
      <c r="AA10" s="778" t="s">
        <v>1406</v>
      </c>
      <c r="AB10" s="1239"/>
    </row>
    <row r="11" spans="1:29" s="419" customFormat="1" ht="18">
      <c r="A11" s="654"/>
      <c r="B11" s="674"/>
      <c r="C11" s="2201" t="s">
        <v>125</v>
      </c>
      <c r="D11" s="778"/>
      <c r="E11" s="2201" t="s">
        <v>126</v>
      </c>
      <c r="F11" s="778"/>
      <c r="G11" s="2201" t="s">
        <v>127</v>
      </c>
      <c r="H11" s="778"/>
      <c r="I11" s="2201" t="s">
        <v>128</v>
      </c>
      <c r="J11" s="778"/>
      <c r="K11" s="2201" t="s">
        <v>129</v>
      </c>
      <c r="L11" s="778"/>
      <c r="M11" s="2201" t="s">
        <v>144</v>
      </c>
      <c r="N11" s="778"/>
      <c r="O11" s="2201" t="s">
        <v>145</v>
      </c>
      <c r="P11" s="778"/>
      <c r="Q11" s="2201" t="s">
        <v>132</v>
      </c>
      <c r="R11" s="778"/>
      <c r="S11" s="2201" t="s">
        <v>133</v>
      </c>
      <c r="T11" s="778"/>
      <c r="U11" s="2201" t="s">
        <v>134</v>
      </c>
      <c r="V11" s="778"/>
      <c r="W11" s="2201" t="s">
        <v>135</v>
      </c>
      <c r="X11" s="778"/>
      <c r="Y11" s="2201" t="s">
        <v>186</v>
      </c>
      <c r="Z11" s="660"/>
      <c r="AA11" s="2201" t="s">
        <v>552</v>
      </c>
      <c r="AB11" s="1236"/>
    </row>
    <row r="12" spans="1:29" s="419" customFormat="1" ht="18">
      <c r="A12"/>
      <c r="B12" s="674"/>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1924"/>
      <c r="AC12" s="1925"/>
    </row>
    <row r="13" spans="1:29" s="421" customFormat="1" ht="18">
      <c r="A13" s="675" t="s">
        <v>553</v>
      </c>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1924"/>
      <c r="AC13" s="1926"/>
    </row>
    <row r="14" spans="1:29" s="421" customFormat="1" ht="18">
      <c r="A14" s="654" t="s">
        <v>554</v>
      </c>
      <c r="B14" s="674"/>
      <c r="C14" s="801">
        <v>0</v>
      </c>
      <c r="D14" s="801"/>
      <c r="E14" s="801">
        <v>21</v>
      </c>
      <c r="F14" s="801"/>
      <c r="G14" s="2215">
        <v>0</v>
      </c>
      <c r="H14" s="801"/>
      <c r="I14" s="2215">
        <v>25</v>
      </c>
      <c r="J14" s="802"/>
      <c r="K14" s="2215">
        <v>1</v>
      </c>
      <c r="L14" s="801"/>
      <c r="M14" s="2215">
        <v>0</v>
      </c>
      <c r="N14" s="802"/>
      <c r="O14" s="2215">
        <v>12</v>
      </c>
      <c r="P14" s="802"/>
      <c r="Q14" s="2215">
        <v>0</v>
      </c>
      <c r="R14" s="802"/>
      <c r="S14" s="2215">
        <v>10</v>
      </c>
      <c r="T14" s="802"/>
      <c r="U14" s="2215">
        <v>3</v>
      </c>
      <c r="V14" s="802"/>
      <c r="W14" s="2215">
        <v>0</v>
      </c>
      <c r="X14" s="802"/>
      <c r="Y14" s="2215"/>
      <c r="Z14" s="674"/>
      <c r="AA14" s="3126">
        <f>ROUND(SUM(C14:Z14),0)</f>
        <v>72</v>
      </c>
      <c r="AB14" s="1924"/>
      <c r="AC14" s="1926"/>
    </row>
    <row r="15" spans="1:29" s="421" customFormat="1" ht="18">
      <c r="A15" s="654" t="s">
        <v>555</v>
      </c>
      <c r="B15" s="674"/>
      <c r="C15" s="803">
        <v>0</v>
      </c>
      <c r="D15" s="804"/>
      <c r="E15" s="804">
        <v>2109</v>
      </c>
      <c r="F15" s="804"/>
      <c r="G15" s="807">
        <v>221</v>
      </c>
      <c r="H15" s="804"/>
      <c r="I15" s="807">
        <v>2703</v>
      </c>
      <c r="J15" s="805"/>
      <c r="K15" s="807">
        <v>2354</v>
      </c>
      <c r="L15" s="804"/>
      <c r="M15" s="807">
        <v>1566</v>
      </c>
      <c r="N15" s="805"/>
      <c r="O15" s="807">
        <v>789</v>
      </c>
      <c r="P15" s="805"/>
      <c r="Q15" s="807">
        <v>0</v>
      </c>
      <c r="R15" s="805"/>
      <c r="S15" s="807">
        <v>202</v>
      </c>
      <c r="T15" s="805"/>
      <c r="U15" s="807">
        <v>0</v>
      </c>
      <c r="V15" s="805"/>
      <c r="W15" s="807">
        <v>0</v>
      </c>
      <c r="X15" s="805"/>
      <c r="Y15" s="807"/>
      <c r="Z15" s="674"/>
      <c r="AA15" s="1505">
        <f t="shared" ref="AA15:AA29" si="0">ROUND(SUM(C15:Z15),0)</f>
        <v>9944</v>
      </c>
      <c r="AB15" s="1924"/>
      <c r="AC15" s="1926"/>
    </row>
    <row r="16" spans="1:29" s="421" customFormat="1" ht="18">
      <c r="A16" s="654" t="s">
        <v>556</v>
      </c>
      <c r="B16" s="674"/>
      <c r="C16" s="803">
        <v>0</v>
      </c>
      <c r="D16" s="804"/>
      <c r="E16" s="804">
        <v>0</v>
      </c>
      <c r="F16" s="804"/>
      <c r="G16" s="807">
        <v>0</v>
      </c>
      <c r="H16" s="804"/>
      <c r="I16" s="807">
        <v>0</v>
      </c>
      <c r="J16" s="805"/>
      <c r="K16" s="807">
        <v>51</v>
      </c>
      <c r="L16" s="804"/>
      <c r="M16" s="807">
        <v>3</v>
      </c>
      <c r="N16" s="805"/>
      <c r="O16" s="807">
        <v>0</v>
      </c>
      <c r="P16" s="805"/>
      <c r="Q16" s="807">
        <v>0</v>
      </c>
      <c r="R16" s="805"/>
      <c r="S16" s="807">
        <v>0</v>
      </c>
      <c r="T16" s="805"/>
      <c r="U16" s="807">
        <v>1</v>
      </c>
      <c r="V16" s="805"/>
      <c r="W16" s="807">
        <v>0</v>
      </c>
      <c r="X16" s="805"/>
      <c r="Y16" s="807"/>
      <c r="Z16" s="674"/>
      <c r="AA16" s="1505">
        <f t="shared" si="0"/>
        <v>55</v>
      </c>
      <c r="AB16" s="1240"/>
      <c r="AC16" s="1926"/>
    </row>
    <row r="17" spans="1:29" s="421" customFormat="1" ht="18">
      <c r="A17" s="654" t="s">
        <v>1005</v>
      </c>
      <c r="B17" s="674"/>
      <c r="C17" s="807">
        <v>0</v>
      </c>
      <c r="D17" s="804"/>
      <c r="E17" s="806">
        <v>0</v>
      </c>
      <c r="F17" s="804"/>
      <c r="G17" s="806">
        <v>0</v>
      </c>
      <c r="H17" s="804"/>
      <c r="I17" s="806">
        <v>0</v>
      </c>
      <c r="J17" s="805"/>
      <c r="K17" s="806">
        <v>0</v>
      </c>
      <c r="L17" s="804"/>
      <c r="M17" s="806">
        <v>0</v>
      </c>
      <c r="N17" s="805"/>
      <c r="O17" s="806">
        <v>0</v>
      </c>
      <c r="P17" s="805"/>
      <c r="Q17" s="806">
        <v>0</v>
      </c>
      <c r="R17" s="805"/>
      <c r="S17" s="806">
        <v>0</v>
      </c>
      <c r="T17" s="805"/>
      <c r="U17" s="806">
        <v>0</v>
      </c>
      <c r="V17" s="805"/>
      <c r="W17" s="806">
        <v>0</v>
      </c>
      <c r="X17" s="805"/>
      <c r="Y17" s="806"/>
      <c r="Z17" s="674"/>
      <c r="AA17" s="1505">
        <f t="shared" si="0"/>
        <v>0</v>
      </c>
      <c r="AB17" s="1240"/>
      <c r="AC17" s="1926"/>
    </row>
    <row r="18" spans="1:29" s="421" customFormat="1" ht="18">
      <c r="A18" s="654" t="s">
        <v>557</v>
      </c>
      <c r="B18" s="674"/>
      <c r="C18" s="804"/>
      <c r="D18" s="804"/>
      <c r="E18" s="808"/>
      <c r="F18" s="804"/>
      <c r="G18" s="808"/>
      <c r="H18" s="804"/>
      <c r="I18" s="808"/>
      <c r="J18" s="805"/>
      <c r="K18" s="808"/>
      <c r="L18" s="804"/>
      <c r="M18" s="808"/>
      <c r="N18" s="805"/>
      <c r="O18" s="808"/>
      <c r="P18" s="805"/>
      <c r="Q18" s="808"/>
      <c r="R18" s="805"/>
      <c r="S18" s="808"/>
      <c r="T18" s="805"/>
      <c r="U18" s="808"/>
      <c r="V18" s="805"/>
      <c r="W18" s="808"/>
      <c r="X18" s="805"/>
      <c r="Y18" s="808"/>
      <c r="Z18" s="674"/>
      <c r="AA18" s="1505"/>
      <c r="AB18" s="1240"/>
      <c r="AC18" s="1926"/>
    </row>
    <row r="19" spans="1:29" s="421" customFormat="1" ht="18">
      <c r="A19" s="654" t="s">
        <v>1011</v>
      </c>
      <c r="B19" s="674"/>
      <c r="C19" s="803">
        <v>647</v>
      </c>
      <c r="D19" s="804"/>
      <c r="E19" s="804">
        <v>1183</v>
      </c>
      <c r="F19" s="804"/>
      <c r="G19" s="807">
        <v>11</v>
      </c>
      <c r="H19" s="804"/>
      <c r="I19" s="807">
        <v>788</v>
      </c>
      <c r="J19" s="805"/>
      <c r="K19" s="807">
        <v>309</v>
      </c>
      <c r="L19" s="804"/>
      <c r="M19" s="807">
        <v>590</v>
      </c>
      <c r="N19" s="805"/>
      <c r="O19" s="807">
        <v>242</v>
      </c>
      <c r="P19" s="805"/>
      <c r="Q19" s="807">
        <v>368</v>
      </c>
      <c r="R19" s="805"/>
      <c r="S19" s="807">
        <v>677</v>
      </c>
      <c r="T19" s="805"/>
      <c r="U19" s="807">
        <v>387</v>
      </c>
      <c r="V19" s="805"/>
      <c r="W19" s="807">
        <v>414</v>
      </c>
      <c r="X19" s="805"/>
      <c r="Y19" s="807"/>
      <c r="Z19" s="674"/>
      <c r="AA19" s="1505">
        <f t="shared" si="0"/>
        <v>5616</v>
      </c>
      <c r="AB19" s="1240"/>
      <c r="AC19" s="1926"/>
    </row>
    <row r="20" spans="1:29" s="421" customFormat="1" ht="18">
      <c r="A20" s="654" t="s">
        <v>558</v>
      </c>
      <c r="B20" s="674"/>
      <c r="C20" s="803">
        <v>37</v>
      </c>
      <c r="D20" s="804"/>
      <c r="E20" s="804">
        <v>0</v>
      </c>
      <c r="F20" s="804"/>
      <c r="G20" s="807">
        <v>0</v>
      </c>
      <c r="H20" s="804"/>
      <c r="I20" s="807">
        <v>0</v>
      </c>
      <c r="J20" s="805"/>
      <c r="K20" s="807">
        <v>0</v>
      </c>
      <c r="L20" s="804"/>
      <c r="M20" s="807">
        <v>0</v>
      </c>
      <c r="N20" s="805"/>
      <c r="O20" s="807">
        <v>0</v>
      </c>
      <c r="P20" s="805"/>
      <c r="Q20" s="807">
        <v>0</v>
      </c>
      <c r="R20" s="805"/>
      <c r="S20" s="807">
        <v>0</v>
      </c>
      <c r="T20" s="805"/>
      <c r="U20" s="807">
        <v>0</v>
      </c>
      <c r="V20" s="805"/>
      <c r="W20" s="807">
        <v>0</v>
      </c>
      <c r="X20" s="805"/>
      <c r="Y20" s="807"/>
      <c r="Z20" s="674"/>
      <c r="AA20" s="1505">
        <f t="shared" si="0"/>
        <v>37</v>
      </c>
      <c r="AB20" s="1240"/>
      <c r="AC20" s="1926"/>
    </row>
    <row r="21" spans="1:29" s="421" customFormat="1" ht="18">
      <c r="A21" s="654" t="s">
        <v>559</v>
      </c>
      <c r="B21" s="674"/>
      <c r="C21" s="803">
        <v>0</v>
      </c>
      <c r="D21" s="804"/>
      <c r="E21" s="804">
        <v>0</v>
      </c>
      <c r="F21" s="804"/>
      <c r="G21" s="807">
        <v>0</v>
      </c>
      <c r="H21" s="804"/>
      <c r="I21" s="807">
        <v>0</v>
      </c>
      <c r="J21" s="805"/>
      <c r="K21" s="807">
        <v>0</v>
      </c>
      <c r="L21" s="804"/>
      <c r="M21" s="807">
        <v>0</v>
      </c>
      <c r="N21" s="805"/>
      <c r="O21" s="807">
        <v>0</v>
      </c>
      <c r="P21" s="805"/>
      <c r="Q21" s="807">
        <v>0</v>
      </c>
      <c r="R21" s="805"/>
      <c r="S21" s="807">
        <v>0</v>
      </c>
      <c r="T21" s="805"/>
      <c r="U21" s="807">
        <v>0</v>
      </c>
      <c r="V21" s="805"/>
      <c r="W21" s="807">
        <v>0</v>
      </c>
      <c r="X21" s="805"/>
      <c r="Y21" s="807"/>
      <c r="Z21" s="674"/>
      <c r="AA21" s="1505">
        <f t="shared" si="0"/>
        <v>0</v>
      </c>
      <c r="AB21" s="1240"/>
      <c r="AC21" s="1926"/>
    </row>
    <row r="22" spans="1:29" s="421" customFormat="1" ht="18">
      <c r="A22" s="654" t="s">
        <v>560</v>
      </c>
      <c r="B22" s="674"/>
      <c r="C22" s="803">
        <v>19134</v>
      </c>
      <c r="D22" s="804"/>
      <c r="E22" s="804">
        <v>18022</v>
      </c>
      <c r="F22" s="804"/>
      <c r="G22" s="807">
        <v>14341</v>
      </c>
      <c r="H22" s="804"/>
      <c r="I22" s="807">
        <v>23762</v>
      </c>
      <c r="J22" s="805"/>
      <c r="K22" s="807">
        <v>10916</v>
      </c>
      <c r="L22" s="804"/>
      <c r="M22" s="807">
        <v>28143</v>
      </c>
      <c r="N22" s="805"/>
      <c r="O22" s="807">
        <v>20932</v>
      </c>
      <c r="P22" s="805"/>
      <c r="Q22" s="807">
        <v>9312</v>
      </c>
      <c r="R22" s="805"/>
      <c r="S22" s="807">
        <v>27400</v>
      </c>
      <c r="T22" s="805"/>
      <c r="U22" s="807">
        <v>36283</v>
      </c>
      <c r="V22" s="805"/>
      <c r="W22" s="807">
        <v>14788</v>
      </c>
      <c r="X22" s="805"/>
      <c r="Y22" s="807"/>
      <c r="Z22" s="674"/>
      <c r="AA22" s="1505">
        <f t="shared" si="0"/>
        <v>223033</v>
      </c>
      <c r="AB22" s="1240"/>
      <c r="AC22" s="1926"/>
    </row>
    <row r="23" spans="1:29" s="421" customFormat="1" ht="18">
      <c r="A23" s="654" t="s">
        <v>561</v>
      </c>
      <c r="B23" s="674"/>
      <c r="C23" s="803">
        <v>2965</v>
      </c>
      <c r="D23" s="804"/>
      <c r="E23" s="804">
        <v>2554</v>
      </c>
      <c r="F23" s="804"/>
      <c r="G23" s="807">
        <v>975</v>
      </c>
      <c r="H23" s="804"/>
      <c r="I23" s="807">
        <v>5101</v>
      </c>
      <c r="J23" s="805"/>
      <c r="K23" s="807">
        <v>780</v>
      </c>
      <c r="L23" s="804"/>
      <c r="M23" s="807">
        <v>5980</v>
      </c>
      <c r="N23" s="805"/>
      <c r="O23" s="807">
        <v>4606</v>
      </c>
      <c r="P23" s="805"/>
      <c r="Q23" s="807">
        <v>3607</v>
      </c>
      <c r="R23" s="805"/>
      <c r="S23" s="807">
        <v>5800</v>
      </c>
      <c r="T23" s="805"/>
      <c r="U23" s="807">
        <v>3449</v>
      </c>
      <c r="V23" s="805"/>
      <c r="W23" s="807">
        <v>1715</v>
      </c>
      <c r="X23" s="805"/>
      <c r="Y23" s="807"/>
      <c r="Z23" s="674"/>
      <c r="AA23" s="1505">
        <f>ROUND(SUM(C23:Z23),0)</f>
        <v>37532</v>
      </c>
      <c r="AB23" s="1240"/>
      <c r="AC23" s="1926"/>
    </row>
    <row r="24" spans="1:29" s="421" customFormat="1" ht="18">
      <c r="A24" s="654" t="s">
        <v>562</v>
      </c>
      <c r="B24" s="674"/>
      <c r="C24" s="809">
        <v>0</v>
      </c>
      <c r="D24" s="804"/>
      <c r="E24" s="804">
        <v>0</v>
      </c>
      <c r="F24" s="804"/>
      <c r="G24" s="807">
        <v>0</v>
      </c>
      <c r="H24" s="804"/>
      <c r="I24" s="807">
        <v>0</v>
      </c>
      <c r="J24" s="805"/>
      <c r="K24" s="807">
        <v>0</v>
      </c>
      <c r="L24" s="804"/>
      <c r="M24" s="807">
        <v>0</v>
      </c>
      <c r="N24" s="805"/>
      <c r="O24" s="807">
        <v>0</v>
      </c>
      <c r="P24" s="805"/>
      <c r="Q24" s="807">
        <v>0</v>
      </c>
      <c r="R24" s="805"/>
      <c r="S24" s="807">
        <v>0</v>
      </c>
      <c r="T24" s="805"/>
      <c r="U24" s="807">
        <v>0</v>
      </c>
      <c r="V24" s="805"/>
      <c r="W24" s="807">
        <v>0</v>
      </c>
      <c r="X24" s="805"/>
      <c r="Y24" s="807"/>
      <c r="Z24" s="674"/>
      <c r="AA24" s="1505">
        <f t="shared" si="0"/>
        <v>0</v>
      </c>
      <c r="AB24" s="1240"/>
      <c r="AC24" s="1926"/>
    </row>
    <row r="25" spans="1:29" s="421" customFormat="1" ht="18">
      <c r="A25" s="654" t="s">
        <v>563</v>
      </c>
      <c r="B25" s="674"/>
      <c r="C25" s="804">
        <v>0</v>
      </c>
      <c r="D25" s="804"/>
      <c r="E25" s="804">
        <v>0</v>
      </c>
      <c r="F25" s="804"/>
      <c r="G25" s="807">
        <v>0</v>
      </c>
      <c r="H25" s="804"/>
      <c r="I25" s="807">
        <v>0</v>
      </c>
      <c r="J25" s="805"/>
      <c r="K25" s="807">
        <v>0</v>
      </c>
      <c r="L25" s="804"/>
      <c r="M25" s="807">
        <v>0</v>
      </c>
      <c r="N25" s="805"/>
      <c r="O25" s="807">
        <v>0</v>
      </c>
      <c r="P25" s="805"/>
      <c r="Q25" s="807">
        <v>0</v>
      </c>
      <c r="R25" s="805"/>
      <c r="S25" s="807">
        <v>0</v>
      </c>
      <c r="T25" s="805"/>
      <c r="U25" s="807">
        <v>0</v>
      </c>
      <c r="V25" s="805"/>
      <c r="W25" s="807">
        <v>0</v>
      </c>
      <c r="X25" s="805"/>
      <c r="Y25" s="807"/>
      <c r="Z25" s="674"/>
      <c r="AA25" s="1505">
        <f t="shared" si="0"/>
        <v>0</v>
      </c>
      <c r="AB25" s="1240"/>
      <c r="AC25" s="1926"/>
    </row>
    <row r="26" spans="1:29" s="421" customFormat="1" ht="18">
      <c r="A26" s="654" t="s">
        <v>564</v>
      </c>
      <c r="B26" s="674"/>
      <c r="C26" s="803">
        <v>9238</v>
      </c>
      <c r="D26" s="804"/>
      <c r="E26" s="804">
        <v>13563</v>
      </c>
      <c r="F26" s="804"/>
      <c r="G26" s="807">
        <v>4697</v>
      </c>
      <c r="H26" s="804"/>
      <c r="I26" s="807">
        <v>25605</v>
      </c>
      <c r="J26" s="805"/>
      <c r="K26" s="807">
        <v>5907</v>
      </c>
      <c r="L26" s="804"/>
      <c r="M26" s="807">
        <v>28243</v>
      </c>
      <c r="N26" s="805"/>
      <c r="O26" s="807">
        <v>14194</v>
      </c>
      <c r="P26" s="805"/>
      <c r="Q26" s="807">
        <v>4498</v>
      </c>
      <c r="R26" s="805"/>
      <c r="S26" s="807">
        <v>18956</v>
      </c>
      <c r="T26" s="805"/>
      <c r="U26" s="807">
        <v>7468</v>
      </c>
      <c r="V26" s="805"/>
      <c r="W26" s="807">
        <v>3558</v>
      </c>
      <c r="X26" s="805"/>
      <c r="Y26" s="807"/>
      <c r="Z26" s="674"/>
      <c r="AA26" s="1505">
        <f t="shared" si="0"/>
        <v>135927</v>
      </c>
      <c r="AB26" s="1240"/>
      <c r="AC26" s="1926"/>
    </row>
    <row r="27" spans="1:29" s="421" customFormat="1" ht="18">
      <c r="A27" s="654" t="s">
        <v>565</v>
      </c>
      <c r="B27" s="674"/>
      <c r="C27" s="809">
        <v>1109</v>
      </c>
      <c r="D27" s="804"/>
      <c r="E27" s="804">
        <v>1614</v>
      </c>
      <c r="F27" s="804"/>
      <c r="G27" s="807">
        <v>462</v>
      </c>
      <c r="H27" s="804"/>
      <c r="I27" s="807">
        <v>2044</v>
      </c>
      <c r="J27" s="805"/>
      <c r="K27" s="807">
        <v>682</v>
      </c>
      <c r="L27" s="804"/>
      <c r="M27" s="807">
        <v>2065</v>
      </c>
      <c r="N27" s="805"/>
      <c r="O27" s="807">
        <v>1870</v>
      </c>
      <c r="P27" s="805"/>
      <c r="Q27" s="807">
        <v>1865</v>
      </c>
      <c r="R27" s="805"/>
      <c r="S27" s="807">
        <v>2315</v>
      </c>
      <c r="T27" s="805"/>
      <c r="U27" s="807">
        <v>2173</v>
      </c>
      <c r="V27" s="805"/>
      <c r="W27" s="807">
        <v>868</v>
      </c>
      <c r="X27" s="805"/>
      <c r="Y27" s="807"/>
      <c r="Z27" s="674"/>
      <c r="AA27" s="1505">
        <f t="shared" si="0"/>
        <v>17067</v>
      </c>
      <c r="AB27" s="1240"/>
      <c r="AC27" s="1926"/>
    </row>
    <row r="28" spans="1:29" s="421" customFormat="1" ht="18">
      <c r="A28" s="654" t="s">
        <v>892</v>
      </c>
      <c r="B28" s="674"/>
      <c r="C28" s="807">
        <v>158</v>
      </c>
      <c r="D28" s="804"/>
      <c r="E28" s="807">
        <v>274</v>
      </c>
      <c r="F28" s="804"/>
      <c r="G28" s="807">
        <v>190</v>
      </c>
      <c r="H28" s="804"/>
      <c r="I28" s="807">
        <v>302</v>
      </c>
      <c r="J28" s="805"/>
      <c r="K28" s="807">
        <v>304</v>
      </c>
      <c r="L28" s="804"/>
      <c r="M28" s="807">
        <v>671</v>
      </c>
      <c r="N28" s="805"/>
      <c r="O28" s="807">
        <v>162</v>
      </c>
      <c r="P28" s="805"/>
      <c r="Q28" s="807">
        <v>233</v>
      </c>
      <c r="R28" s="805"/>
      <c r="S28" s="807">
        <v>429</v>
      </c>
      <c r="T28" s="805"/>
      <c r="U28" s="807">
        <v>215</v>
      </c>
      <c r="V28" s="805"/>
      <c r="W28" s="807">
        <v>116</v>
      </c>
      <c r="X28" s="805"/>
      <c r="Y28" s="807"/>
      <c r="Z28" s="674"/>
      <c r="AA28" s="1505">
        <f>ROUND(SUM(C28:Z28),0)</f>
        <v>3054</v>
      </c>
      <c r="AB28" s="1240"/>
      <c r="AC28" s="1926"/>
    </row>
    <row r="29" spans="1:29" s="421" customFormat="1" ht="18">
      <c r="A29" s="654" t="s">
        <v>566</v>
      </c>
      <c r="B29" s="674"/>
      <c r="C29" s="804">
        <v>23</v>
      </c>
      <c r="D29" s="804"/>
      <c r="E29" s="804">
        <v>36</v>
      </c>
      <c r="F29" s="804"/>
      <c r="G29" s="807">
        <v>0</v>
      </c>
      <c r="H29" s="804"/>
      <c r="I29" s="807">
        <v>192</v>
      </c>
      <c r="J29" s="805"/>
      <c r="K29" s="807">
        <v>0</v>
      </c>
      <c r="L29" s="804"/>
      <c r="M29" s="807">
        <v>780</v>
      </c>
      <c r="N29" s="805"/>
      <c r="O29" s="807">
        <v>39</v>
      </c>
      <c r="P29" s="805"/>
      <c r="Q29" s="807">
        <v>2</v>
      </c>
      <c r="R29" s="805"/>
      <c r="S29" s="807">
        <v>1</v>
      </c>
      <c r="T29" s="805"/>
      <c r="U29" s="807">
        <v>0</v>
      </c>
      <c r="V29" s="805"/>
      <c r="W29" s="807">
        <v>0</v>
      </c>
      <c r="X29" s="805"/>
      <c r="Y29" s="807"/>
      <c r="Z29" s="674"/>
      <c r="AA29" s="1505">
        <f t="shared" si="0"/>
        <v>1073</v>
      </c>
      <c r="AB29" s="1240"/>
      <c r="AC29" s="1926"/>
    </row>
    <row r="30" spans="1:29" s="421" customFormat="1" ht="18">
      <c r="A30" s="675" t="s">
        <v>891</v>
      </c>
      <c r="B30" s="674"/>
      <c r="C30" s="2203">
        <f>ROUND(SUM(C14:C29),0)</f>
        <v>33311</v>
      </c>
      <c r="D30" s="654"/>
      <c r="E30" s="2203">
        <v>39376</v>
      </c>
      <c r="F30" s="654"/>
      <c r="G30" s="2203">
        <f>ROUND(SUM(G14:G29),0)</f>
        <v>20897</v>
      </c>
      <c r="H30" s="654"/>
      <c r="I30" s="2203">
        <f>ROUND(SUM(I14:I29),0)</f>
        <v>60522</v>
      </c>
      <c r="J30" s="654"/>
      <c r="K30" s="2203">
        <f>ROUND(SUM(K14:K29),0)</f>
        <v>21304</v>
      </c>
      <c r="L30" s="654"/>
      <c r="M30" s="2203">
        <f>ROUND(SUM(M14:M29),0)</f>
        <v>68041</v>
      </c>
      <c r="N30" s="654"/>
      <c r="O30" s="2203">
        <f>ROUND(SUM(O14:O29),0)</f>
        <v>42846</v>
      </c>
      <c r="P30" s="654"/>
      <c r="Q30" s="2203">
        <f>ROUND(SUM(Q14:Q29),0)</f>
        <v>19885</v>
      </c>
      <c r="R30" s="654"/>
      <c r="S30" s="2203">
        <f>ROUND(SUM(S14:S29),0)</f>
        <v>55790</v>
      </c>
      <c r="T30" s="654"/>
      <c r="U30" s="2203">
        <f>ROUND(SUM(U14:U29),0)</f>
        <v>49979</v>
      </c>
      <c r="V30" s="654"/>
      <c r="W30" s="2203">
        <f>ROUND(SUM(W14:W29),0)</f>
        <v>21459</v>
      </c>
      <c r="X30" s="654"/>
      <c r="Y30" s="2203">
        <f>ROUND(SUM(Y14:Y29),0)</f>
        <v>0</v>
      </c>
      <c r="Z30" s="654"/>
      <c r="AA30" s="3127">
        <f>ROUND(SUM(AA14:AA29),0)</f>
        <v>433410</v>
      </c>
      <c r="AB30" s="1240"/>
      <c r="AC30" s="1926"/>
    </row>
    <row r="31" spans="1:29" s="421" customFormat="1" ht="18">
      <c r="A31"/>
      <c r="B31" s="674"/>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819"/>
      <c r="AB31" s="1240"/>
      <c r="AC31" s="1926"/>
    </row>
    <row r="32" spans="1:29" s="421" customFormat="1" ht="18">
      <c r="A32" s="654"/>
      <c r="B32" s="674"/>
      <c r="C32" s="674"/>
      <c r="D32" s="674"/>
      <c r="E32" s="674"/>
      <c r="F32" s="674"/>
      <c r="G32" s="674"/>
      <c r="H32" s="674"/>
      <c r="I32" s="674"/>
      <c r="J32" s="674"/>
      <c r="K32" s="674"/>
      <c r="L32" s="674"/>
      <c r="M32" s="674"/>
      <c r="N32" s="674"/>
      <c r="O32" s="674"/>
      <c r="P32" s="674"/>
      <c r="Q32" s="674"/>
      <c r="R32" s="674"/>
      <c r="S32" s="674"/>
      <c r="T32" s="674"/>
      <c r="U32" s="674"/>
      <c r="V32" s="674"/>
      <c r="W32" s="674"/>
      <c r="X32" s="674"/>
      <c r="Y32" s="674"/>
      <c r="Z32" s="674"/>
      <c r="AA32" s="819"/>
      <c r="AB32" s="1240"/>
      <c r="AC32" s="1926"/>
    </row>
    <row r="33" spans="1:29" s="421" customFormat="1" ht="18">
      <c r="A33" s="675" t="s">
        <v>567</v>
      </c>
      <c r="B33" s="674"/>
      <c r="C33" s="674"/>
      <c r="D33" s="674"/>
      <c r="E33" s="674"/>
      <c r="F33" s="674"/>
      <c r="G33" s="674"/>
      <c r="H33" s="674"/>
      <c r="I33" s="674"/>
      <c r="J33" s="674"/>
      <c r="K33" s="674"/>
      <c r="L33" s="674"/>
      <c r="M33" s="674"/>
      <c r="N33" s="674"/>
      <c r="O33" s="674"/>
      <c r="P33" s="674"/>
      <c r="Q33" s="674"/>
      <c r="R33" s="674"/>
      <c r="S33" s="674"/>
      <c r="T33" s="674"/>
      <c r="U33" s="674"/>
      <c r="V33" s="674"/>
      <c r="W33" s="674"/>
      <c r="X33" s="674"/>
      <c r="Y33" s="674"/>
      <c r="Z33" s="674"/>
      <c r="AA33" s="819"/>
      <c r="AB33" s="1240"/>
      <c r="AC33" s="1926"/>
    </row>
    <row r="34" spans="1:29" s="421" customFormat="1" ht="18">
      <c r="A34" s="654" t="s">
        <v>557</v>
      </c>
      <c r="B34" s="674"/>
      <c r="C34" s="674"/>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819"/>
      <c r="AB34" s="1240"/>
      <c r="AC34" s="1926"/>
    </row>
    <row r="35" spans="1:29" s="421" customFormat="1" ht="18">
      <c r="A35" s="654" t="s">
        <v>568</v>
      </c>
      <c r="B35" s="674"/>
      <c r="C35" s="806">
        <v>0</v>
      </c>
      <c r="D35" s="804"/>
      <c r="E35" s="806">
        <v>0</v>
      </c>
      <c r="F35" s="804"/>
      <c r="G35" s="806">
        <v>0</v>
      </c>
      <c r="H35" s="804"/>
      <c r="I35" s="806">
        <v>0</v>
      </c>
      <c r="J35" s="805"/>
      <c r="K35" s="806">
        <v>0</v>
      </c>
      <c r="L35" s="804"/>
      <c r="M35" s="806">
        <v>0</v>
      </c>
      <c r="N35" s="805"/>
      <c r="O35" s="806">
        <v>0</v>
      </c>
      <c r="P35" s="805"/>
      <c r="Q35" s="806">
        <v>0</v>
      </c>
      <c r="R35" s="805"/>
      <c r="S35" s="806">
        <v>0</v>
      </c>
      <c r="T35" s="805"/>
      <c r="U35" s="806">
        <v>0</v>
      </c>
      <c r="V35" s="805"/>
      <c r="W35" s="806">
        <v>0</v>
      </c>
      <c r="X35" s="805"/>
      <c r="Y35" s="806"/>
      <c r="Z35" s="674"/>
      <c r="AA35" s="1505">
        <f>ROUND(SUM(C35:Z35),0)</f>
        <v>0</v>
      </c>
      <c r="AB35" s="1240"/>
      <c r="AC35" s="1926"/>
    </row>
    <row r="36" spans="1:29" s="421" customFormat="1" ht="18">
      <c r="A36" s="654" t="s">
        <v>1216</v>
      </c>
      <c r="B36" s="674"/>
      <c r="C36" s="804">
        <v>0</v>
      </c>
      <c r="D36" s="804"/>
      <c r="E36" s="806">
        <v>0</v>
      </c>
      <c r="F36" s="804"/>
      <c r="G36" s="806">
        <v>0</v>
      </c>
      <c r="H36" s="804"/>
      <c r="I36" s="806">
        <v>0</v>
      </c>
      <c r="J36" s="805"/>
      <c r="K36" s="806">
        <v>0</v>
      </c>
      <c r="L36" s="804"/>
      <c r="M36" s="806">
        <v>0</v>
      </c>
      <c r="N36" s="805"/>
      <c r="O36" s="806">
        <v>0</v>
      </c>
      <c r="P36" s="805"/>
      <c r="Q36" s="806">
        <v>0</v>
      </c>
      <c r="R36" s="805"/>
      <c r="S36" s="806">
        <v>0</v>
      </c>
      <c r="T36" s="805"/>
      <c r="U36" s="806">
        <v>0</v>
      </c>
      <c r="V36" s="805"/>
      <c r="W36" s="806">
        <v>0</v>
      </c>
      <c r="X36" s="805"/>
      <c r="Y36" s="806"/>
      <c r="Z36" s="674"/>
      <c r="AA36" s="1505">
        <f>ROUND(SUM(C36:Z36),0)</f>
        <v>0</v>
      </c>
      <c r="AB36" s="1240"/>
      <c r="AC36" s="1926"/>
    </row>
    <row r="37" spans="1:29" s="421" customFormat="1" ht="18">
      <c r="A37" s="654" t="s">
        <v>569</v>
      </c>
      <c r="B37" s="674"/>
      <c r="C37" s="806">
        <v>0</v>
      </c>
      <c r="D37" s="804"/>
      <c r="E37" s="806">
        <v>0</v>
      </c>
      <c r="F37" s="804"/>
      <c r="G37" s="806">
        <v>0</v>
      </c>
      <c r="H37" s="804"/>
      <c r="I37" s="806">
        <v>0</v>
      </c>
      <c r="J37" s="805"/>
      <c r="K37" s="806">
        <v>0</v>
      </c>
      <c r="L37" s="804"/>
      <c r="M37" s="806">
        <v>0</v>
      </c>
      <c r="N37" s="805"/>
      <c r="O37" s="806">
        <v>0</v>
      </c>
      <c r="P37" s="805"/>
      <c r="Q37" s="806">
        <v>0</v>
      </c>
      <c r="R37" s="805"/>
      <c r="S37" s="806">
        <v>0</v>
      </c>
      <c r="T37" s="805"/>
      <c r="U37" s="806">
        <v>0</v>
      </c>
      <c r="V37" s="805"/>
      <c r="W37" s="806">
        <v>0</v>
      </c>
      <c r="X37" s="805"/>
      <c r="Y37" s="806"/>
      <c r="Z37" s="674"/>
      <c r="AA37" s="1505">
        <f>ROUND(SUM(C37:Z37),0)</f>
        <v>0</v>
      </c>
      <c r="AB37" s="1240"/>
      <c r="AC37" s="1926"/>
    </row>
    <row r="38" spans="1:29" s="421" customFormat="1" ht="18">
      <c r="A38" s="654" t="s">
        <v>1005</v>
      </c>
      <c r="B38" s="674"/>
      <c r="C38" s="806">
        <v>0</v>
      </c>
      <c r="D38" s="804"/>
      <c r="E38" s="806">
        <v>0</v>
      </c>
      <c r="F38" s="809"/>
      <c r="G38" s="806">
        <v>0</v>
      </c>
      <c r="H38" s="809"/>
      <c r="I38" s="806">
        <v>0</v>
      </c>
      <c r="J38" s="810"/>
      <c r="K38" s="806">
        <v>0</v>
      </c>
      <c r="L38" s="809"/>
      <c r="M38" s="806">
        <v>0</v>
      </c>
      <c r="N38" s="810"/>
      <c r="O38" s="806">
        <v>0</v>
      </c>
      <c r="P38" s="810"/>
      <c r="Q38" s="806">
        <v>0</v>
      </c>
      <c r="R38" s="810"/>
      <c r="S38" s="806">
        <v>0</v>
      </c>
      <c r="T38" s="810"/>
      <c r="U38" s="806">
        <v>0</v>
      </c>
      <c r="V38" s="810"/>
      <c r="W38" s="806">
        <v>0</v>
      </c>
      <c r="X38" s="810"/>
      <c r="Y38" s="806"/>
      <c r="Z38" s="674"/>
      <c r="AA38" s="1505">
        <f>ROUND(SUM(C38:Z38),0)</f>
        <v>0</v>
      </c>
      <c r="AB38" s="1240"/>
      <c r="AC38" s="1926"/>
    </row>
    <row r="39" spans="1:29" s="419" customFormat="1" ht="18">
      <c r="A39" s="654" t="s">
        <v>570</v>
      </c>
      <c r="B39" s="674"/>
      <c r="C39" s="2202">
        <v>0</v>
      </c>
      <c r="D39" s="804"/>
      <c r="E39" s="2202">
        <v>0</v>
      </c>
      <c r="F39" s="804"/>
      <c r="G39" s="2202">
        <v>0</v>
      </c>
      <c r="H39" s="804"/>
      <c r="I39" s="2202">
        <v>0</v>
      </c>
      <c r="J39" s="805"/>
      <c r="K39" s="2202">
        <v>0</v>
      </c>
      <c r="L39" s="804"/>
      <c r="M39" s="2202">
        <v>0</v>
      </c>
      <c r="N39" s="805"/>
      <c r="O39" s="2202">
        <v>0</v>
      </c>
      <c r="P39" s="805"/>
      <c r="Q39" s="2202">
        <v>0</v>
      </c>
      <c r="R39" s="805"/>
      <c r="S39" s="2202">
        <v>0</v>
      </c>
      <c r="T39" s="805"/>
      <c r="U39" s="2202">
        <v>0</v>
      </c>
      <c r="V39" s="805"/>
      <c r="W39" s="2202">
        <v>0</v>
      </c>
      <c r="X39" s="805"/>
      <c r="Y39" s="2202"/>
      <c r="Z39" s="674"/>
      <c r="AA39" s="1505">
        <f>ROUND(SUM(C39:Z39),0)</f>
        <v>0</v>
      </c>
      <c r="AB39" s="1241"/>
      <c r="AC39" s="1927"/>
    </row>
    <row r="40" spans="1:29" s="419" customFormat="1" ht="18">
      <c r="A40" s="675" t="s">
        <v>890</v>
      </c>
      <c r="B40" s="674"/>
      <c r="C40" s="2203">
        <f>ROUND(SUM(C35:C39),0)</f>
        <v>0</v>
      </c>
      <c r="D40" s="654"/>
      <c r="E40" s="2203">
        <f>ROUND(SUM(E35:E39),0)</f>
        <v>0</v>
      </c>
      <c r="F40" s="654"/>
      <c r="G40" s="2203">
        <f>ROUND(SUM(G35:G39),0)</f>
        <v>0</v>
      </c>
      <c r="H40" s="654"/>
      <c r="I40" s="2203">
        <f>ROUND(SUM(I35:I39),0)</f>
        <v>0</v>
      </c>
      <c r="J40" s="654"/>
      <c r="K40" s="2203">
        <f>ROUND(SUM(K35:K39),0)</f>
        <v>0</v>
      </c>
      <c r="L40" s="654"/>
      <c r="M40" s="2203">
        <f>ROUND(SUM(M35:M39),0)</f>
        <v>0</v>
      </c>
      <c r="N40" s="654"/>
      <c r="O40" s="2203">
        <f>ROUND(SUM(O35:O39),0)</f>
        <v>0</v>
      </c>
      <c r="P40" s="654"/>
      <c r="Q40" s="2203">
        <f>ROUND(SUM(Q35:Q39),0)</f>
        <v>0</v>
      </c>
      <c r="R40" s="654"/>
      <c r="S40" s="2203">
        <f>ROUND(SUM(S35:S39),0)</f>
        <v>0</v>
      </c>
      <c r="T40" s="654"/>
      <c r="U40" s="2203">
        <f>ROUND(SUM(U35:U39),0)</f>
        <v>0</v>
      </c>
      <c r="V40" s="654"/>
      <c r="W40" s="2203">
        <f>ROUND(SUM(W35:W39),0)</f>
        <v>0</v>
      </c>
      <c r="X40" s="654"/>
      <c r="Y40" s="2203">
        <f>ROUND(SUM(Y35:Y39),0)</f>
        <v>0</v>
      </c>
      <c r="Z40" s="654"/>
      <c r="AA40" s="2203">
        <f>ROUND(SUM(AA35:AA39),0)</f>
        <v>0</v>
      </c>
      <c r="AB40" s="1241"/>
      <c r="AC40" s="1927"/>
    </row>
    <row r="41" spans="1:29" ht="18">
      <c r="A41" s="654"/>
      <c r="B41" s="674"/>
      <c r="C41" s="674"/>
      <c r="D41" s="674"/>
      <c r="E41" s="674"/>
      <c r="F41" s="674"/>
      <c r="G41" s="674"/>
      <c r="H41" s="674"/>
      <c r="I41" s="674"/>
      <c r="J41" s="674"/>
      <c r="K41" s="674"/>
      <c r="L41" s="674"/>
      <c r="M41" s="674"/>
      <c r="N41" s="674"/>
      <c r="O41" s="674"/>
      <c r="P41" s="674"/>
      <c r="Q41" s="674"/>
      <c r="R41" s="674"/>
      <c r="S41" s="674"/>
      <c r="T41" s="674"/>
      <c r="U41" s="674"/>
      <c r="V41" s="674"/>
      <c r="W41" s="674"/>
      <c r="X41" s="674"/>
      <c r="Y41" s="674"/>
      <c r="Z41" s="674"/>
      <c r="AA41" s="654"/>
      <c r="AB41" s="1241"/>
      <c r="AC41" s="1928"/>
    </row>
    <row r="42" spans="1:29" ht="18">
      <c r="A42" s="654"/>
      <c r="B42" s="674"/>
      <c r="C42" s="674"/>
      <c r="D42" s="674"/>
      <c r="E42" s="674"/>
      <c r="F42" s="674"/>
      <c r="G42" s="674"/>
      <c r="H42" s="674"/>
      <c r="I42" s="674"/>
      <c r="J42" s="674"/>
      <c r="K42" s="674"/>
      <c r="L42" s="674"/>
      <c r="M42" s="674"/>
      <c r="N42" s="674"/>
      <c r="O42" s="674"/>
      <c r="P42" s="674"/>
      <c r="Q42" s="674"/>
      <c r="R42" s="674"/>
      <c r="S42" s="2216"/>
      <c r="T42" s="674"/>
      <c r="U42" s="674"/>
      <c r="V42" s="674"/>
      <c r="W42" s="674"/>
      <c r="X42" s="674"/>
      <c r="Y42" s="674"/>
      <c r="Z42" s="674"/>
      <c r="AA42" s="654"/>
    </row>
    <row r="43" spans="1:29" s="423" customFormat="1" ht="18.75" thickBot="1">
      <c r="A43" s="675" t="s">
        <v>889</v>
      </c>
      <c r="B43" s="674"/>
      <c r="C43" s="1929">
        <f>ROUND(C30+C40,0)</f>
        <v>33311</v>
      </c>
      <c r="D43" s="654"/>
      <c r="E43" s="1929">
        <f>ROUND(E30+E40,0)</f>
        <v>39376</v>
      </c>
      <c r="F43" s="654"/>
      <c r="G43" s="1929">
        <f>ROUND(G30+G40,0)</f>
        <v>20897</v>
      </c>
      <c r="H43" s="654"/>
      <c r="I43" s="1929">
        <f>ROUND(I30+I40,0)</f>
        <v>60522</v>
      </c>
      <c r="J43" s="654"/>
      <c r="K43" s="1929">
        <f>ROUND(K30+K40,0)</f>
        <v>21304</v>
      </c>
      <c r="L43" s="654"/>
      <c r="M43" s="1929">
        <f>ROUND(M30+M40,0)</f>
        <v>68041</v>
      </c>
      <c r="N43" s="654"/>
      <c r="O43" s="1929">
        <f>ROUND(O30+O40,0)</f>
        <v>42846</v>
      </c>
      <c r="P43" s="654"/>
      <c r="Q43" s="1929">
        <f>ROUND(Q30+Q40,0)</f>
        <v>19885</v>
      </c>
      <c r="R43" s="654"/>
      <c r="S43" s="1929">
        <f>ROUND(S30+S40,0)</f>
        <v>55790</v>
      </c>
      <c r="T43" s="654"/>
      <c r="U43" s="1929">
        <f>ROUND(U30+U40,0)</f>
        <v>49979</v>
      </c>
      <c r="V43" s="654"/>
      <c r="W43" s="1929">
        <f>ROUND(W30+W40,0)</f>
        <v>21459</v>
      </c>
      <c r="X43" s="654"/>
      <c r="Y43" s="1929">
        <f>ROUND(Y30+Y40,0)</f>
        <v>0</v>
      </c>
      <c r="Z43" s="654"/>
      <c r="AA43" s="1929">
        <f>ROUND(AA30+AA40,0)</f>
        <v>433410</v>
      </c>
    </row>
    <row r="44" spans="1:29" ht="15.75" thickTop="1">
      <c r="A44" s="1242"/>
      <c r="C44" s="424"/>
      <c r="D44" s="424"/>
      <c r="E44" s="424"/>
      <c r="F44" s="424"/>
      <c r="G44" s="424"/>
      <c r="H44" s="424"/>
      <c r="I44" s="424"/>
      <c r="J44" s="424"/>
      <c r="K44" s="424"/>
      <c r="L44" s="424"/>
      <c r="M44" s="424"/>
      <c r="N44" s="424"/>
      <c r="O44" s="424"/>
      <c r="P44" s="424"/>
      <c r="Q44" s="424"/>
      <c r="R44" s="424"/>
      <c r="S44" s="424"/>
      <c r="T44" s="424"/>
      <c r="U44" s="424"/>
      <c r="V44" s="424"/>
      <c r="W44" s="424"/>
      <c r="X44" s="424"/>
      <c r="Y44" s="425"/>
      <c r="AA44" s="422"/>
    </row>
    <row r="45" spans="1:29" ht="13.5" thickBot="1"/>
    <row r="46" spans="1:29" ht="20.100000000000001" customHeight="1">
      <c r="A46" s="3950" t="s">
        <v>571</v>
      </c>
      <c r="B46" s="3951"/>
      <c r="C46" s="3951"/>
      <c r="D46" s="3951"/>
      <c r="E46" s="3951"/>
      <c r="F46" s="3951"/>
      <c r="G46" s="3951"/>
      <c r="H46" s="3951"/>
      <c r="I46" s="3951"/>
      <c r="J46" s="3951"/>
      <c r="K46" s="3951"/>
      <c r="L46" s="3951"/>
      <c r="M46" s="3951"/>
      <c r="N46" s="3951"/>
      <c r="O46" s="3951"/>
      <c r="P46" s="3951"/>
      <c r="Q46" s="3951"/>
      <c r="R46" s="3951"/>
      <c r="S46" s="3951"/>
      <c r="T46" s="3951"/>
      <c r="U46" s="3951"/>
      <c r="V46" s="3951"/>
      <c r="W46" s="3951"/>
      <c r="X46" s="3951"/>
      <c r="Y46" s="3951"/>
      <c r="Z46" s="3951"/>
      <c r="AA46" s="3952"/>
    </row>
    <row r="47" spans="1:29" ht="20.100000000000001" customHeight="1">
      <c r="A47" s="3953"/>
      <c r="B47" s="3954"/>
      <c r="C47" s="3954"/>
      <c r="D47" s="3954"/>
      <c r="E47" s="3954"/>
      <c r="F47" s="3954"/>
      <c r="G47" s="3954"/>
      <c r="H47" s="3954"/>
      <c r="I47" s="3954"/>
      <c r="J47" s="3954"/>
      <c r="K47" s="3954"/>
      <c r="L47" s="3954"/>
      <c r="M47" s="3954"/>
      <c r="N47" s="3954"/>
      <c r="O47" s="3954"/>
      <c r="P47" s="3954"/>
      <c r="Q47" s="3954"/>
      <c r="R47" s="3954"/>
      <c r="S47" s="3954"/>
      <c r="T47" s="3954"/>
      <c r="U47" s="3954"/>
      <c r="V47" s="3954"/>
      <c r="W47" s="3954"/>
      <c r="X47" s="3954"/>
      <c r="Y47" s="3954"/>
      <c r="Z47" s="3954"/>
      <c r="AA47" s="3955"/>
    </row>
    <row r="48" spans="1:29" ht="20.100000000000001" customHeight="1">
      <c r="A48" s="3953"/>
      <c r="B48" s="3954"/>
      <c r="C48" s="3954"/>
      <c r="D48" s="3954"/>
      <c r="E48" s="3954"/>
      <c r="F48" s="3954"/>
      <c r="G48" s="3954"/>
      <c r="H48" s="3954"/>
      <c r="I48" s="3954"/>
      <c r="J48" s="3954"/>
      <c r="K48" s="3954"/>
      <c r="L48" s="3954"/>
      <c r="M48" s="3954"/>
      <c r="N48" s="3954"/>
      <c r="O48" s="3954"/>
      <c r="P48" s="3954"/>
      <c r="Q48" s="3954"/>
      <c r="R48" s="3954"/>
      <c r="S48" s="3954"/>
      <c r="T48" s="3954"/>
      <c r="U48" s="3954"/>
      <c r="V48" s="3954"/>
      <c r="W48" s="3954"/>
      <c r="X48" s="3954"/>
      <c r="Y48" s="3954"/>
      <c r="Z48" s="3954"/>
      <c r="AA48" s="3955"/>
    </row>
    <row r="49" spans="1:27" ht="22.5" customHeight="1" thickBot="1">
      <c r="A49" s="3956"/>
      <c r="B49" s="3957"/>
      <c r="C49" s="3957"/>
      <c r="D49" s="3957"/>
      <c r="E49" s="3957"/>
      <c r="F49" s="3957"/>
      <c r="G49" s="3957"/>
      <c r="H49" s="3957"/>
      <c r="I49" s="3957"/>
      <c r="J49" s="3957"/>
      <c r="K49" s="3957"/>
      <c r="L49" s="3957"/>
      <c r="M49" s="3957"/>
      <c r="N49" s="3957"/>
      <c r="O49" s="3957"/>
      <c r="P49" s="3957"/>
      <c r="Q49" s="3957"/>
      <c r="R49" s="3957"/>
      <c r="S49" s="3957"/>
      <c r="T49" s="3957"/>
      <c r="U49" s="3957"/>
      <c r="V49" s="3957"/>
      <c r="W49" s="3957"/>
      <c r="X49" s="3957"/>
      <c r="Y49" s="3957"/>
      <c r="Z49" s="3957"/>
      <c r="AA49" s="3958"/>
    </row>
    <row r="51" spans="1:27" ht="14.85" customHeight="1"/>
    <row r="54" spans="1:27" ht="14.1" customHeight="1"/>
  </sheetData>
  <mergeCells count="1">
    <mergeCell ref="A46:AA49"/>
  </mergeCells>
  <pageMargins left="0.25" right="0.25" top="0.5" bottom="0.25" header="0" footer="0.25"/>
  <pageSetup scale="47"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6"/>
  <sheetViews>
    <sheetView showGridLines="0" zoomScale="80" zoomScaleNormal="50" workbookViewId="0"/>
  </sheetViews>
  <sheetFormatPr defaultRowHeight="15"/>
  <cols>
    <col min="1" max="1" width="2.109375" style="2983" customWidth="1"/>
    <col min="2" max="2" width="10.109375" style="2983" customWidth="1"/>
    <col min="3" max="3" width="2.109375" style="3121" customWidth="1"/>
    <col min="4" max="4" width="50.44140625" style="2983" customWidth="1"/>
    <col min="5" max="5" width="8.88671875" style="3121" customWidth="1"/>
    <col min="6" max="6" width="2.109375" style="3122" customWidth="1"/>
    <col min="7" max="7" width="23.77734375" style="3123" customWidth="1"/>
    <col min="8" max="8" width="2.109375" style="3121" customWidth="1"/>
    <col min="9" max="9" width="23.77734375" style="2983" customWidth="1"/>
    <col min="10" max="10" width="2.109375" style="3121" customWidth="1"/>
    <col min="11" max="11" width="23.77734375" style="2983" customWidth="1"/>
    <col min="12" max="12" width="2.109375" style="3121" customWidth="1"/>
    <col min="13" max="13" width="23.77734375" style="2983" customWidth="1"/>
    <col min="14" max="14" width="2.109375" style="3121" customWidth="1"/>
    <col min="15" max="15" width="23.77734375" style="2983" customWidth="1"/>
    <col min="16" max="16" width="6.109375" style="2983" bestFit="1" customWidth="1"/>
    <col min="17" max="17" width="13.109375" style="2983" bestFit="1" customWidth="1"/>
    <col min="18" max="255" width="8.88671875" style="2983"/>
    <col min="256" max="257" width="8.88671875" style="2983" customWidth="1"/>
    <col min="258" max="258" width="10.109375" style="2983" customWidth="1"/>
    <col min="259" max="259" width="2.109375" style="2983" customWidth="1"/>
    <col min="260" max="260" width="50.44140625" style="2983" customWidth="1"/>
    <col min="261" max="261" width="8.88671875" style="2983"/>
    <col min="262" max="262" width="2.109375" style="2983" customWidth="1"/>
    <col min="263" max="263" width="23.88671875" style="2983" customWidth="1"/>
    <col min="264" max="264" width="2.109375" style="2983" customWidth="1"/>
    <col min="265" max="265" width="23.88671875" style="2983" customWidth="1"/>
    <col min="266" max="266" width="2.109375" style="2983" customWidth="1"/>
    <col min="267" max="267" width="23.88671875" style="2983" customWidth="1"/>
    <col min="268" max="268" width="2.109375" style="2983" customWidth="1"/>
    <col min="269" max="269" width="23.88671875" style="2983" customWidth="1"/>
    <col min="270" max="270" width="2.109375" style="2983" customWidth="1"/>
    <col min="271" max="271" width="23.88671875" style="2983" customWidth="1"/>
    <col min="272" max="272" width="2.88671875" style="2983" bestFit="1" customWidth="1"/>
    <col min="273" max="511" width="8.88671875" style="2983"/>
    <col min="512" max="513" width="8.88671875" style="2983" customWidth="1"/>
    <col min="514" max="514" width="10.109375" style="2983" customWidth="1"/>
    <col min="515" max="515" width="2.109375" style="2983" customWidth="1"/>
    <col min="516" max="516" width="50.44140625" style="2983" customWidth="1"/>
    <col min="517" max="517" width="8.88671875" style="2983"/>
    <col min="518" max="518" width="2.109375" style="2983" customWidth="1"/>
    <col min="519" max="519" width="23.88671875" style="2983" customWidth="1"/>
    <col min="520" max="520" width="2.109375" style="2983" customWidth="1"/>
    <col min="521" max="521" width="23.88671875" style="2983" customWidth="1"/>
    <col min="522" max="522" width="2.109375" style="2983" customWidth="1"/>
    <col min="523" max="523" width="23.88671875" style="2983" customWidth="1"/>
    <col min="524" max="524" width="2.109375" style="2983" customWidth="1"/>
    <col min="525" max="525" width="23.88671875" style="2983" customWidth="1"/>
    <col min="526" max="526" width="2.109375" style="2983" customWidth="1"/>
    <col min="527" max="527" width="23.88671875" style="2983" customWidth="1"/>
    <col min="528" max="528" width="2.88671875" style="2983" bestFit="1" customWidth="1"/>
    <col min="529" max="767" width="8.88671875" style="2983"/>
    <col min="768" max="769" width="8.88671875" style="2983" customWidth="1"/>
    <col min="770" max="770" width="10.109375" style="2983" customWidth="1"/>
    <col min="771" max="771" width="2.109375" style="2983" customWidth="1"/>
    <col min="772" max="772" width="50.44140625" style="2983" customWidth="1"/>
    <col min="773" max="773" width="8.88671875" style="2983"/>
    <col min="774" max="774" width="2.109375" style="2983" customWidth="1"/>
    <col min="775" max="775" width="23.88671875" style="2983" customWidth="1"/>
    <col min="776" max="776" width="2.109375" style="2983" customWidth="1"/>
    <col min="777" max="777" width="23.88671875" style="2983" customWidth="1"/>
    <col min="778" max="778" width="2.109375" style="2983" customWidth="1"/>
    <col min="779" max="779" width="23.88671875" style="2983" customWidth="1"/>
    <col min="780" max="780" width="2.109375" style="2983" customWidth="1"/>
    <col min="781" max="781" width="23.88671875" style="2983" customWidth="1"/>
    <col min="782" max="782" width="2.109375" style="2983" customWidth="1"/>
    <col min="783" max="783" width="23.88671875" style="2983" customWidth="1"/>
    <col min="784" max="784" width="2.88671875" style="2983" bestFit="1" customWidth="1"/>
    <col min="785" max="1023" width="8.88671875" style="2983"/>
    <col min="1024" max="1025" width="8.88671875" style="2983" customWidth="1"/>
    <col min="1026" max="1026" width="10.109375" style="2983" customWidth="1"/>
    <col min="1027" max="1027" width="2.109375" style="2983" customWidth="1"/>
    <col min="1028" max="1028" width="50.44140625" style="2983" customWidth="1"/>
    <col min="1029" max="1029" width="8.88671875" style="2983"/>
    <col min="1030" max="1030" width="2.109375" style="2983" customWidth="1"/>
    <col min="1031" max="1031" width="23.88671875" style="2983" customWidth="1"/>
    <col min="1032" max="1032" width="2.109375" style="2983" customWidth="1"/>
    <col min="1033" max="1033" width="23.88671875" style="2983" customWidth="1"/>
    <col min="1034" max="1034" width="2.109375" style="2983" customWidth="1"/>
    <col min="1035" max="1035" width="23.88671875" style="2983" customWidth="1"/>
    <col min="1036" max="1036" width="2.109375" style="2983" customWidth="1"/>
    <col min="1037" max="1037" width="23.88671875" style="2983" customWidth="1"/>
    <col min="1038" max="1038" width="2.109375" style="2983" customWidth="1"/>
    <col min="1039" max="1039" width="23.88671875" style="2983" customWidth="1"/>
    <col min="1040" max="1040" width="2.88671875" style="2983" bestFit="1" customWidth="1"/>
    <col min="1041" max="1279" width="8.88671875" style="2983"/>
    <col min="1280" max="1281" width="8.88671875" style="2983" customWidth="1"/>
    <col min="1282" max="1282" width="10.109375" style="2983" customWidth="1"/>
    <col min="1283" max="1283" width="2.109375" style="2983" customWidth="1"/>
    <col min="1284" max="1284" width="50.44140625" style="2983" customWidth="1"/>
    <col min="1285" max="1285" width="8.88671875" style="2983"/>
    <col min="1286" max="1286" width="2.109375" style="2983" customWidth="1"/>
    <col min="1287" max="1287" width="23.88671875" style="2983" customWidth="1"/>
    <col min="1288" max="1288" width="2.109375" style="2983" customWidth="1"/>
    <col min="1289" max="1289" width="23.88671875" style="2983" customWidth="1"/>
    <col min="1290" max="1290" width="2.109375" style="2983" customWidth="1"/>
    <col min="1291" max="1291" width="23.88671875" style="2983" customWidth="1"/>
    <col min="1292" max="1292" width="2.109375" style="2983" customWidth="1"/>
    <col min="1293" max="1293" width="23.88671875" style="2983" customWidth="1"/>
    <col min="1294" max="1294" width="2.109375" style="2983" customWidth="1"/>
    <col min="1295" max="1295" width="23.88671875" style="2983" customWidth="1"/>
    <col min="1296" max="1296" width="2.88671875" style="2983" bestFit="1" customWidth="1"/>
    <col min="1297" max="1535" width="8.88671875" style="2983"/>
    <col min="1536" max="1537" width="8.88671875" style="2983" customWidth="1"/>
    <col min="1538" max="1538" width="10.109375" style="2983" customWidth="1"/>
    <col min="1539" max="1539" width="2.109375" style="2983" customWidth="1"/>
    <col min="1540" max="1540" width="50.44140625" style="2983" customWidth="1"/>
    <col min="1541" max="1541" width="8.88671875" style="2983"/>
    <col min="1542" max="1542" width="2.109375" style="2983" customWidth="1"/>
    <col min="1543" max="1543" width="23.88671875" style="2983" customWidth="1"/>
    <col min="1544" max="1544" width="2.109375" style="2983" customWidth="1"/>
    <col min="1545" max="1545" width="23.88671875" style="2983" customWidth="1"/>
    <col min="1546" max="1546" width="2.109375" style="2983" customWidth="1"/>
    <col min="1547" max="1547" width="23.88671875" style="2983" customWidth="1"/>
    <col min="1548" max="1548" width="2.109375" style="2983" customWidth="1"/>
    <col min="1549" max="1549" width="23.88671875" style="2983" customWidth="1"/>
    <col min="1550" max="1550" width="2.109375" style="2983" customWidth="1"/>
    <col min="1551" max="1551" width="23.88671875" style="2983" customWidth="1"/>
    <col min="1552" max="1552" width="2.88671875" style="2983" bestFit="1" customWidth="1"/>
    <col min="1553" max="1791" width="8.88671875" style="2983"/>
    <col min="1792" max="1793" width="8.88671875" style="2983" customWidth="1"/>
    <col min="1794" max="1794" width="10.109375" style="2983" customWidth="1"/>
    <col min="1795" max="1795" width="2.109375" style="2983" customWidth="1"/>
    <col min="1796" max="1796" width="50.44140625" style="2983" customWidth="1"/>
    <col min="1797" max="1797" width="8.88671875" style="2983"/>
    <col min="1798" max="1798" width="2.109375" style="2983" customWidth="1"/>
    <col min="1799" max="1799" width="23.88671875" style="2983" customWidth="1"/>
    <col min="1800" max="1800" width="2.109375" style="2983" customWidth="1"/>
    <col min="1801" max="1801" width="23.88671875" style="2983" customWidth="1"/>
    <col min="1802" max="1802" width="2.109375" style="2983" customWidth="1"/>
    <col min="1803" max="1803" width="23.88671875" style="2983" customWidth="1"/>
    <col min="1804" max="1804" width="2.109375" style="2983" customWidth="1"/>
    <col min="1805" max="1805" width="23.88671875" style="2983" customWidth="1"/>
    <col min="1806" max="1806" width="2.109375" style="2983" customWidth="1"/>
    <col min="1807" max="1807" width="23.88671875" style="2983" customWidth="1"/>
    <col min="1808" max="1808" width="2.88671875" style="2983" bestFit="1" customWidth="1"/>
    <col min="1809" max="2047" width="8.88671875" style="2983"/>
    <col min="2048" max="2049" width="8.88671875" style="2983" customWidth="1"/>
    <col min="2050" max="2050" width="10.109375" style="2983" customWidth="1"/>
    <col min="2051" max="2051" width="2.109375" style="2983" customWidth="1"/>
    <col min="2052" max="2052" width="50.44140625" style="2983" customWidth="1"/>
    <col min="2053" max="2053" width="8.88671875" style="2983"/>
    <col min="2054" max="2054" width="2.109375" style="2983" customWidth="1"/>
    <col min="2055" max="2055" width="23.88671875" style="2983" customWidth="1"/>
    <col min="2056" max="2056" width="2.109375" style="2983" customWidth="1"/>
    <col min="2057" max="2057" width="23.88671875" style="2983" customWidth="1"/>
    <col min="2058" max="2058" width="2.109375" style="2983" customWidth="1"/>
    <col min="2059" max="2059" width="23.88671875" style="2983" customWidth="1"/>
    <col min="2060" max="2060" width="2.109375" style="2983" customWidth="1"/>
    <col min="2061" max="2061" width="23.88671875" style="2983" customWidth="1"/>
    <col min="2062" max="2062" width="2.109375" style="2983" customWidth="1"/>
    <col min="2063" max="2063" width="23.88671875" style="2983" customWidth="1"/>
    <col min="2064" max="2064" width="2.88671875" style="2983" bestFit="1" customWidth="1"/>
    <col min="2065" max="2303" width="8.88671875" style="2983"/>
    <col min="2304" max="2305" width="8.88671875" style="2983" customWidth="1"/>
    <col min="2306" max="2306" width="10.109375" style="2983" customWidth="1"/>
    <col min="2307" max="2307" width="2.109375" style="2983" customWidth="1"/>
    <col min="2308" max="2308" width="50.44140625" style="2983" customWidth="1"/>
    <col min="2309" max="2309" width="8.88671875" style="2983"/>
    <col min="2310" max="2310" width="2.109375" style="2983" customWidth="1"/>
    <col min="2311" max="2311" width="23.88671875" style="2983" customWidth="1"/>
    <col min="2312" max="2312" width="2.109375" style="2983" customWidth="1"/>
    <col min="2313" max="2313" width="23.88671875" style="2983" customWidth="1"/>
    <col min="2314" max="2314" width="2.109375" style="2983" customWidth="1"/>
    <col min="2315" max="2315" width="23.88671875" style="2983" customWidth="1"/>
    <col min="2316" max="2316" width="2.109375" style="2983" customWidth="1"/>
    <col min="2317" max="2317" width="23.88671875" style="2983" customWidth="1"/>
    <col min="2318" max="2318" width="2.109375" style="2983" customWidth="1"/>
    <col min="2319" max="2319" width="23.88671875" style="2983" customWidth="1"/>
    <col min="2320" max="2320" width="2.88671875" style="2983" bestFit="1" customWidth="1"/>
    <col min="2321" max="2559" width="8.88671875" style="2983"/>
    <col min="2560" max="2561" width="8.88671875" style="2983" customWidth="1"/>
    <col min="2562" max="2562" width="10.109375" style="2983" customWidth="1"/>
    <col min="2563" max="2563" width="2.109375" style="2983" customWidth="1"/>
    <col min="2564" max="2564" width="50.44140625" style="2983" customWidth="1"/>
    <col min="2565" max="2565" width="8.88671875" style="2983"/>
    <col min="2566" max="2566" width="2.109375" style="2983" customWidth="1"/>
    <col min="2567" max="2567" width="23.88671875" style="2983" customWidth="1"/>
    <col min="2568" max="2568" width="2.109375" style="2983" customWidth="1"/>
    <col min="2569" max="2569" width="23.88671875" style="2983" customWidth="1"/>
    <col min="2570" max="2570" width="2.109375" style="2983" customWidth="1"/>
    <col min="2571" max="2571" width="23.88671875" style="2983" customWidth="1"/>
    <col min="2572" max="2572" width="2.109375" style="2983" customWidth="1"/>
    <col min="2573" max="2573" width="23.88671875" style="2983" customWidth="1"/>
    <col min="2574" max="2574" width="2.109375" style="2983" customWidth="1"/>
    <col min="2575" max="2575" width="23.88671875" style="2983" customWidth="1"/>
    <col min="2576" max="2576" width="2.88671875" style="2983" bestFit="1" customWidth="1"/>
    <col min="2577" max="2815" width="8.88671875" style="2983"/>
    <col min="2816" max="2817" width="8.88671875" style="2983" customWidth="1"/>
    <col min="2818" max="2818" width="10.109375" style="2983" customWidth="1"/>
    <col min="2819" max="2819" width="2.109375" style="2983" customWidth="1"/>
    <col min="2820" max="2820" width="50.44140625" style="2983" customWidth="1"/>
    <col min="2821" max="2821" width="8.88671875" style="2983"/>
    <col min="2822" max="2822" width="2.109375" style="2983" customWidth="1"/>
    <col min="2823" max="2823" width="23.88671875" style="2983" customWidth="1"/>
    <col min="2824" max="2824" width="2.109375" style="2983" customWidth="1"/>
    <col min="2825" max="2825" width="23.88671875" style="2983" customWidth="1"/>
    <col min="2826" max="2826" width="2.109375" style="2983" customWidth="1"/>
    <col min="2827" max="2827" width="23.88671875" style="2983" customWidth="1"/>
    <col min="2828" max="2828" width="2.109375" style="2983" customWidth="1"/>
    <col min="2829" max="2829" width="23.88671875" style="2983" customWidth="1"/>
    <col min="2830" max="2830" width="2.109375" style="2983" customWidth="1"/>
    <col min="2831" max="2831" width="23.88671875" style="2983" customWidth="1"/>
    <col min="2832" max="2832" width="2.88671875" style="2983" bestFit="1" customWidth="1"/>
    <col min="2833" max="3071" width="8.88671875" style="2983"/>
    <col min="3072" max="3073" width="8.88671875" style="2983" customWidth="1"/>
    <col min="3074" max="3074" width="10.109375" style="2983" customWidth="1"/>
    <col min="3075" max="3075" width="2.109375" style="2983" customWidth="1"/>
    <col min="3076" max="3076" width="50.44140625" style="2983" customWidth="1"/>
    <col min="3077" max="3077" width="8.88671875" style="2983"/>
    <col min="3078" max="3078" width="2.109375" style="2983" customWidth="1"/>
    <col min="3079" max="3079" width="23.88671875" style="2983" customWidth="1"/>
    <col min="3080" max="3080" width="2.109375" style="2983" customWidth="1"/>
    <col min="3081" max="3081" width="23.88671875" style="2983" customWidth="1"/>
    <col min="3082" max="3082" width="2.109375" style="2983" customWidth="1"/>
    <col min="3083" max="3083" width="23.88671875" style="2983" customWidth="1"/>
    <col min="3084" max="3084" width="2.109375" style="2983" customWidth="1"/>
    <col min="3085" max="3085" width="23.88671875" style="2983" customWidth="1"/>
    <col min="3086" max="3086" width="2.109375" style="2983" customWidth="1"/>
    <col min="3087" max="3087" width="23.88671875" style="2983" customWidth="1"/>
    <col min="3088" max="3088" width="2.88671875" style="2983" bestFit="1" customWidth="1"/>
    <col min="3089" max="3327" width="8.88671875" style="2983"/>
    <col min="3328" max="3329" width="8.88671875" style="2983" customWidth="1"/>
    <col min="3330" max="3330" width="10.109375" style="2983" customWidth="1"/>
    <col min="3331" max="3331" width="2.109375" style="2983" customWidth="1"/>
    <col min="3332" max="3332" width="50.44140625" style="2983" customWidth="1"/>
    <col min="3333" max="3333" width="8.88671875" style="2983"/>
    <col min="3334" max="3334" width="2.109375" style="2983" customWidth="1"/>
    <col min="3335" max="3335" width="23.88671875" style="2983" customWidth="1"/>
    <col min="3336" max="3336" width="2.109375" style="2983" customWidth="1"/>
    <col min="3337" max="3337" width="23.88671875" style="2983" customWidth="1"/>
    <col min="3338" max="3338" width="2.109375" style="2983" customWidth="1"/>
    <col min="3339" max="3339" width="23.88671875" style="2983" customWidth="1"/>
    <col min="3340" max="3340" width="2.109375" style="2983" customWidth="1"/>
    <col min="3341" max="3341" width="23.88671875" style="2983" customWidth="1"/>
    <col min="3342" max="3342" width="2.109375" style="2983" customWidth="1"/>
    <col min="3343" max="3343" width="23.88671875" style="2983" customWidth="1"/>
    <col min="3344" max="3344" width="2.88671875" style="2983" bestFit="1" customWidth="1"/>
    <col min="3345" max="3583" width="8.88671875" style="2983"/>
    <col min="3584" max="3585" width="8.88671875" style="2983" customWidth="1"/>
    <col min="3586" max="3586" width="10.109375" style="2983" customWidth="1"/>
    <col min="3587" max="3587" width="2.109375" style="2983" customWidth="1"/>
    <col min="3588" max="3588" width="50.44140625" style="2983" customWidth="1"/>
    <col min="3589" max="3589" width="8.88671875" style="2983"/>
    <col min="3590" max="3590" width="2.109375" style="2983" customWidth="1"/>
    <col min="3591" max="3591" width="23.88671875" style="2983" customWidth="1"/>
    <col min="3592" max="3592" width="2.109375" style="2983" customWidth="1"/>
    <col min="3593" max="3593" width="23.88671875" style="2983" customWidth="1"/>
    <col min="3594" max="3594" width="2.109375" style="2983" customWidth="1"/>
    <col min="3595" max="3595" width="23.88671875" style="2983" customWidth="1"/>
    <col min="3596" max="3596" width="2.109375" style="2983" customWidth="1"/>
    <col min="3597" max="3597" width="23.88671875" style="2983" customWidth="1"/>
    <col min="3598" max="3598" width="2.109375" style="2983" customWidth="1"/>
    <col min="3599" max="3599" width="23.88671875" style="2983" customWidth="1"/>
    <col min="3600" max="3600" width="2.88671875" style="2983" bestFit="1" customWidth="1"/>
    <col min="3601" max="3839" width="8.88671875" style="2983"/>
    <col min="3840" max="3841" width="8.88671875" style="2983" customWidth="1"/>
    <col min="3842" max="3842" width="10.109375" style="2983" customWidth="1"/>
    <col min="3843" max="3843" width="2.109375" style="2983" customWidth="1"/>
    <col min="3844" max="3844" width="50.44140625" style="2983" customWidth="1"/>
    <col min="3845" max="3845" width="8.88671875" style="2983"/>
    <col min="3846" max="3846" width="2.109375" style="2983" customWidth="1"/>
    <col min="3847" max="3847" width="23.88671875" style="2983" customWidth="1"/>
    <col min="3848" max="3848" width="2.109375" style="2983" customWidth="1"/>
    <col min="3849" max="3849" width="23.88671875" style="2983" customWidth="1"/>
    <col min="3850" max="3850" width="2.109375" style="2983" customWidth="1"/>
    <col min="3851" max="3851" width="23.88671875" style="2983" customWidth="1"/>
    <col min="3852" max="3852" width="2.109375" style="2983" customWidth="1"/>
    <col min="3853" max="3853" width="23.88671875" style="2983" customWidth="1"/>
    <col min="3854" max="3854" width="2.109375" style="2983" customWidth="1"/>
    <col min="3855" max="3855" width="23.88671875" style="2983" customWidth="1"/>
    <col min="3856" max="3856" width="2.88671875" style="2983" bestFit="1" customWidth="1"/>
    <col min="3857" max="4095" width="8.88671875" style="2983"/>
    <col min="4096" max="4097" width="8.88671875" style="2983" customWidth="1"/>
    <col min="4098" max="4098" width="10.109375" style="2983" customWidth="1"/>
    <col min="4099" max="4099" width="2.109375" style="2983" customWidth="1"/>
    <col min="4100" max="4100" width="50.44140625" style="2983" customWidth="1"/>
    <col min="4101" max="4101" width="8.88671875" style="2983"/>
    <col min="4102" max="4102" width="2.109375" style="2983" customWidth="1"/>
    <col min="4103" max="4103" width="23.88671875" style="2983" customWidth="1"/>
    <col min="4104" max="4104" width="2.109375" style="2983" customWidth="1"/>
    <col min="4105" max="4105" width="23.88671875" style="2983" customWidth="1"/>
    <col min="4106" max="4106" width="2.109375" style="2983" customWidth="1"/>
    <col min="4107" max="4107" width="23.88671875" style="2983" customWidth="1"/>
    <col min="4108" max="4108" width="2.109375" style="2983" customWidth="1"/>
    <col min="4109" max="4109" width="23.88671875" style="2983" customWidth="1"/>
    <col min="4110" max="4110" width="2.109375" style="2983" customWidth="1"/>
    <col min="4111" max="4111" width="23.88671875" style="2983" customWidth="1"/>
    <col min="4112" max="4112" width="2.88671875" style="2983" bestFit="1" customWidth="1"/>
    <col min="4113" max="4351" width="8.88671875" style="2983"/>
    <col min="4352" max="4353" width="8.88671875" style="2983" customWidth="1"/>
    <col min="4354" max="4354" width="10.109375" style="2983" customWidth="1"/>
    <col min="4355" max="4355" width="2.109375" style="2983" customWidth="1"/>
    <col min="4356" max="4356" width="50.44140625" style="2983" customWidth="1"/>
    <col min="4357" max="4357" width="8.88671875" style="2983"/>
    <col min="4358" max="4358" width="2.109375" style="2983" customWidth="1"/>
    <col min="4359" max="4359" width="23.88671875" style="2983" customWidth="1"/>
    <col min="4360" max="4360" width="2.109375" style="2983" customWidth="1"/>
    <col min="4361" max="4361" width="23.88671875" style="2983" customWidth="1"/>
    <col min="4362" max="4362" width="2.109375" style="2983" customWidth="1"/>
    <col min="4363" max="4363" width="23.88671875" style="2983" customWidth="1"/>
    <col min="4364" max="4364" width="2.109375" style="2983" customWidth="1"/>
    <col min="4365" max="4365" width="23.88671875" style="2983" customWidth="1"/>
    <col min="4366" max="4366" width="2.109375" style="2983" customWidth="1"/>
    <col min="4367" max="4367" width="23.88671875" style="2983" customWidth="1"/>
    <col min="4368" max="4368" width="2.88671875" style="2983" bestFit="1" customWidth="1"/>
    <col min="4369" max="4607" width="8.88671875" style="2983"/>
    <col min="4608" max="4609" width="8.88671875" style="2983" customWidth="1"/>
    <col min="4610" max="4610" width="10.109375" style="2983" customWidth="1"/>
    <col min="4611" max="4611" width="2.109375" style="2983" customWidth="1"/>
    <col min="4612" max="4612" width="50.44140625" style="2983" customWidth="1"/>
    <col min="4613" max="4613" width="8.88671875" style="2983"/>
    <col min="4614" max="4614" width="2.109375" style="2983" customWidth="1"/>
    <col min="4615" max="4615" width="23.88671875" style="2983" customWidth="1"/>
    <col min="4616" max="4616" width="2.109375" style="2983" customWidth="1"/>
    <col min="4617" max="4617" width="23.88671875" style="2983" customWidth="1"/>
    <col min="4618" max="4618" width="2.109375" style="2983" customWidth="1"/>
    <col min="4619" max="4619" width="23.88671875" style="2983" customWidth="1"/>
    <col min="4620" max="4620" width="2.109375" style="2983" customWidth="1"/>
    <col min="4621" max="4621" width="23.88671875" style="2983" customWidth="1"/>
    <col min="4622" max="4622" width="2.109375" style="2983" customWidth="1"/>
    <col min="4623" max="4623" width="23.88671875" style="2983" customWidth="1"/>
    <col min="4624" max="4624" width="2.88671875" style="2983" bestFit="1" customWidth="1"/>
    <col min="4625" max="4863" width="8.88671875" style="2983"/>
    <col min="4864" max="4865" width="8.88671875" style="2983" customWidth="1"/>
    <col min="4866" max="4866" width="10.109375" style="2983" customWidth="1"/>
    <col min="4867" max="4867" width="2.109375" style="2983" customWidth="1"/>
    <col min="4868" max="4868" width="50.44140625" style="2983" customWidth="1"/>
    <col min="4869" max="4869" width="8.88671875" style="2983"/>
    <col min="4870" max="4870" width="2.109375" style="2983" customWidth="1"/>
    <col min="4871" max="4871" width="23.88671875" style="2983" customWidth="1"/>
    <col min="4872" max="4872" width="2.109375" style="2983" customWidth="1"/>
    <col min="4873" max="4873" width="23.88671875" style="2983" customWidth="1"/>
    <col min="4874" max="4874" width="2.109375" style="2983" customWidth="1"/>
    <col min="4875" max="4875" width="23.88671875" style="2983" customWidth="1"/>
    <col min="4876" max="4876" width="2.109375" style="2983" customWidth="1"/>
    <col min="4877" max="4877" width="23.88671875" style="2983" customWidth="1"/>
    <col min="4878" max="4878" width="2.109375" style="2983" customWidth="1"/>
    <col min="4879" max="4879" width="23.88671875" style="2983" customWidth="1"/>
    <col min="4880" max="4880" width="2.88671875" style="2983" bestFit="1" customWidth="1"/>
    <col min="4881" max="5119" width="8.88671875" style="2983"/>
    <col min="5120" max="5121" width="8.88671875" style="2983" customWidth="1"/>
    <col min="5122" max="5122" width="10.109375" style="2983" customWidth="1"/>
    <col min="5123" max="5123" width="2.109375" style="2983" customWidth="1"/>
    <col min="5124" max="5124" width="50.44140625" style="2983" customWidth="1"/>
    <col min="5125" max="5125" width="8.88671875" style="2983"/>
    <col min="5126" max="5126" width="2.109375" style="2983" customWidth="1"/>
    <col min="5127" max="5127" width="23.88671875" style="2983" customWidth="1"/>
    <col min="5128" max="5128" width="2.109375" style="2983" customWidth="1"/>
    <col min="5129" max="5129" width="23.88671875" style="2983" customWidth="1"/>
    <col min="5130" max="5130" width="2.109375" style="2983" customWidth="1"/>
    <col min="5131" max="5131" width="23.88671875" style="2983" customWidth="1"/>
    <col min="5132" max="5132" width="2.109375" style="2983" customWidth="1"/>
    <col min="5133" max="5133" width="23.88671875" style="2983" customWidth="1"/>
    <col min="5134" max="5134" width="2.109375" style="2983" customWidth="1"/>
    <col min="5135" max="5135" width="23.88671875" style="2983" customWidth="1"/>
    <col min="5136" max="5136" width="2.88671875" style="2983" bestFit="1" customWidth="1"/>
    <col min="5137" max="5375" width="8.88671875" style="2983"/>
    <col min="5376" max="5377" width="8.88671875" style="2983" customWidth="1"/>
    <col min="5378" max="5378" width="10.109375" style="2983" customWidth="1"/>
    <col min="5379" max="5379" width="2.109375" style="2983" customWidth="1"/>
    <col min="5380" max="5380" width="50.44140625" style="2983" customWidth="1"/>
    <col min="5381" max="5381" width="8.88671875" style="2983"/>
    <col min="5382" max="5382" width="2.109375" style="2983" customWidth="1"/>
    <col min="5383" max="5383" width="23.88671875" style="2983" customWidth="1"/>
    <col min="5384" max="5384" width="2.109375" style="2983" customWidth="1"/>
    <col min="5385" max="5385" width="23.88671875" style="2983" customWidth="1"/>
    <col min="5386" max="5386" width="2.109375" style="2983" customWidth="1"/>
    <col min="5387" max="5387" width="23.88671875" style="2983" customWidth="1"/>
    <col min="5388" max="5388" width="2.109375" style="2983" customWidth="1"/>
    <col min="5389" max="5389" width="23.88671875" style="2983" customWidth="1"/>
    <col min="5390" max="5390" width="2.109375" style="2983" customWidth="1"/>
    <col min="5391" max="5391" width="23.88671875" style="2983" customWidth="1"/>
    <col min="5392" max="5392" width="2.88671875" style="2983" bestFit="1" customWidth="1"/>
    <col min="5393" max="5631" width="8.88671875" style="2983"/>
    <col min="5632" max="5633" width="8.88671875" style="2983" customWidth="1"/>
    <col min="5634" max="5634" width="10.109375" style="2983" customWidth="1"/>
    <col min="5635" max="5635" width="2.109375" style="2983" customWidth="1"/>
    <col min="5636" max="5636" width="50.44140625" style="2983" customWidth="1"/>
    <col min="5637" max="5637" width="8.88671875" style="2983"/>
    <col min="5638" max="5638" width="2.109375" style="2983" customWidth="1"/>
    <col min="5639" max="5639" width="23.88671875" style="2983" customWidth="1"/>
    <col min="5640" max="5640" width="2.109375" style="2983" customWidth="1"/>
    <col min="5641" max="5641" width="23.88671875" style="2983" customWidth="1"/>
    <col min="5642" max="5642" width="2.109375" style="2983" customWidth="1"/>
    <col min="5643" max="5643" width="23.88671875" style="2983" customWidth="1"/>
    <col min="5644" max="5644" width="2.109375" style="2983" customWidth="1"/>
    <col min="5645" max="5645" width="23.88671875" style="2983" customWidth="1"/>
    <col min="5646" max="5646" width="2.109375" style="2983" customWidth="1"/>
    <col min="5647" max="5647" width="23.88671875" style="2983" customWidth="1"/>
    <col min="5648" max="5648" width="2.88671875" style="2983" bestFit="1" customWidth="1"/>
    <col min="5649" max="5887" width="8.88671875" style="2983"/>
    <col min="5888" max="5889" width="8.88671875" style="2983" customWidth="1"/>
    <col min="5890" max="5890" width="10.109375" style="2983" customWidth="1"/>
    <col min="5891" max="5891" width="2.109375" style="2983" customWidth="1"/>
    <col min="5892" max="5892" width="50.44140625" style="2983" customWidth="1"/>
    <col min="5893" max="5893" width="8.88671875" style="2983"/>
    <col min="5894" max="5894" width="2.109375" style="2983" customWidth="1"/>
    <col min="5895" max="5895" width="23.88671875" style="2983" customWidth="1"/>
    <col min="5896" max="5896" width="2.109375" style="2983" customWidth="1"/>
    <col min="5897" max="5897" width="23.88671875" style="2983" customWidth="1"/>
    <col min="5898" max="5898" width="2.109375" style="2983" customWidth="1"/>
    <col min="5899" max="5899" width="23.88671875" style="2983" customWidth="1"/>
    <col min="5900" max="5900" width="2.109375" style="2983" customWidth="1"/>
    <col min="5901" max="5901" width="23.88671875" style="2983" customWidth="1"/>
    <col min="5902" max="5902" width="2.109375" style="2983" customWidth="1"/>
    <col min="5903" max="5903" width="23.88671875" style="2983" customWidth="1"/>
    <col min="5904" max="5904" width="2.88671875" style="2983" bestFit="1" customWidth="1"/>
    <col min="5905" max="6143" width="8.88671875" style="2983"/>
    <col min="6144" max="6145" width="8.88671875" style="2983" customWidth="1"/>
    <col min="6146" max="6146" width="10.109375" style="2983" customWidth="1"/>
    <col min="6147" max="6147" width="2.109375" style="2983" customWidth="1"/>
    <col min="6148" max="6148" width="50.44140625" style="2983" customWidth="1"/>
    <col min="6149" max="6149" width="8.88671875" style="2983"/>
    <col min="6150" max="6150" width="2.109375" style="2983" customWidth="1"/>
    <col min="6151" max="6151" width="23.88671875" style="2983" customWidth="1"/>
    <col min="6152" max="6152" width="2.109375" style="2983" customWidth="1"/>
    <col min="6153" max="6153" width="23.88671875" style="2983" customWidth="1"/>
    <col min="6154" max="6154" width="2.109375" style="2983" customWidth="1"/>
    <col min="6155" max="6155" width="23.88671875" style="2983" customWidth="1"/>
    <col min="6156" max="6156" width="2.109375" style="2983" customWidth="1"/>
    <col min="6157" max="6157" width="23.88671875" style="2983" customWidth="1"/>
    <col min="6158" max="6158" width="2.109375" style="2983" customWidth="1"/>
    <col min="6159" max="6159" width="23.88671875" style="2983" customWidth="1"/>
    <col min="6160" max="6160" width="2.88671875" style="2983" bestFit="1" customWidth="1"/>
    <col min="6161" max="6399" width="8.88671875" style="2983"/>
    <col min="6400" max="6401" width="8.88671875" style="2983" customWidth="1"/>
    <col min="6402" max="6402" width="10.109375" style="2983" customWidth="1"/>
    <col min="6403" max="6403" width="2.109375" style="2983" customWidth="1"/>
    <col min="6404" max="6404" width="50.44140625" style="2983" customWidth="1"/>
    <col min="6405" max="6405" width="8.88671875" style="2983"/>
    <col min="6406" max="6406" width="2.109375" style="2983" customWidth="1"/>
    <col min="6407" max="6407" width="23.88671875" style="2983" customWidth="1"/>
    <col min="6408" max="6408" width="2.109375" style="2983" customWidth="1"/>
    <col min="6409" max="6409" width="23.88671875" style="2983" customWidth="1"/>
    <col min="6410" max="6410" width="2.109375" style="2983" customWidth="1"/>
    <col min="6411" max="6411" width="23.88671875" style="2983" customWidth="1"/>
    <col min="6412" max="6412" width="2.109375" style="2983" customWidth="1"/>
    <col min="6413" max="6413" width="23.88671875" style="2983" customWidth="1"/>
    <col min="6414" max="6414" width="2.109375" style="2983" customWidth="1"/>
    <col min="6415" max="6415" width="23.88671875" style="2983" customWidth="1"/>
    <col min="6416" max="6416" width="2.88671875" style="2983" bestFit="1" customWidth="1"/>
    <col min="6417" max="6655" width="8.88671875" style="2983"/>
    <col min="6656" max="6657" width="8.88671875" style="2983" customWidth="1"/>
    <col min="6658" max="6658" width="10.109375" style="2983" customWidth="1"/>
    <col min="6659" max="6659" width="2.109375" style="2983" customWidth="1"/>
    <col min="6660" max="6660" width="50.44140625" style="2983" customWidth="1"/>
    <col min="6661" max="6661" width="8.88671875" style="2983"/>
    <col min="6662" max="6662" width="2.109375" style="2983" customWidth="1"/>
    <col min="6663" max="6663" width="23.88671875" style="2983" customWidth="1"/>
    <col min="6664" max="6664" width="2.109375" style="2983" customWidth="1"/>
    <col min="6665" max="6665" width="23.88671875" style="2983" customWidth="1"/>
    <col min="6666" max="6666" width="2.109375" style="2983" customWidth="1"/>
    <col min="6667" max="6667" width="23.88671875" style="2983" customWidth="1"/>
    <col min="6668" max="6668" width="2.109375" style="2983" customWidth="1"/>
    <col min="6669" max="6669" width="23.88671875" style="2983" customWidth="1"/>
    <col min="6670" max="6670" width="2.109375" style="2983" customWidth="1"/>
    <col min="6671" max="6671" width="23.88671875" style="2983" customWidth="1"/>
    <col min="6672" max="6672" width="2.88671875" style="2983" bestFit="1" customWidth="1"/>
    <col min="6673" max="6911" width="8.88671875" style="2983"/>
    <col min="6912" max="6913" width="8.88671875" style="2983" customWidth="1"/>
    <col min="6914" max="6914" width="10.109375" style="2983" customWidth="1"/>
    <col min="6915" max="6915" width="2.109375" style="2983" customWidth="1"/>
    <col min="6916" max="6916" width="50.44140625" style="2983" customWidth="1"/>
    <col min="6917" max="6917" width="8.88671875" style="2983"/>
    <col min="6918" max="6918" width="2.109375" style="2983" customWidth="1"/>
    <col min="6919" max="6919" width="23.88671875" style="2983" customWidth="1"/>
    <col min="6920" max="6920" width="2.109375" style="2983" customWidth="1"/>
    <col min="6921" max="6921" width="23.88671875" style="2983" customWidth="1"/>
    <col min="6922" max="6922" width="2.109375" style="2983" customWidth="1"/>
    <col min="6923" max="6923" width="23.88671875" style="2983" customWidth="1"/>
    <col min="6924" max="6924" width="2.109375" style="2983" customWidth="1"/>
    <col min="6925" max="6925" width="23.88671875" style="2983" customWidth="1"/>
    <col min="6926" max="6926" width="2.109375" style="2983" customWidth="1"/>
    <col min="6927" max="6927" width="23.88671875" style="2983" customWidth="1"/>
    <col min="6928" max="6928" width="2.88671875" style="2983" bestFit="1" customWidth="1"/>
    <col min="6929" max="7167" width="8.88671875" style="2983"/>
    <col min="7168" max="7169" width="8.88671875" style="2983" customWidth="1"/>
    <col min="7170" max="7170" width="10.109375" style="2983" customWidth="1"/>
    <col min="7171" max="7171" width="2.109375" style="2983" customWidth="1"/>
    <col min="7172" max="7172" width="50.44140625" style="2983" customWidth="1"/>
    <col min="7173" max="7173" width="8.88671875" style="2983"/>
    <col min="7174" max="7174" width="2.109375" style="2983" customWidth="1"/>
    <col min="7175" max="7175" width="23.88671875" style="2983" customWidth="1"/>
    <col min="7176" max="7176" width="2.109375" style="2983" customWidth="1"/>
    <col min="7177" max="7177" width="23.88671875" style="2983" customWidth="1"/>
    <col min="7178" max="7178" width="2.109375" style="2983" customWidth="1"/>
    <col min="7179" max="7179" width="23.88671875" style="2983" customWidth="1"/>
    <col min="7180" max="7180" width="2.109375" style="2983" customWidth="1"/>
    <col min="7181" max="7181" width="23.88671875" style="2983" customWidth="1"/>
    <col min="7182" max="7182" width="2.109375" style="2983" customWidth="1"/>
    <col min="7183" max="7183" width="23.88671875" style="2983" customWidth="1"/>
    <col min="7184" max="7184" width="2.88671875" style="2983" bestFit="1" customWidth="1"/>
    <col min="7185" max="7423" width="8.88671875" style="2983"/>
    <col min="7424" max="7425" width="8.88671875" style="2983" customWidth="1"/>
    <col min="7426" max="7426" width="10.109375" style="2983" customWidth="1"/>
    <col min="7427" max="7427" width="2.109375" style="2983" customWidth="1"/>
    <col min="7428" max="7428" width="50.44140625" style="2983" customWidth="1"/>
    <col min="7429" max="7429" width="8.88671875" style="2983"/>
    <col min="7430" max="7430" width="2.109375" style="2983" customWidth="1"/>
    <col min="7431" max="7431" width="23.88671875" style="2983" customWidth="1"/>
    <col min="7432" max="7432" width="2.109375" style="2983" customWidth="1"/>
    <col min="7433" max="7433" width="23.88671875" style="2983" customWidth="1"/>
    <col min="7434" max="7434" width="2.109375" style="2983" customWidth="1"/>
    <col min="7435" max="7435" width="23.88671875" style="2983" customWidth="1"/>
    <col min="7436" max="7436" width="2.109375" style="2983" customWidth="1"/>
    <col min="7437" max="7437" width="23.88671875" style="2983" customWidth="1"/>
    <col min="7438" max="7438" width="2.109375" style="2983" customWidth="1"/>
    <col min="7439" max="7439" width="23.88671875" style="2983" customWidth="1"/>
    <col min="7440" max="7440" width="2.88671875" style="2983" bestFit="1" customWidth="1"/>
    <col min="7441" max="7679" width="8.88671875" style="2983"/>
    <col min="7680" max="7681" width="8.88671875" style="2983" customWidth="1"/>
    <col min="7682" max="7682" width="10.109375" style="2983" customWidth="1"/>
    <col min="7683" max="7683" width="2.109375" style="2983" customWidth="1"/>
    <col min="7684" max="7684" width="50.44140625" style="2983" customWidth="1"/>
    <col min="7685" max="7685" width="8.88671875" style="2983"/>
    <col min="7686" max="7686" width="2.109375" style="2983" customWidth="1"/>
    <col min="7687" max="7687" width="23.88671875" style="2983" customWidth="1"/>
    <col min="7688" max="7688" width="2.109375" style="2983" customWidth="1"/>
    <col min="7689" max="7689" width="23.88671875" style="2983" customWidth="1"/>
    <col min="7690" max="7690" width="2.109375" style="2983" customWidth="1"/>
    <col min="7691" max="7691" width="23.88671875" style="2983" customWidth="1"/>
    <col min="7692" max="7692" width="2.109375" style="2983" customWidth="1"/>
    <col min="7693" max="7693" width="23.88671875" style="2983" customWidth="1"/>
    <col min="7694" max="7694" width="2.109375" style="2983" customWidth="1"/>
    <col min="7695" max="7695" width="23.88671875" style="2983" customWidth="1"/>
    <col min="7696" max="7696" width="2.88671875" style="2983" bestFit="1" customWidth="1"/>
    <col min="7697" max="7935" width="8.88671875" style="2983"/>
    <col min="7936" max="7937" width="8.88671875" style="2983" customWidth="1"/>
    <col min="7938" max="7938" width="10.109375" style="2983" customWidth="1"/>
    <col min="7939" max="7939" width="2.109375" style="2983" customWidth="1"/>
    <col min="7940" max="7940" width="50.44140625" style="2983" customWidth="1"/>
    <col min="7941" max="7941" width="8.88671875" style="2983"/>
    <col min="7942" max="7942" width="2.109375" style="2983" customWidth="1"/>
    <col min="7943" max="7943" width="23.88671875" style="2983" customWidth="1"/>
    <col min="7944" max="7944" width="2.109375" style="2983" customWidth="1"/>
    <col min="7945" max="7945" width="23.88671875" style="2983" customWidth="1"/>
    <col min="7946" max="7946" width="2.109375" style="2983" customWidth="1"/>
    <col min="7947" max="7947" width="23.88671875" style="2983" customWidth="1"/>
    <col min="7948" max="7948" width="2.109375" style="2983" customWidth="1"/>
    <col min="7949" max="7949" width="23.88671875" style="2983" customWidth="1"/>
    <col min="7950" max="7950" width="2.109375" style="2983" customWidth="1"/>
    <col min="7951" max="7951" width="23.88671875" style="2983" customWidth="1"/>
    <col min="7952" max="7952" width="2.88671875" style="2983" bestFit="1" customWidth="1"/>
    <col min="7953" max="8191" width="8.88671875" style="2983"/>
    <col min="8192" max="8193" width="8.88671875" style="2983" customWidth="1"/>
    <col min="8194" max="8194" width="10.109375" style="2983" customWidth="1"/>
    <col min="8195" max="8195" width="2.109375" style="2983" customWidth="1"/>
    <col min="8196" max="8196" width="50.44140625" style="2983" customWidth="1"/>
    <col min="8197" max="8197" width="8.88671875" style="2983"/>
    <col min="8198" max="8198" width="2.109375" style="2983" customWidth="1"/>
    <col min="8199" max="8199" width="23.88671875" style="2983" customWidth="1"/>
    <col min="8200" max="8200" width="2.109375" style="2983" customWidth="1"/>
    <col min="8201" max="8201" width="23.88671875" style="2983" customWidth="1"/>
    <col min="8202" max="8202" width="2.109375" style="2983" customWidth="1"/>
    <col min="8203" max="8203" width="23.88671875" style="2983" customWidth="1"/>
    <col min="8204" max="8204" width="2.109375" style="2983" customWidth="1"/>
    <col min="8205" max="8205" width="23.88671875" style="2983" customWidth="1"/>
    <col min="8206" max="8206" width="2.109375" style="2983" customWidth="1"/>
    <col min="8207" max="8207" width="23.88671875" style="2983" customWidth="1"/>
    <col min="8208" max="8208" width="2.88671875" style="2983" bestFit="1" customWidth="1"/>
    <col min="8209" max="8447" width="8.88671875" style="2983"/>
    <col min="8448" max="8449" width="8.88671875" style="2983" customWidth="1"/>
    <col min="8450" max="8450" width="10.109375" style="2983" customWidth="1"/>
    <col min="8451" max="8451" width="2.109375" style="2983" customWidth="1"/>
    <col min="8452" max="8452" width="50.44140625" style="2983" customWidth="1"/>
    <col min="8453" max="8453" width="8.88671875" style="2983"/>
    <col min="8454" max="8454" width="2.109375" style="2983" customWidth="1"/>
    <col min="8455" max="8455" width="23.88671875" style="2983" customWidth="1"/>
    <col min="8456" max="8456" width="2.109375" style="2983" customWidth="1"/>
    <col min="8457" max="8457" width="23.88671875" style="2983" customWidth="1"/>
    <col min="8458" max="8458" width="2.109375" style="2983" customWidth="1"/>
    <col min="8459" max="8459" width="23.88671875" style="2983" customWidth="1"/>
    <col min="8460" max="8460" width="2.109375" style="2983" customWidth="1"/>
    <col min="8461" max="8461" width="23.88671875" style="2983" customWidth="1"/>
    <col min="8462" max="8462" width="2.109375" style="2983" customWidth="1"/>
    <col min="8463" max="8463" width="23.88671875" style="2983" customWidth="1"/>
    <col min="8464" max="8464" width="2.88671875" style="2983" bestFit="1" customWidth="1"/>
    <col min="8465" max="8703" width="8.88671875" style="2983"/>
    <col min="8704" max="8705" width="8.88671875" style="2983" customWidth="1"/>
    <col min="8706" max="8706" width="10.109375" style="2983" customWidth="1"/>
    <col min="8707" max="8707" width="2.109375" style="2983" customWidth="1"/>
    <col min="8708" max="8708" width="50.44140625" style="2983" customWidth="1"/>
    <col min="8709" max="8709" width="8.88671875" style="2983"/>
    <col min="8710" max="8710" width="2.109375" style="2983" customWidth="1"/>
    <col min="8711" max="8711" width="23.88671875" style="2983" customWidth="1"/>
    <col min="8712" max="8712" width="2.109375" style="2983" customWidth="1"/>
    <col min="8713" max="8713" width="23.88671875" style="2983" customWidth="1"/>
    <col min="8714" max="8714" width="2.109375" style="2983" customWidth="1"/>
    <col min="8715" max="8715" width="23.88671875" style="2983" customWidth="1"/>
    <col min="8716" max="8716" width="2.109375" style="2983" customWidth="1"/>
    <col min="8717" max="8717" width="23.88671875" style="2983" customWidth="1"/>
    <col min="8718" max="8718" width="2.109375" style="2983" customWidth="1"/>
    <col min="8719" max="8719" width="23.88671875" style="2983" customWidth="1"/>
    <col min="8720" max="8720" width="2.88671875" style="2983" bestFit="1" customWidth="1"/>
    <col min="8721" max="8959" width="8.88671875" style="2983"/>
    <col min="8960" max="8961" width="8.88671875" style="2983" customWidth="1"/>
    <col min="8962" max="8962" width="10.109375" style="2983" customWidth="1"/>
    <col min="8963" max="8963" width="2.109375" style="2983" customWidth="1"/>
    <col min="8964" max="8964" width="50.44140625" style="2983" customWidth="1"/>
    <col min="8965" max="8965" width="8.88671875" style="2983"/>
    <col min="8966" max="8966" width="2.109375" style="2983" customWidth="1"/>
    <col min="8967" max="8967" width="23.88671875" style="2983" customWidth="1"/>
    <col min="8968" max="8968" width="2.109375" style="2983" customWidth="1"/>
    <col min="8969" max="8969" width="23.88671875" style="2983" customWidth="1"/>
    <col min="8970" max="8970" width="2.109375" style="2983" customWidth="1"/>
    <col min="8971" max="8971" width="23.88671875" style="2983" customWidth="1"/>
    <col min="8972" max="8972" width="2.109375" style="2983" customWidth="1"/>
    <col min="8973" max="8973" width="23.88671875" style="2983" customWidth="1"/>
    <col min="8974" max="8974" width="2.109375" style="2983" customWidth="1"/>
    <col min="8975" max="8975" width="23.88671875" style="2983" customWidth="1"/>
    <col min="8976" max="8976" width="2.88671875" style="2983" bestFit="1" customWidth="1"/>
    <col min="8977" max="9215" width="8.88671875" style="2983"/>
    <col min="9216" max="9217" width="8.88671875" style="2983" customWidth="1"/>
    <col min="9218" max="9218" width="10.109375" style="2983" customWidth="1"/>
    <col min="9219" max="9219" width="2.109375" style="2983" customWidth="1"/>
    <col min="9220" max="9220" width="50.44140625" style="2983" customWidth="1"/>
    <col min="9221" max="9221" width="8.88671875" style="2983"/>
    <col min="9222" max="9222" width="2.109375" style="2983" customWidth="1"/>
    <col min="9223" max="9223" width="23.88671875" style="2983" customWidth="1"/>
    <col min="9224" max="9224" width="2.109375" style="2983" customWidth="1"/>
    <col min="9225" max="9225" width="23.88671875" style="2983" customWidth="1"/>
    <col min="9226" max="9226" width="2.109375" style="2983" customWidth="1"/>
    <col min="9227" max="9227" width="23.88671875" style="2983" customWidth="1"/>
    <col min="9228" max="9228" width="2.109375" style="2983" customWidth="1"/>
    <col min="9229" max="9229" width="23.88671875" style="2983" customWidth="1"/>
    <col min="9230" max="9230" width="2.109375" style="2983" customWidth="1"/>
    <col min="9231" max="9231" width="23.88671875" style="2983" customWidth="1"/>
    <col min="9232" max="9232" width="2.88671875" style="2983" bestFit="1" customWidth="1"/>
    <col min="9233" max="9471" width="8.88671875" style="2983"/>
    <col min="9472" max="9473" width="8.88671875" style="2983" customWidth="1"/>
    <col min="9474" max="9474" width="10.109375" style="2983" customWidth="1"/>
    <col min="9475" max="9475" width="2.109375" style="2983" customWidth="1"/>
    <col min="9476" max="9476" width="50.44140625" style="2983" customWidth="1"/>
    <col min="9477" max="9477" width="8.88671875" style="2983"/>
    <col min="9478" max="9478" width="2.109375" style="2983" customWidth="1"/>
    <col min="9479" max="9479" width="23.88671875" style="2983" customWidth="1"/>
    <col min="9480" max="9480" width="2.109375" style="2983" customWidth="1"/>
    <col min="9481" max="9481" width="23.88671875" style="2983" customWidth="1"/>
    <col min="9482" max="9482" width="2.109375" style="2983" customWidth="1"/>
    <col min="9483" max="9483" width="23.88671875" style="2983" customWidth="1"/>
    <col min="9484" max="9484" width="2.109375" style="2983" customWidth="1"/>
    <col min="9485" max="9485" width="23.88671875" style="2983" customWidth="1"/>
    <col min="9486" max="9486" width="2.109375" style="2983" customWidth="1"/>
    <col min="9487" max="9487" width="23.88671875" style="2983" customWidth="1"/>
    <col min="9488" max="9488" width="2.88671875" style="2983" bestFit="1" customWidth="1"/>
    <col min="9489" max="9727" width="8.88671875" style="2983"/>
    <col min="9728" max="9729" width="8.88671875" style="2983" customWidth="1"/>
    <col min="9730" max="9730" width="10.109375" style="2983" customWidth="1"/>
    <col min="9731" max="9731" width="2.109375" style="2983" customWidth="1"/>
    <col min="9732" max="9732" width="50.44140625" style="2983" customWidth="1"/>
    <col min="9733" max="9733" width="8.88671875" style="2983"/>
    <col min="9734" max="9734" width="2.109375" style="2983" customWidth="1"/>
    <col min="9735" max="9735" width="23.88671875" style="2983" customWidth="1"/>
    <col min="9736" max="9736" width="2.109375" style="2983" customWidth="1"/>
    <col min="9737" max="9737" width="23.88671875" style="2983" customWidth="1"/>
    <col min="9738" max="9738" width="2.109375" style="2983" customWidth="1"/>
    <col min="9739" max="9739" width="23.88671875" style="2983" customWidth="1"/>
    <col min="9740" max="9740" width="2.109375" style="2983" customWidth="1"/>
    <col min="9741" max="9741" width="23.88671875" style="2983" customWidth="1"/>
    <col min="9742" max="9742" width="2.109375" style="2983" customWidth="1"/>
    <col min="9743" max="9743" width="23.88671875" style="2983" customWidth="1"/>
    <col min="9744" max="9744" width="2.88671875" style="2983" bestFit="1" customWidth="1"/>
    <col min="9745" max="9983" width="8.88671875" style="2983"/>
    <col min="9984" max="9985" width="8.88671875" style="2983" customWidth="1"/>
    <col min="9986" max="9986" width="10.109375" style="2983" customWidth="1"/>
    <col min="9987" max="9987" width="2.109375" style="2983" customWidth="1"/>
    <col min="9988" max="9988" width="50.44140625" style="2983" customWidth="1"/>
    <col min="9989" max="9989" width="8.88671875" style="2983"/>
    <col min="9990" max="9990" width="2.109375" style="2983" customWidth="1"/>
    <col min="9991" max="9991" width="23.88671875" style="2983" customWidth="1"/>
    <col min="9992" max="9992" width="2.109375" style="2983" customWidth="1"/>
    <col min="9993" max="9993" width="23.88671875" style="2983" customWidth="1"/>
    <col min="9994" max="9994" width="2.109375" style="2983" customWidth="1"/>
    <col min="9995" max="9995" width="23.88671875" style="2983" customWidth="1"/>
    <col min="9996" max="9996" width="2.109375" style="2983" customWidth="1"/>
    <col min="9997" max="9997" width="23.88671875" style="2983" customWidth="1"/>
    <col min="9998" max="9998" width="2.109375" style="2983" customWidth="1"/>
    <col min="9999" max="9999" width="23.88671875" style="2983" customWidth="1"/>
    <col min="10000" max="10000" width="2.88671875" style="2983" bestFit="1" customWidth="1"/>
    <col min="10001" max="10239" width="8.88671875" style="2983"/>
    <col min="10240" max="10241" width="8.88671875" style="2983" customWidth="1"/>
    <col min="10242" max="10242" width="10.109375" style="2983" customWidth="1"/>
    <col min="10243" max="10243" width="2.109375" style="2983" customWidth="1"/>
    <col min="10244" max="10244" width="50.44140625" style="2983" customWidth="1"/>
    <col min="10245" max="10245" width="8.88671875" style="2983"/>
    <col min="10246" max="10246" width="2.109375" style="2983" customWidth="1"/>
    <col min="10247" max="10247" width="23.88671875" style="2983" customWidth="1"/>
    <col min="10248" max="10248" width="2.109375" style="2983" customWidth="1"/>
    <col min="10249" max="10249" width="23.88671875" style="2983" customWidth="1"/>
    <col min="10250" max="10250" width="2.109375" style="2983" customWidth="1"/>
    <col min="10251" max="10251" width="23.88671875" style="2983" customWidth="1"/>
    <col min="10252" max="10252" width="2.109375" style="2983" customWidth="1"/>
    <col min="10253" max="10253" width="23.88671875" style="2983" customWidth="1"/>
    <col min="10254" max="10254" width="2.109375" style="2983" customWidth="1"/>
    <col min="10255" max="10255" width="23.88671875" style="2983" customWidth="1"/>
    <col min="10256" max="10256" width="2.88671875" style="2983" bestFit="1" customWidth="1"/>
    <col min="10257" max="10495" width="8.88671875" style="2983"/>
    <col min="10496" max="10497" width="8.88671875" style="2983" customWidth="1"/>
    <col min="10498" max="10498" width="10.109375" style="2983" customWidth="1"/>
    <col min="10499" max="10499" width="2.109375" style="2983" customWidth="1"/>
    <col min="10500" max="10500" width="50.44140625" style="2983" customWidth="1"/>
    <col min="10501" max="10501" width="8.88671875" style="2983"/>
    <col min="10502" max="10502" width="2.109375" style="2983" customWidth="1"/>
    <col min="10503" max="10503" width="23.88671875" style="2983" customWidth="1"/>
    <col min="10504" max="10504" width="2.109375" style="2983" customWidth="1"/>
    <col min="10505" max="10505" width="23.88671875" style="2983" customWidth="1"/>
    <col min="10506" max="10506" width="2.109375" style="2983" customWidth="1"/>
    <col min="10507" max="10507" width="23.88671875" style="2983" customWidth="1"/>
    <col min="10508" max="10508" width="2.109375" style="2983" customWidth="1"/>
    <col min="10509" max="10509" width="23.88671875" style="2983" customWidth="1"/>
    <col min="10510" max="10510" width="2.109375" style="2983" customWidth="1"/>
    <col min="10511" max="10511" width="23.88671875" style="2983" customWidth="1"/>
    <col min="10512" max="10512" width="2.88671875" style="2983" bestFit="1" customWidth="1"/>
    <col min="10513" max="10751" width="8.88671875" style="2983"/>
    <col min="10752" max="10753" width="8.88671875" style="2983" customWidth="1"/>
    <col min="10754" max="10754" width="10.109375" style="2983" customWidth="1"/>
    <col min="10755" max="10755" width="2.109375" style="2983" customWidth="1"/>
    <col min="10756" max="10756" width="50.44140625" style="2983" customWidth="1"/>
    <col min="10757" max="10757" width="8.88671875" style="2983"/>
    <col min="10758" max="10758" width="2.109375" style="2983" customWidth="1"/>
    <col min="10759" max="10759" width="23.88671875" style="2983" customWidth="1"/>
    <col min="10760" max="10760" width="2.109375" style="2983" customWidth="1"/>
    <col min="10761" max="10761" width="23.88671875" style="2983" customWidth="1"/>
    <col min="10762" max="10762" width="2.109375" style="2983" customWidth="1"/>
    <col min="10763" max="10763" width="23.88671875" style="2983" customWidth="1"/>
    <col min="10764" max="10764" width="2.109375" style="2983" customWidth="1"/>
    <col min="10765" max="10765" width="23.88671875" style="2983" customWidth="1"/>
    <col min="10766" max="10766" width="2.109375" style="2983" customWidth="1"/>
    <col min="10767" max="10767" width="23.88671875" style="2983" customWidth="1"/>
    <col min="10768" max="10768" width="2.88671875" style="2983" bestFit="1" customWidth="1"/>
    <col min="10769" max="11007" width="8.88671875" style="2983"/>
    <col min="11008" max="11009" width="8.88671875" style="2983" customWidth="1"/>
    <col min="11010" max="11010" width="10.109375" style="2983" customWidth="1"/>
    <col min="11011" max="11011" width="2.109375" style="2983" customWidth="1"/>
    <col min="11012" max="11012" width="50.44140625" style="2983" customWidth="1"/>
    <col min="11013" max="11013" width="8.88671875" style="2983"/>
    <col min="11014" max="11014" width="2.109375" style="2983" customWidth="1"/>
    <col min="11015" max="11015" width="23.88671875" style="2983" customWidth="1"/>
    <col min="11016" max="11016" width="2.109375" style="2983" customWidth="1"/>
    <col min="11017" max="11017" width="23.88671875" style="2983" customWidth="1"/>
    <col min="11018" max="11018" width="2.109375" style="2983" customWidth="1"/>
    <col min="11019" max="11019" width="23.88671875" style="2983" customWidth="1"/>
    <col min="11020" max="11020" width="2.109375" style="2983" customWidth="1"/>
    <col min="11021" max="11021" width="23.88671875" style="2983" customWidth="1"/>
    <col min="11022" max="11022" width="2.109375" style="2983" customWidth="1"/>
    <col min="11023" max="11023" width="23.88671875" style="2983" customWidth="1"/>
    <col min="11024" max="11024" width="2.88671875" style="2983" bestFit="1" customWidth="1"/>
    <col min="11025" max="11263" width="8.88671875" style="2983"/>
    <col min="11264" max="11265" width="8.88671875" style="2983" customWidth="1"/>
    <col min="11266" max="11266" width="10.109375" style="2983" customWidth="1"/>
    <col min="11267" max="11267" width="2.109375" style="2983" customWidth="1"/>
    <col min="11268" max="11268" width="50.44140625" style="2983" customWidth="1"/>
    <col min="11269" max="11269" width="8.88671875" style="2983"/>
    <col min="11270" max="11270" width="2.109375" style="2983" customWidth="1"/>
    <col min="11271" max="11271" width="23.88671875" style="2983" customWidth="1"/>
    <col min="11272" max="11272" width="2.109375" style="2983" customWidth="1"/>
    <col min="11273" max="11273" width="23.88671875" style="2983" customWidth="1"/>
    <col min="11274" max="11274" width="2.109375" style="2983" customWidth="1"/>
    <col min="11275" max="11275" width="23.88671875" style="2983" customWidth="1"/>
    <col min="11276" max="11276" width="2.109375" style="2983" customWidth="1"/>
    <col min="11277" max="11277" width="23.88671875" style="2983" customWidth="1"/>
    <col min="11278" max="11278" width="2.109375" style="2983" customWidth="1"/>
    <col min="11279" max="11279" width="23.88671875" style="2983" customWidth="1"/>
    <col min="11280" max="11280" width="2.88671875" style="2983" bestFit="1" customWidth="1"/>
    <col min="11281" max="11519" width="8.88671875" style="2983"/>
    <col min="11520" max="11521" width="8.88671875" style="2983" customWidth="1"/>
    <col min="11522" max="11522" width="10.109375" style="2983" customWidth="1"/>
    <col min="11523" max="11523" width="2.109375" style="2983" customWidth="1"/>
    <col min="11524" max="11524" width="50.44140625" style="2983" customWidth="1"/>
    <col min="11525" max="11525" width="8.88671875" style="2983"/>
    <col min="11526" max="11526" width="2.109375" style="2983" customWidth="1"/>
    <col min="11527" max="11527" width="23.88671875" style="2983" customWidth="1"/>
    <col min="11528" max="11528" width="2.109375" style="2983" customWidth="1"/>
    <col min="11529" max="11529" width="23.88671875" style="2983" customWidth="1"/>
    <col min="11530" max="11530" width="2.109375" style="2983" customWidth="1"/>
    <col min="11531" max="11531" width="23.88671875" style="2983" customWidth="1"/>
    <col min="11532" max="11532" width="2.109375" style="2983" customWidth="1"/>
    <col min="11533" max="11533" width="23.88671875" style="2983" customWidth="1"/>
    <col min="11534" max="11534" width="2.109375" style="2983" customWidth="1"/>
    <col min="11535" max="11535" width="23.88671875" style="2983" customWidth="1"/>
    <col min="11536" max="11536" width="2.88671875" style="2983" bestFit="1" customWidth="1"/>
    <col min="11537" max="11775" width="8.88671875" style="2983"/>
    <col min="11776" max="11777" width="8.88671875" style="2983" customWidth="1"/>
    <col min="11778" max="11778" width="10.109375" style="2983" customWidth="1"/>
    <col min="11779" max="11779" width="2.109375" style="2983" customWidth="1"/>
    <col min="11780" max="11780" width="50.44140625" style="2983" customWidth="1"/>
    <col min="11781" max="11781" width="8.88671875" style="2983"/>
    <col min="11782" max="11782" width="2.109375" style="2983" customWidth="1"/>
    <col min="11783" max="11783" width="23.88671875" style="2983" customWidth="1"/>
    <col min="11784" max="11784" width="2.109375" style="2983" customWidth="1"/>
    <col min="11785" max="11785" width="23.88671875" style="2983" customWidth="1"/>
    <col min="11786" max="11786" width="2.109375" style="2983" customWidth="1"/>
    <col min="11787" max="11787" width="23.88671875" style="2983" customWidth="1"/>
    <col min="11788" max="11788" width="2.109375" style="2983" customWidth="1"/>
    <col min="11789" max="11789" width="23.88671875" style="2983" customWidth="1"/>
    <col min="11790" max="11790" width="2.109375" style="2983" customWidth="1"/>
    <col min="11791" max="11791" width="23.88671875" style="2983" customWidth="1"/>
    <col min="11792" max="11792" width="2.88671875" style="2983" bestFit="1" customWidth="1"/>
    <col min="11793" max="12031" width="8.88671875" style="2983"/>
    <col min="12032" max="12033" width="8.88671875" style="2983" customWidth="1"/>
    <col min="12034" max="12034" width="10.109375" style="2983" customWidth="1"/>
    <col min="12035" max="12035" width="2.109375" style="2983" customWidth="1"/>
    <col min="12036" max="12036" width="50.44140625" style="2983" customWidth="1"/>
    <col min="12037" max="12037" width="8.88671875" style="2983"/>
    <col min="12038" max="12038" width="2.109375" style="2983" customWidth="1"/>
    <col min="12039" max="12039" width="23.88671875" style="2983" customWidth="1"/>
    <col min="12040" max="12040" width="2.109375" style="2983" customWidth="1"/>
    <col min="12041" max="12041" width="23.88671875" style="2983" customWidth="1"/>
    <col min="12042" max="12042" width="2.109375" style="2983" customWidth="1"/>
    <col min="12043" max="12043" width="23.88671875" style="2983" customWidth="1"/>
    <col min="12044" max="12044" width="2.109375" style="2983" customWidth="1"/>
    <col min="12045" max="12045" width="23.88671875" style="2983" customWidth="1"/>
    <col min="12046" max="12046" width="2.109375" style="2983" customWidth="1"/>
    <col min="12047" max="12047" width="23.88671875" style="2983" customWidth="1"/>
    <col min="12048" max="12048" width="2.88671875" style="2983" bestFit="1" customWidth="1"/>
    <col min="12049" max="12287" width="8.88671875" style="2983"/>
    <col min="12288" max="12289" width="8.88671875" style="2983" customWidth="1"/>
    <col min="12290" max="12290" width="10.109375" style="2983" customWidth="1"/>
    <col min="12291" max="12291" width="2.109375" style="2983" customWidth="1"/>
    <col min="12292" max="12292" width="50.44140625" style="2983" customWidth="1"/>
    <col min="12293" max="12293" width="8.88671875" style="2983"/>
    <col min="12294" max="12294" width="2.109375" style="2983" customWidth="1"/>
    <col min="12295" max="12295" width="23.88671875" style="2983" customWidth="1"/>
    <col min="12296" max="12296" width="2.109375" style="2983" customWidth="1"/>
    <col min="12297" max="12297" width="23.88671875" style="2983" customWidth="1"/>
    <col min="12298" max="12298" width="2.109375" style="2983" customWidth="1"/>
    <col min="12299" max="12299" width="23.88671875" style="2983" customWidth="1"/>
    <col min="12300" max="12300" width="2.109375" style="2983" customWidth="1"/>
    <col min="12301" max="12301" width="23.88671875" style="2983" customWidth="1"/>
    <col min="12302" max="12302" width="2.109375" style="2983" customWidth="1"/>
    <col min="12303" max="12303" width="23.88671875" style="2983" customWidth="1"/>
    <col min="12304" max="12304" width="2.88671875" style="2983" bestFit="1" customWidth="1"/>
    <col min="12305" max="12543" width="8.88671875" style="2983"/>
    <col min="12544" max="12545" width="8.88671875" style="2983" customWidth="1"/>
    <col min="12546" max="12546" width="10.109375" style="2983" customWidth="1"/>
    <col min="12547" max="12547" width="2.109375" style="2983" customWidth="1"/>
    <col min="12548" max="12548" width="50.44140625" style="2983" customWidth="1"/>
    <col min="12549" max="12549" width="8.88671875" style="2983"/>
    <col min="12550" max="12550" width="2.109375" style="2983" customWidth="1"/>
    <col min="12551" max="12551" width="23.88671875" style="2983" customWidth="1"/>
    <col min="12552" max="12552" width="2.109375" style="2983" customWidth="1"/>
    <col min="12553" max="12553" width="23.88671875" style="2983" customWidth="1"/>
    <col min="12554" max="12554" width="2.109375" style="2983" customWidth="1"/>
    <col min="12555" max="12555" width="23.88671875" style="2983" customWidth="1"/>
    <col min="12556" max="12556" width="2.109375" style="2983" customWidth="1"/>
    <col min="12557" max="12557" width="23.88671875" style="2983" customWidth="1"/>
    <col min="12558" max="12558" width="2.109375" style="2983" customWidth="1"/>
    <col min="12559" max="12559" width="23.88671875" style="2983" customWidth="1"/>
    <col min="12560" max="12560" width="2.88671875" style="2983" bestFit="1" customWidth="1"/>
    <col min="12561" max="12799" width="8.88671875" style="2983"/>
    <col min="12800" max="12801" width="8.88671875" style="2983" customWidth="1"/>
    <col min="12802" max="12802" width="10.109375" style="2983" customWidth="1"/>
    <col min="12803" max="12803" width="2.109375" style="2983" customWidth="1"/>
    <col min="12804" max="12804" width="50.44140625" style="2983" customWidth="1"/>
    <col min="12805" max="12805" width="8.88671875" style="2983"/>
    <col min="12806" max="12806" width="2.109375" style="2983" customWidth="1"/>
    <col min="12807" max="12807" width="23.88671875" style="2983" customWidth="1"/>
    <col min="12808" max="12808" width="2.109375" style="2983" customWidth="1"/>
    <col min="12809" max="12809" width="23.88671875" style="2983" customWidth="1"/>
    <col min="12810" max="12810" width="2.109375" style="2983" customWidth="1"/>
    <col min="12811" max="12811" width="23.88671875" style="2983" customWidth="1"/>
    <col min="12812" max="12812" width="2.109375" style="2983" customWidth="1"/>
    <col min="12813" max="12813" width="23.88671875" style="2983" customWidth="1"/>
    <col min="12814" max="12814" width="2.109375" style="2983" customWidth="1"/>
    <col min="12815" max="12815" width="23.88671875" style="2983" customWidth="1"/>
    <col min="12816" max="12816" width="2.88671875" style="2983" bestFit="1" customWidth="1"/>
    <col min="12817" max="13055" width="8.88671875" style="2983"/>
    <col min="13056" max="13057" width="8.88671875" style="2983" customWidth="1"/>
    <col min="13058" max="13058" width="10.109375" style="2983" customWidth="1"/>
    <col min="13059" max="13059" width="2.109375" style="2983" customWidth="1"/>
    <col min="13060" max="13060" width="50.44140625" style="2983" customWidth="1"/>
    <col min="13061" max="13061" width="8.88671875" style="2983"/>
    <col min="13062" max="13062" width="2.109375" style="2983" customWidth="1"/>
    <col min="13063" max="13063" width="23.88671875" style="2983" customWidth="1"/>
    <col min="13064" max="13064" width="2.109375" style="2983" customWidth="1"/>
    <col min="13065" max="13065" width="23.88671875" style="2983" customWidth="1"/>
    <col min="13066" max="13066" width="2.109375" style="2983" customWidth="1"/>
    <col min="13067" max="13067" width="23.88671875" style="2983" customWidth="1"/>
    <col min="13068" max="13068" width="2.109375" style="2983" customWidth="1"/>
    <col min="13069" max="13069" width="23.88671875" style="2983" customWidth="1"/>
    <col min="13070" max="13070" width="2.109375" style="2983" customWidth="1"/>
    <col min="13071" max="13071" width="23.88671875" style="2983" customWidth="1"/>
    <col min="13072" max="13072" width="2.88671875" style="2983" bestFit="1" customWidth="1"/>
    <col min="13073" max="13311" width="8.88671875" style="2983"/>
    <col min="13312" max="13313" width="8.88671875" style="2983" customWidth="1"/>
    <col min="13314" max="13314" width="10.109375" style="2983" customWidth="1"/>
    <col min="13315" max="13315" width="2.109375" style="2983" customWidth="1"/>
    <col min="13316" max="13316" width="50.44140625" style="2983" customWidth="1"/>
    <col min="13317" max="13317" width="8.88671875" style="2983"/>
    <col min="13318" max="13318" width="2.109375" style="2983" customWidth="1"/>
    <col min="13319" max="13319" width="23.88671875" style="2983" customWidth="1"/>
    <col min="13320" max="13320" width="2.109375" style="2983" customWidth="1"/>
    <col min="13321" max="13321" width="23.88671875" style="2983" customWidth="1"/>
    <col min="13322" max="13322" width="2.109375" style="2983" customWidth="1"/>
    <col min="13323" max="13323" width="23.88671875" style="2983" customWidth="1"/>
    <col min="13324" max="13324" width="2.109375" style="2983" customWidth="1"/>
    <col min="13325" max="13325" width="23.88671875" style="2983" customWidth="1"/>
    <col min="13326" max="13326" width="2.109375" style="2983" customWidth="1"/>
    <col min="13327" max="13327" width="23.88671875" style="2983" customWidth="1"/>
    <col min="13328" max="13328" width="2.88671875" style="2983" bestFit="1" customWidth="1"/>
    <col min="13329" max="13567" width="8.88671875" style="2983"/>
    <col min="13568" max="13569" width="8.88671875" style="2983" customWidth="1"/>
    <col min="13570" max="13570" width="10.109375" style="2983" customWidth="1"/>
    <col min="13571" max="13571" width="2.109375" style="2983" customWidth="1"/>
    <col min="13572" max="13572" width="50.44140625" style="2983" customWidth="1"/>
    <col min="13573" max="13573" width="8.88671875" style="2983"/>
    <col min="13574" max="13574" width="2.109375" style="2983" customWidth="1"/>
    <col min="13575" max="13575" width="23.88671875" style="2983" customWidth="1"/>
    <col min="13576" max="13576" width="2.109375" style="2983" customWidth="1"/>
    <col min="13577" max="13577" width="23.88671875" style="2983" customWidth="1"/>
    <col min="13578" max="13578" width="2.109375" style="2983" customWidth="1"/>
    <col min="13579" max="13579" width="23.88671875" style="2983" customWidth="1"/>
    <col min="13580" max="13580" width="2.109375" style="2983" customWidth="1"/>
    <col min="13581" max="13581" width="23.88671875" style="2983" customWidth="1"/>
    <col min="13582" max="13582" width="2.109375" style="2983" customWidth="1"/>
    <col min="13583" max="13583" width="23.88671875" style="2983" customWidth="1"/>
    <col min="13584" max="13584" width="2.88671875" style="2983" bestFit="1" customWidth="1"/>
    <col min="13585" max="13823" width="8.88671875" style="2983"/>
    <col min="13824" max="13825" width="8.88671875" style="2983" customWidth="1"/>
    <col min="13826" max="13826" width="10.109375" style="2983" customWidth="1"/>
    <col min="13827" max="13827" width="2.109375" style="2983" customWidth="1"/>
    <col min="13828" max="13828" width="50.44140625" style="2983" customWidth="1"/>
    <col min="13829" max="13829" width="8.88671875" style="2983"/>
    <col min="13830" max="13830" width="2.109375" style="2983" customWidth="1"/>
    <col min="13831" max="13831" width="23.88671875" style="2983" customWidth="1"/>
    <col min="13832" max="13832" width="2.109375" style="2983" customWidth="1"/>
    <col min="13833" max="13833" width="23.88671875" style="2983" customWidth="1"/>
    <col min="13834" max="13834" width="2.109375" style="2983" customWidth="1"/>
    <col min="13835" max="13835" width="23.88671875" style="2983" customWidth="1"/>
    <col min="13836" max="13836" width="2.109375" style="2983" customWidth="1"/>
    <col min="13837" max="13837" width="23.88671875" style="2983" customWidth="1"/>
    <col min="13838" max="13838" width="2.109375" style="2983" customWidth="1"/>
    <col min="13839" max="13839" width="23.88671875" style="2983" customWidth="1"/>
    <col min="13840" max="13840" width="2.88671875" style="2983" bestFit="1" customWidth="1"/>
    <col min="13841" max="14079" width="8.88671875" style="2983"/>
    <col min="14080" max="14081" width="8.88671875" style="2983" customWidth="1"/>
    <col min="14082" max="14082" width="10.109375" style="2983" customWidth="1"/>
    <col min="14083" max="14083" width="2.109375" style="2983" customWidth="1"/>
    <col min="14084" max="14084" width="50.44140625" style="2983" customWidth="1"/>
    <col min="14085" max="14085" width="8.88671875" style="2983"/>
    <col min="14086" max="14086" width="2.109375" style="2983" customWidth="1"/>
    <col min="14087" max="14087" width="23.88671875" style="2983" customWidth="1"/>
    <col min="14088" max="14088" width="2.109375" style="2983" customWidth="1"/>
    <col min="14089" max="14089" width="23.88671875" style="2983" customWidth="1"/>
    <col min="14090" max="14090" width="2.109375" style="2983" customWidth="1"/>
    <col min="14091" max="14091" width="23.88671875" style="2983" customWidth="1"/>
    <col min="14092" max="14092" width="2.109375" style="2983" customWidth="1"/>
    <col min="14093" max="14093" width="23.88671875" style="2983" customWidth="1"/>
    <col min="14094" max="14094" width="2.109375" style="2983" customWidth="1"/>
    <col min="14095" max="14095" width="23.88671875" style="2983" customWidth="1"/>
    <col min="14096" max="14096" width="2.88671875" style="2983" bestFit="1" customWidth="1"/>
    <col min="14097" max="14335" width="8.88671875" style="2983"/>
    <col min="14336" max="14337" width="8.88671875" style="2983" customWidth="1"/>
    <col min="14338" max="14338" width="10.109375" style="2983" customWidth="1"/>
    <col min="14339" max="14339" width="2.109375" style="2983" customWidth="1"/>
    <col min="14340" max="14340" width="50.44140625" style="2983" customWidth="1"/>
    <col min="14341" max="14341" width="8.88671875" style="2983"/>
    <col min="14342" max="14342" width="2.109375" style="2983" customWidth="1"/>
    <col min="14343" max="14343" width="23.88671875" style="2983" customWidth="1"/>
    <col min="14344" max="14344" width="2.109375" style="2983" customWidth="1"/>
    <col min="14345" max="14345" width="23.88671875" style="2983" customWidth="1"/>
    <col min="14346" max="14346" width="2.109375" style="2983" customWidth="1"/>
    <col min="14347" max="14347" width="23.88671875" style="2983" customWidth="1"/>
    <col min="14348" max="14348" width="2.109375" style="2983" customWidth="1"/>
    <col min="14349" max="14349" width="23.88671875" style="2983" customWidth="1"/>
    <col min="14350" max="14350" width="2.109375" style="2983" customWidth="1"/>
    <col min="14351" max="14351" width="23.88671875" style="2983" customWidth="1"/>
    <col min="14352" max="14352" width="2.88671875" style="2983" bestFit="1" customWidth="1"/>
    <col min="14353" max="14591" width="8.88671875" style="2983"/>
    <col min="14592" max="14593" width="8.88671875" style="2983" customWidth="1"/>
    <col min="14594" max="14594" width="10.109375" style="2983" customWidth="1"/>
    <col min="14595" max="14595" width="2.109375" style="2983" customWidth="1"/>
    <col min="14596" max="14596" width="50.44140625" style="2983" customWidth="1"/>
    <col min="14597" max="14597" width="8.88671875" style="2983"/>
    <col min="14598" max="14598" width="2.109375" style="2983" customWidth="1"/>
    <col min="14599" max="14599" width="23.88671875" style="2983" customWidth="1"/>
    <col min="14600" max="14600" width="2.109375" style="2983" customWidth="1"/>
    <col min="14601" max="14601" width="23.88671875" style="2983" customWidth="1"/>
    <col min="14602" max="14602" width="2.109375" style="2983" customWidth="1"/>
    <col min="14603" max="14603" width="23.88671875" style="2983" customWidth="1"/>
    <col min="14604" max="14604" width="2.109375" style="2983" customWidth="1"/>
    <col min="14605" max="14605" width="23.88671875" style="2983" customWidth="1"/>
    <col min="14606" max="14606" width="2.109375" style="2983" customWidth="1"/>
    <col min="14607" max="14607" width="23.88671875" style="2983" customWidth="1"/>
    <col min="14608" max="14608" width="2.88671875" style="2983" bestFit="1" customWidth="1"/>
    <col min="14609" max="14847" width="8.88671875" style="2983"/>
    <col min="14848" max="14849" width="8.88671875" style="2983" customWidth="1"/>
    <col min="14850" max="14850" width="10.109375" style="2983" customWidth="1"/>
    <col min="14851" max="14851" width="2.109375" style="2983" customWidth="1"/>
    <col min="14852" max="14852" width="50.44140625" style="2983" customWidth="1"/>
    <col min="14853" max="14853" width="8.88671875" style="2983"/>
    <col min="14854" max="14854" width="2.109375" style="2983" customWidth="1"/>
    <col min="14855" max="14855" width="23.88671875" style="2983" customWidth="1"/>
    <col min="14856" max="14856" width="2.109375" style="2983" customWidth="1"/>
    <col min="14857" max="14857" width="23.88671875" style="2983" customWidth="1"/>
    <col min="14858" max="14858" width="2.109375" style="2983" customWidth="1"/>
    <col min="14859" max="14859" width="23.88671875" style="2983" customWidth="1"/>
    <col min="14860" max="14860" width="2.109375" style="2983" customWidth="1"/>
    <col min="14861" max="14861" width="23.88671875" style="2983" customWidth="1"/>
    <col min="14862" max="14862" width="2.109375" style="2983" customWidth="1"/>
    <col min="14863" max="14863" width="23.88671875" style="2983" customWidth="1"/>
    <col min="14864" max="14864" width="2.88671875" style="2983" bestFit="1" customWidth="1"/>
    <col min="14865" max="15103" width="8.88671875" style="2983"/>
    <col min="15104" max="15105" width="8.88671875" style="2983" customWidth="1"/>
    <col min="15106" max="15106" width="10.109375" style="2983" customWidth="1"/>
    <col min="15107" max="15107" width="2.109375" style="2983" customWidth="1"/>
    <col min="15108" max="15108" width="50.44140625" style="2983" customWidth="1"/>
    <col min="15109" max="15109" width="8.88671875" style="2983"/>
    <col min="15110" max="15110" width="2.109375" style="2983" customWidth="1"/>
    <col min="15111" max="15111" width="23.88671875" style="2983" customWidth="1"/>
    <col min="15112" max="15112" width="2.109375" style="2983" customWidth="1"/>
    <col min="15113" max="15113" width="23.88671875" style="2983" customWidth="1"/>
    <col min="15114" max="15114" width="2.109375" style="2983" customWidth="1"/>
    <col min="15115" max="15115" width="23.88671875" style="2983" customWidth="1"/>
    <col min="15116" max="15116" width="2.109375" style="2983" customWidth="1"/>
    <col min="15117" max="15117" width="23.88671875" style="2983" customWidth="1"/>
    <col min="15118" max="15118" width="2.109375" style="2983" customWidth="1"/>
    <col min="15119" max="15119" width="23.88671875" style="2983" customWidth="1"/>
    <col min="15120" max="15120" width="2.88671875" style="2983" bestFit="1" customWidth="1"/>
    <col min="15121" max="15359" width="8.88671875" style="2983"/>
    <col min="15360" max="15361" width="8.88671875" style="2983" customWidth="1"/>
    <col min="15362" max="15362" width="10.109375" style="2983" customWidth="1"/>
    <col min="15363" max="15363" width="2.109375" style="2983" customWidth="1"/>
    <col min="15364" max="15364" width="50.44140625" style="2983" customWidth="1"/>
    <col min="15365" max="15365" width="8.88671875" style="2983"/>
    <col min="15366" max="15366" width="2.109375" style="2983" customWidth="1"/>
    <col min="15367" max="15367" width="23.88671875" style="2983" customWidth="1"/>
    <col min="15368" max="15368" width="2.109375" style="2983" customWidth="1"/>
    <col min="15369" max="15369" width="23.88671875" style="2983" customWidth="1"/>
    <col min="15370" max="15370" width="2.109375" style="2983" customWidth="1"/>
    <col min="15371" max="15371" width="23.88671875" style="2983" customWidth="1"/>
    <col min="15372" max="15372" width="2.109375" style="2983" customWidth="1"/>
    <col min="15373" max="15373" width="23.88671875" style="2983" customWidth="1"/>
    <col min="15374" max="15374" width="2.109375" style="2983" customWidth="1"/>
    <col min="15375" max="15375" width="23.88671875" style="2983" customWidth="1"/>
    <col min="15376" max="15376" width="2.88671875" style="2983" bestFit="1" customWidth="1"/>
    <col min="15377" max="15615" width="8.88671875" style="2983"/>
    <col min="15616" max="15617" width="8.88671875" style="2983" customWidth="1"/>
    <col min="15618" max="15618" width="10.109375" style="2983" customWidth="1"/>
    <col min="15619" max="15619" width="2.109375" style="2983" customWidth="1"/>
    <col min="15620" max="15620" width="50.44140625" style="2983" customWidth="1"/>
    <col min="15621" max="15621" width="8.88671875" style="2983"/>
    <col min="15622" max="15622" width="2.109375" style="2983" customWidth="1"/>
    <col min="15623" max="15623" width="23.88671875" style="2983" customWidth="1"/>
    <col min="15624" max="15624" width="2.109375" style="2983" customWidth="1"/>
    <col min="15625" max="15625" width="23.88671875" style="2983" customWidth="1"/>
    <col min="15626" max="15626" width="2.109375" style="2983" customWidth="1"/>
    <col min="15627" max="15627" width="23.88671875" style="2983" customWidth="1"/>
    <col min="15628" max="15628" width="2.109375" style="2983" customWidth="1"/>
    <col min="15629" max="15629" width="23.88671875" style="2983" customWidth="1"/>
    <col min="15630" max="15630" width="2.109375" style="2983" customWidth="1"/>
    <col min="15631" max="15631" width="23.88671875" style="2983" customWidth="1"/>
    <col min="15632" max="15632" width="2.88671875" style="2983" bestFit="1" customWidth="1"/>
    <col min="15633" max="15871" width="8.88671875" style="2983"/>
    <col min="15872" max="15873" width="8.88671875" style="2983" customWidth="1"/>
    <col min="15874" max="15874" width="10.109375" style="2983" customWidth="1"/>
    <col min="15875" max="15875" width="2.109375" style="2983" customWidth="1"/>
    <col min="15876" max="15876" width="50.44140625" style="2983" customWidth="1"/>
    <col min="15877" max="15877" width="8.88671875" style="2983"/>
    <col min="15878" max="15878" width="2.109375" style="2983" customWidth="1"/>
    <col min="15879" max="15879" width="23.88671875" style="2983" customWidth="1"/>
    <col min="15880" max="15880" width="2.109375" style="2983" customWidth="1"/>
    <col min="15881" max="15881" width="23.88671875" style="2983" customWidth="1"/>
    <col min="15882" max="15882" width="2.109375" style="2983" customWidth="1"/>
    <col min="15883" max="15883" width="23.88671875" style="2983" customWidth="1"/>
    <col min="15884" max="15884" width="2.109375" style="2983" customWidth="1"/>
    <col min="15885" max="15885" width="23.88671875" style="2983" customWidth="1"/>
    <col min="15886" max="15886" width="2.109375" style="2983" customWidth="1"/>
    <col min="15887" max="15887" width="23.88671875" style="2983" customWidth="1"/>
    <col min="15888" max="15888" width="2.88671875" style="2983" bestFit="1" customWidth="1"/>
    <col min="15889" max="16127" width="8.88671875" style="2983"/>
    <col min="16128" max="16129" width="8.88671875" style="2983" customWidth="1"/>
    <col min="16130" max="16130" width="10.109375" style="2983" customWidth="1"/>
    <col min="16131" max="16131" width="2.109375" style="2983" customWidth="1"/>
    <col min="16132" max="16132" width="50.44140625" style="2983" customWidth="1"/>
    <col min="16133" max="16133" width="8.88671875" style="2983"/>
    <col min="16134" max="16134" width="2.109375" style="2983" customWidth="1"/>
    <col min="16135" max="16135" width="23.88671875" style="2983" customWidth="1"/>
    <col min="16136" max="16136" width="2.109375" style="2983" customWidth="1"/>
    <col min="16137" max="16137" width="23.88671875" style="2983" customWidth="1"/>
    <col min="16138" max="16138" width="2.109375" style="2983" customWidth="1"/>
    <col min="16139" max="16139" width="23.88671875" style="2983" customWidth="1"/>
    <col min="16140" max="16140" width="2.109375" style="2983" customWidth="1"/>
    <col min="16141" max="16141" width="23.88671875" style="2983" customWidth="1"/>
    <col min="16142" max="16142" width="2.109375" style="2983" customWidth="1"/>
    <col min="16143" max="16143" width="23.88671875" style="2983" customWidth="1"/>
    <col min="16144" max="16144" width="2.88671875" style="2983" bestFit="1" customWidth="1"/>
    <col min="16145" max="16384" width="8.88671875" style="2983"/>
  </cols>
  <sheetData>
    <row r="1" spans="2:17" ht="15.75">
      <c r="B1" s="2980"/>
      <c r="C1" s="2981"/>
      <c r="D1" s="2285" t="s">
        <v>979</v>
      </c>
      <c r="E1" s="2981"/>
      <c r="F1" s="2982"/>
      <c r="G1" s="2980"/>
      <c r="H1" s="2981"/>
      <c r="I1" s="2980"/>
      <c r="J1" s="2981"/>
      <c r="K1" s="2980"/>
      <c r="L1" s="2981"/>
      <c r="M1" s="2980"/>
      <c r="N1" s="2981"/>
      <c r="P1" s="2984"/>
    </row>
    <row r="2" spans="2:17" ht="15.75">
      <c r="B2" s="2980"/>
      <c r="C2" s="2981"/>
      <c r="D2" s="2980"/>
      <c r="E2" s="2981"/>
      <c r="F2" s="2982"/>
      <c r="G2" s="2980"/>
      <c r="H2" s="2981"/>
      <c r="I2" s="2980"/>
      <c r="J2" s="2981"/>
      <c r="K2" s="2980"/>
      <c r="L2" s="2981"/>
      <c r="M2" s="2980"/>
      <c r="N2" s="2981"/>
      <c r="O2" s="2985" t="s">
        <v>550</v>
      </c>
      <c r="P2" s="2984"/>
    </row>
    <row r="3" spans="2:17" ht="15.75">
      <c r="B3" s="2980"/>
      <c r="C3" s="2981"/>
      <c r="D3" s="2980"/>
      <c r="E3" s="2981"/>
      <c r="F3" s="2982"/>
      <c r="G3" s="2980"/>
      <c r="H3" s="2981"/>
      <c r="I3" s="2980"/>
      <c r="J3" s="2981"/>
      <c r="K3" s="2980"/>
      <c r="L3" s="2981"/>
      <c r="M3" s="2980"/>
      <c r="N3" s="2981"/>
      <c r="O3" s="2986"/>
      <c r="P3" s="2987"/>
    </row>
    <row r="4" spans="2:17" ht="18">
      <c r="B4" s="2988"/>
      <c r="C4" s="2989"/>
      <c r="D4" s="2990" t="s">
        <v>0</v>
      </c>
      <c r="E4" s="2989"/>
      <c r="F4" s="2989"/>
      <c r="G4" s="2583"/>
      <c r="H4" s="2991"/>
      <c r="I4" s="2583"/>
      <c r="J4" s="2991"/>
      <c r="K4" s="2583"/>
      <c r="L4" s="2991"/>
      <c r="M4" s="2992"/>
      <c r="N4" s="2992"/>
      <c r="O4" s="2993"/>
      <c r="P4" s="2994"/>
    </row>
    <row r="5" spans="2:17" ht="18">
      <c r="B5" s="2988"/>
      <c r="C5" s="2989"/>
      <c r="D5" s="2990" t="s">
        <v>867</v>
      </c>
      <c r="E5" s="2989"/>
      <c r="F5" s="2989"/>
      <c r="G5" s="2583"/>
      <c r="H5" s="2991"/>
      <c r="I5" s="2583"/>
      <c r="J5" s="2991"/>
      <c r="K5" s="2583"/>
      <c r="L5" s="2991"/>
      <c r="M5" s="2995"/>
      <c r="N5" s="2995"/>
      <c r="O5" s="2995"/>
      <c r="P5" s="2996"/>
    </row>
    <row r="6" spans="2:17" ht="15.75">
      <c r="B6" s="2988"/>
      <c r="C6" s="2989"/>
      <c r="D6" s="2997"/>
      <c r="E6" s="2989"/>
      <c r="F6" s="2989"/>
      <c r="G6" s="2583"/>
      <c r="H6" s="2991"/>
      <c r="I6" s="2583"/>
      <c r="J6" s="2991"/>
      <c r="K6" s="2583"/>
      <c r="L6" s="2991"/>
      <c r="M6" s="2998"/>
      <c r="N6" s="2998"/>
      <c r="O6" s="2998"/>
      <c r="P6" s="2999"/>
    </row>
    <row r="7" spans="2:17" ht="15.75">
      <c r="B7" s="2988"/>
      <c r="C7" s="3000"/>
      <c r="D7" s="3001"/>
      <c r="E7" s="3002"/>
      <c r="F7" s="3002"/>
      <c r="G7" s="2583"/>
      <c r="H7" s="2991"/>
      <c r="I7" s="2583"/>
      <c r="J7" s="2991"/>
      <c r="K7" s="2583"/>
      <c r="L7" s="2991"/>
      <c r="M7" s="3003"/>
      <c r="N7" s="3003"/>
      <c r="O7" s="3003"/>
      <c r="P7" s="3004"/>
    </row>
    <row r="8" spans="2:17" s="3012" customFormat="1" ht="16.5" thickBot="1">
      <c r="B8" s="3005" t="s">
        <v>573</v>
      </c>
      <c r="C8" s="3006"/>
      <c r="D8" s="3007" t="s">
        <v>574</v>
      </c>
      <c r="E8" s="3007"/>
      <c r="F8" s="3007"/>
      <c r="G8" s="3008" t="s">
        <v>1481</v>
      </c>
      <c r="H8" s="3009"/>
      <c r="I8" s="3008" t="s">
        <v>1488</v>
      </c>
      <c r="J8" s="3009"/>
      <c r="K8" s="3008" t="s">
        <v>1554</v>
      </c>
      <c r="L8" s="3009"/>
      <c r="M8" s="3009" t="s">
        <v>575</v>
      </c>
      <c r="N8" s="3010"/>
      <c r="O8" s="3008" t="s">
        <v>1598</v>
      </c>
      <c r="P8" s="3011"/>
    </row>
    <row r="9" spans="2:17" s="3012" customFormat="1" ht="15.75">
      <c r="B9" s="3013"/>
      <c r="C9" s="3014"/>
      <c r="D9" s="3015" t="s">
        <v>147</v>
      </c>
      <c r="E9" s="3016"/>
      <c r="F9" s="3016"/>
      <c r="G9" s="3017"/>
      <c r="H9" s="3018"/>
      <c r="I9" s="3017"/>
      <c r="J9" s="3018"/>
      <c r="K9" s="3017"/>
      <c r="L9" s="3018"/>
      <c r="M9" s="3017"/>
      <c r="N9" s="3017"/>
      <c r="O9" s="3017"/>
      <c r="P9" s="3019"/>
    </row>
    <row r="10" spans="2:17" s="3012" customFormat="1" ht="15.75">
      <c r="B10" s="3020">
        <v>10050</v>
      </c>
      <c r="C10" s="3013"/>
      <c r="D10" s="3021" t="s">
        <v>980</v>
      </c>
      <c r="E10" s="2583"/>
      <c r="F10" s="3022"/>
      <c r="G10" s="3023">
        <v>0</v>
      </c>
      <c r="H10" s="3023"/>
      <c r="I10" s="3023">
        <v>0</v>
      </c>
      <c r="J10" s="3023"/>
      <c r="K10" s="3023">
        <v>0</v>
      </c>
      <c r="L10" s="3023"/>
      <c r="M10" s="3023">
        <f>ROUND(SUM(O10)-SUM(K10),2)</f>
        <v>0</v>
      </c>
      <c r="N10" s="3023"/>
      <c r="O10" s="3023">
        <v>0</v>
      </c>
      <c r="P10" s="3024" t="s">
        <v>864</v>
      </c>
      <c r="Q10" s="3025"/>
    </row>
    <row r="11" spans="2:17" s="3012" customFormat="1" ht="16.5" thickBot="1">
      <c r="B11" s="3026"/>
      <c r="C11" s="3014"/>
      <c r="D11" s="3027" t="s">
        <v>576</v>
      </c>
      <c r="E11" s="3016"/>
      <c r="F11" s="3016"/>
      <c r="G11" s="1498">
        <f>ROUND(SUM(G10),2)</f>
        <v>0</v>
      </c>
      <c r="H11" s="1499"/>
      <c r="I11" s="1498">
        <f>ROUND(SUM(I10),2)</f>
        <v>0</v>
      </c>
      <c r="J11" s="1499"/>
      <c r="K11" s="1498">
        <f>ROUND(SUM(K10),2)</f>
        <v>0</v>
      </c>
      <c r="L11" s="1499"/>
      <c r="M11" s="1498">
        <f>ROUND(SUM(M10),2)</f>
        <v>0</v>
      </c>
      <c r="N11" s="1499"/>
      <c r="O11" s="1498">
        <f>ROUND(SUM(O10),2)</f>
        <v>0</v>
      </c>
      <c r="P11" s="3024"/>
      <c r="Q11" s="3025"/>
    </row>
    <row r="12" spans="2:17" s="3012" customFormat="1" ht="16.5" thickTop="1">
      <c r="B12" s="3026"/>
      <c r="C12" s="3028"/>
      <c r="D12" s="3029"/>
      <c r="E12" s="3030"/>
      <c r="F12" s="3030"/>
      <c r="G12" s="1499"/>
      <c r="H12" s="3031"/>
      <c r="I12" s="1499"/>
      <c r="J12" s="3031"/>
      <c r="K12" s="1499"/>
      <c r="L12" s="3031"/>
      <c r="M12" s="1499"/>
      <c r="N12" s="1499"/>
      <c r="O12" s="1499"/>
      <c r="P12" s="3032"/>
      <c r="Q12" s="3025"/>
    </row>
    <row r="13" spans="2:17" s="3012" customFormat="1" ht="15.75">
      <c r="B13" s="3026"/>
      <c r="C13" s="3014"/>
      <c r="D13" s="3015" t="s">
        <v>577</v>
      </c>
      <c r="E13" s="3016"/>
      <c r="F13" s="3016"/>
      <c r="G13" s="3031"/>
      <c r="H13" s="2583"/>
      <c r="I13" s="3031"/>
      <c r="J13" s="2583"/>
      <c r="K13" s="3031"/>
      <c r="L13" s="2583"/>
      <c r="M13" s="3031"/>
      <c r="N13" s="3031"/>
      <c r="O13" s="3031"/>
      <c r="P13" s="3032"/>
      <c r="Q13" s="3025"/>
    </row>
    <row r="14" spans="2:17" s="3012" customFormat="1" ht="15.75">
      <c r="B14" s="3020">
        <v>30051</v>
      </c>
      <c r="C14" s="2980"/>
      <c r="D14" s="3021" t="s">
        <v>578</v>
      </c>
      <c r="E14" s="2980"/>
      <c r="F14" s="1229">
        <v>227042324.13</v>
      </c>
      <c r="G14" s="1229">
        <v>116902614.06999999</v>
      </c>
      <c r="H14" s="1229"/>
      <c r="I14" s="1229">
        <v>160459011.65000001</v>
      </c>
      <c r="J14" s="1229"/>
      <c r="K14" s="1229">
        <v>101356877.40000001</v>
      </c>
      <c r="L14" s="1229"/>
      <c r="M14" s="1229">
        <f>ROUND(SUM(O14)-SUM(K14),2)</f>
        <v>-64213950.039999999</v>
      </c>
      <c r="N14" s="1229"/>
      <c r="O14" s="1229">
        <v>37142927.359999999</v>
      </c>
      <c r="P14" s="3024"/>
      <c r="Q14" s="3025"/>
    </row>
    <row r="15" spans="2:17" s="3012" customFormat="1" ht="15.75">
      <c r="B15" s="3020">
        <v>30053</v>
      </c>
      <c r="C15" s="2980"/>
      <c r="D15" s="3021" t="s">
        <v>1292</v>
      </c>
      <c r="E15" s="2980"/>
      <c r="F15" s="1229"/>
      <c r="G15" s="1229">
        <v>0</v>
      </c>
      <c r="H15" s="1229"/>
      <c r="I15" s="1229">
        <v>0</v>
      </c>
      <c r="J15" s="1229"/>
      <c r="K15" s="1229">
        <v>0</v>
      </c>
      <c r="L15" s="1229"/>
      <c r="M15" s="1229">
        <f>ROUND(SUM(O15)-SUM(K15),2)</f>
        <v>0</v>
      </c>
      <c r="N15" s="1229"/>
      <c r="O15" s="1229">
        <v>0</v>
      </c>
      <c r="P15" s="3024"/>
      <c r="Q15" s="3025"/>
    </row>
    <row r="16" spans="2:17" s="3012" customFormat="1" ht="15.75">
      <c r="B16" s="3020">
        <v>30101</v>
      </c>
      <c r="C16" s="2980"/>
      <c r="D16" s="3021" t="s">
        <v>579</v>
      </c>
      <c r="E16" s="2980"/>
      <c r="F16" s="1229">
        <v>0</v>
      </c>
      <c r="G16" s="1229">
        <v>0</v>
      </c>
      <c r="H16" s="1229"/>
      <c r="I16" s="1229">
        <v>0</v>
      </c>
      <c r="J16" s="1229"/>
      <c r="K16" s="1229">
        <v>0</v>
      </c>
      <c r="L16" s="1229"/>
      <c r="M16" s="1229">
        <f>ROUND(SUM(O16)-SUM(K16),2)</f>
        <v>0</v>
      </c>
      <c r="N16" s="1229"/>
      <c r="O16" s="1229">
        <v>0</v>
      </c>
      <c r="P16" s="3032"/>
      <c r="Q16" s="3025"/>
    </row>
    <row r="17" spans="2:17" s="3012" customFormat="1" ht="15.75">
      <c r="B17" s="3020">
        <v>30102</v>
      </c>
      <c r="C17" s="2980"/>
      <c r="D17" s="3021" t="s">
        <v>580</v>
      </c>
      <c r="E17" s="2980"/>
      <c r="F17" s="1229">
        <v>0</v>
      </c>
      <c r="G17" s="1229">
        <v>0</v>
      </c>
      <c r="H17" s="1229"/>
      <c r="I17" s="1229">
        <v>0</v>
      </c>
      <c r="J17" s="1229"/>
      <c r="K17" s="1229">
        <v>0</v>
      </c>
      <c r="L17" s="1229"/>
      <c r="M17" s="1229">
        <f t="shared" ref="M17:M52" si="0">ROUND(SUM(O17)-SUM(K17),2)</f>
        <v>0</v>
      </c>
      <c r="N17" s="1229"/>
      <c r="O17" s="1229">
        <v>0</v>
      </c>
      <c r="P17" s="3032"/>
      <c r="Q17" s="3025"/>
    </row>
    <row r="18" spans="2:17" s="3012" customFormat="1" ht="15.75">
      <c r="B18" s="3020">
        <v>30103</v>
      </c>
      <c r="C18" s="2980"/>
      <c r="D18" s="3021" t="s">
        <v>581</v>
      </c>
      <c r="E18" s="2980"/>
      <c r="F18" s="1229">
        <v>0</v>
      </c>
      <c r="G18" s="1229">
        <v>0</v>
      </c>
      <c r="H18" s="1229"/>
      <c r="I18" s="1229">
        <v>0</v>
      </c>
      <c r="J18" s="1229"/>
      <c r="K18" s="1229">
        <v>0</v>
      </c>
      <c r="L18" s="1229"/>
      <c r="M18" s="1229">
        <f t="shared" si="0"/>
        <v>0</v>
      </c>
      <c r="N18" s="1229"/>
      <c r="O18" s="1229">
        <v>0</v>
      </c>
      <c r="P18" s="3032"/>
      <c r="Q18" s="3025"/>
    </row>
    <row r="19" spans="2:17" s="3012" customFormat="1" ht="15.75">
      <c r="B19" s="3020">
        <v>30104</v>
      </c>
      <c r="C19" s="2980"/>
      <c r="D19" s="3021" t="s">
        <v>582</v>
      </c>
      <c r="E19" s="2980"/>
      <c r="F19" s="1229">
        <v>140390.18</v>
      </c>
      <c r="G19" s="1229">
        <v>0</v>
      </c>
      <c r="H19" s="1229"/>
      <c r="I19" s="1229">
        <v>0</v>
      </c>
      <c r="J19" s="1229"/>
      <c r="K19" s="1229">
        <v>0</v>
      </c>
      <c r="L19" s="1229"/>
      <c r="M19" s="1229">
        <f t="shared" si="0"/>
        <v>0</v>
      </c>
      <c r="N19" s="1229"/>
      <c r="O19" s="1229">
        <v>0</v>
      </c>
      <c r="P19" s="3032"/>
      <c r="Q19" s="3025"/>
    </row>
    <row r="20" spans="2:17" s="3012" customFormat="1" ht="15.75">
      <c r="B20" s="3020">
        <v>30105</v>
      </c>
      <c r="C20" s="2980"/>
      <c r="D20" s="3021" t="s">
        <v>583</v>
      </c>
      <c r="E20" s="2980"/>
      <c r="F20" s="1229">
        <v>0</v>
      </c>
      <c r="G20" s="1229">
        <v>0</v>
      </c>
      <c r="H20" s="1229"/>
      <c r="I20" s="1229">
        <v>0</v>
      </c>
      <c r="J20" s="1229"/>
      <c r="K20" s="1229">
        <v>0</v>
      </c>
      <c r="L20" s="1229"/>
      <c r="M20" s="1229">
        <f t="shared" si="0"/>
        <v>0</v>
      </c>
      <c r="N20" s="1229"/>
      <c r="O20" s="1229">
        <v>0</v>
      </c>
      <c r="P20" s="3032"/>
      <c r="Q20" s="3025"/>
    </row>
    <row r="21" spans="2:17" s="3012" customFormat="1" ht="15.75">
      <c r="B21" s="3020">
        <v>30106</v>
      </c>
      <c r="C21" s="2980"/>
      <c r="D21" s="3021" t="s">
        <v>1024</v>
      </c>
      <c r="E21" s="2980"/>
      <c r="F21" s="1229">
        <v>0</v>
      </c>
      <c r="G21" s="1229">
        <v>0</v>
      </c>
      <c r="H21" s="1229"/>
      <c r="I21" s="1229">
        <v>0</v>
      </c>
      <c r="J21" s="1229"/>
      <c r="K21" s="1229">
        <v>0</v>
      </c>
      <c r="L21" s="1229"/>
      <c r="M21" s="1229">
        <f t="shared" si="0"/>
        <v>0</v>
      </c>
      <c r="N21" s="1229"/>
      <c r="O21" s="1229">
        <v>0</v>
      </c>
      <c r="P21" s="3032"/>
      <c r="Q21" s="3025"/>
    </row>
    <row r="22" spans="2:17" s="3012" customFormat="1" ht="15.75">
      <c r="B22" s="3020">
        <v>30107</v>
      </c>
      <c r="C22" s="2980"/>
      <c r="D22" s="3021" t="s">
        <v>584</v>
      </c>
      <c r="E22" s="2980"/>
      <c r="F22" s="1229">
        <v>0</v>
      </c>
      <c r="G22" s="1229">
        <v>0</v>
      </c>
      <c r="H22" s="1229"/>
      <c r="I22" s="1229">
        <v>0</v>
      </c>
      <c r="J22" s="1229"/>
      <c r="K22" s="1229">
        <v>0</v>
      </c>
      <c r="L22" s="1229"/>
      <c r="M22" s="1229">
        <f t="shared" si="0"/>
        <v>0</v>
      </c>
      <c r="N22" s="1229"/>
      <c r="O22" s="1229">
        <v>0</v>
      </c>
      <c r="P22" s="3032"/>
      <c r="Q22" s="3025"/>
    </row>
    <row r="23" spans="2:17" s="3012" customFormat="1" ht="15.75">
      <c r="B23" s="3020">
        <v>30108</v>
      </c>
      <c r="C23" s="2980"/>
      <c r="D23" s="3021" t="s">
        <v>1025</v>
      </c>
      <c r="E23" s="2980"/>
      <c r="F23" s="1229">
        <v>0</v>
      </c>
      <c r="G23" s="1229">
        <v>0</v>
      </c>
      <c r="H23" s="1229"/>
      <c r="I23" s="1229">
        <v>0</v>
      </c>
      <c r="J23" s="1229"/>
      <c r="K23" s="1229">
        <v>0</v>
      </c>
      <c r="L23" s="1229"/>
      <c r="M23" s="1229">
        <f t="shared" si="0"/>
        <v>0</v>
      </c>
      <c r="N23" s="1229"/>
      <c r="O23" s="1229">
        <v>0</v>
      </c>
      <c r="P23" s="3032"/>
      <c r="Q23" s="3025"/>
    </row>
    <row r="24" spans="2:17" s="3012" customFormat="1" ht="15.75">
      <c r="B24" s="3020">
        <v>30109</v>
      </c>
      <c r="C24" s="2980"/>
      <c r="D24" s="3021" t="s">
        <v>585</v>
      </c>
      <c r="E24" s="2980"/>
      <c r="F24" s="1229">
        <v>0</v>
      </c>
      <c r="G24" s="1229">
        <v>0</v>
      </c>
      <c r="H24" s="1229"/>
      <c r="I24" s="1229">
        <v>0</v>
      </c>
      <c r="J24" s="1229"/>
      <c r="K24" s="1229">
        <v>0</v>
      </c>
      <c r="L24" s="1229"/>
      <c r="M24" s="1229">
        <f t="shared" si="0"/>
        <v>0</v>
      </c>
      <c r="N24" s="1229"/>
      <c r="O24" s="1229">
        <v>0</v>
      </c>
      <c r="P24" s="3032"/>
      <c r="Q24" s="3025"/>
    </row>
    <row r="25" spans="2:17" s="3012" customFormat="1" ht="15.75">
      <c r="B25" s="3020">
        <v>30110</v>
      </c>
      <c r="C25" s="2980"/>
      <c r="D25" s="3021" t="s">
        <v>586</v>
      </c>
      <c r="E25" s="2980"/>
      <c r="F25" s="1229">
        <v>0</v>
      </c>
      <c r="G25" s="1229">
        <v>0</v>
      </c>
      <c r="H25" s="1229"/>
      <c r="I25" s="1229">
        <v>0</v>
      </c>
      <c r="J25" s="1229"/>
      <c r="K25" s="1229">
        <v>0</v>
      </c>
      <c r="L25" s="1229"/>
      <c r="M25" s="1229">
        <f t="shared" si="0"/>
        <v>0</v>
      </c>
      <c r="N25" s="1229"/>
      <c r="O25" s="1229">
        <v>0</v>
      </c>
      <c r="P25" s="3032"/>
      <c r="Q25" s="3025"/>
    </row>
    <row r="26" spans="2:17" s="3012" customFormat="1" ht="15.75">
      <c r="B26" s="3020">
        <v>30111</v>
      </c>
      <c r="C26" s="2980"/>
      <c r="D26" s="3021" t="s">
        <v>587</v>
      </c>
      <c r="E26" s="2980"/>
      <c r="F26" s="1229">
        <v>0</v>
      </c>
      <c r="G26" s="1229">
        <v>0</v>
      </c>
      <c r="H26" s="1229"/>
      <c r="I26" s="1229">
        <v>0</v>
      </c>
      <c r="J26" s="1229"/>
      <c r="K26" s="1229">
        <v>0</v>
      </c>
      <c r="L26" s="1229"/>
      <c r="M26" s="1229">
        <f t="shared" si="0"/>
        <v>0</v>
      </c>
      <c r="N26" s="1229"/>
      <c r="O26" s="1229">
        <v>0</v>
      </c>
      <c r="P26" s="3032"/>
      <c r="Q26" s="3025"/>
    </row>
    <row r="27" spans="2:17" s="3012" customFormat="1" ht="15.75">
      <c r="B27" s="3020">
        <v>30112</v>
      </c>
      <c r="C27" s="2980"/>
      <c r="D27" s="3021" t="s">
        <v>588</v>
      </c>
      <c r="E27" s="2980"/>
      <c r="F27" s="1229">
        <v>0</v>
      </c>
      <c r="G27" s="1229">
        <v>0</v>
      </c>
      <c r="H27" s="1229"/>
      <c r="I27" s="1229">
        <v>0</v>
      </c>
      <c r="J27" s="1229"/>
      <c r="K27" s="1229">
        <v>0</v>
      </c>
      <c r="L27" s="1229"/>
      <c r="M27" s="1229">
        <f t="shared" si="0"/>
        <v>0</v>
      </c>
      <c r="N27" s="1229"/>
      <c r="O27" s="1229">
        <v>0</v>
      </c>
      <c r="P27" s="3032"/>
      <c r="Q27" s="3025"/>
    </row>
    <row r="28" spans="2:17" s="3012" customFormat="1" ht="15.75">
      <c r="B28" s="3020">
        <v>30113</v>
      </c>
      <c r="C28" s="2980"/>
      <c r="D28" s="3021" t="s">
        <v>589</v>
      </c>
      <c r="E28" s="2980"/>
      <c r="F28" s="1229">
        <v>0</v>
      </c>
      <c r="G28" s="1229">
        <v>0</v>
      </c>
      <c r="H28" s="1229"/>
      <c r="I28" s="1229">
        <v>0</v>
      </c>
      <c r="J28" s="1229"/>
      <c r="K28" s="1229">
        <v>0</v>
      </c>
      <c r="L28" s="1229"/>
      <c r="M28" s="1229">
        <f t="shared" si="0"/>
        <v>0</v>
      </c>
      <c r="N28" s="1229"/>
      <c r="O28" s="1229">
        <v>0</v>
      </c>
      <c r="P28" s="3032"/>
      <c r="Q28" s="3025"/>
    </row>
    <row r="29" spans="2:17" s="3012" customFormat="1" ht="15.75">
      <c r="B29" s="3020">
        <v>30114</v>
      </c>
      <c r="C29" s="2980"/>
      <c r="D29" s="3021" t="s">
        <v>590</v>
      </c>
      <c r="E29" s="2980"/>
      <c r="F29" s="1229">
        <v>0</v>
      </c>
      <c r="G29" s="1229">
        <v>0</v>
      </c>
      <c r="H29" s="1229"/>
      <c r="I29" s="1229">
        <v>0</v>
      </c>
      <c r="J29" s="1229"/>
      <c r="K29" s="1229">
        <v>0</v>
      </c>
      <c r="L29" s="1229"/>
      <c r="M29" s="1229">
        <f t="shared" si="0"/>
        <v>0</v>
      </c>
      <c r="N29" s="1229"/>
      <c r="O29" s="1229">
        <v>0</v>
      </c>
      <c r="P29" s="3032"/>
      <c r="Q29" s="3025"/>
    </row>
    <row r="30" spans="2:17" s="3012" customFormat="1" ht="15.75">
      <c r="B30" s="3020">
        <v>30115</v>
      </c>
      <c r="C30" s="2980"/>
      <c r="D30" s="3021" t="s">
        <v>591</v>
      </c>
      <c r="E30" s="2980"/>
      <c r="F30" s="1229">
        <v>0</v>
      </c>
      <c r="G30" s="1229">
        <v>0</v>
      </c>
      <c r="H30" s="1229"/>
      <c r="I30" s="1229">
        <v>0</v>
      </c>
      <c r="J30" s="1229"/>
      <c r="K30" s="1229">
        <v>0</v>
      </c>
      <c r="L30" s="1229"/>
      <c r="M30" s="1229">
        <f t="shared" si="0"/>
        <v>0</v>
      </c>
      <c r="N30" s="1229"/>
      <c r="O30" s="1229">
        <v>0</v>
      </c>
      <c r="P30" s="3032"/>
      <c r="Q30" s="3025"/>
    </row>
    <row r="31" spans="2:17" s="3012" customFormat="1" ht="15.75">
      <c r="B31" s="3020">
        <v>30116</v>
      </c>
      <c r="C31" s="2980"/>
      <c r="D31" s="3021" t="s">
        <v>592</v>
      </c>
      <c r="E31" s="2980"/>
      <c r="F31" s="1229">
        <v>0</v>
      </c>
      <c r="G31" s="1229">
        <v>0</v>
      </c>
      <c r="H31" s="1229"/>
      <c r="I31" s="1229">
        <v>0</v>
      </c>
      <c r="J31" s="1229"/>
      <c r="K31" s="1229">
        <v>0</v>
      </c>
      <c r="L31" s="1229"/>
      <c r="M31" s="1229">
        <f t="shared" si="0"/>
        <v>0</v>
      </c>
      <c r="N31" s="1229"/>
      <c r="O31" s="1229">
        <v>0</v>
      </c>
      <c r="P31" s="3032"/>
      <c r="Q31" s="3025"/>
    </row>
    <row r="32" spans="2:17" s="3012" customFormat="1" ht="15.75">
      <c r="B32" s="3020">
        <v>30117</v>
      </c>
      <c r="C32" s="2980"/>
      <c r="D32" s="3021" t="s">
        <v>593</v>
      </c>
      <c r="E32" s="2980"/>
      <c r="F32" s="1229">
        <v>0</v>
      </c>
      <c r="G32" s="1229">
        <v>0</v>
      </c>
      <c r="H32" s="1229"/>
      <c r="I32" s="1229">
        <v>0</v>
      </c>
      <c r="J32" s="1229"/>
      <c r="K32" s="1229">
        <v>0</v>
      </c>
      <c r="L32" s="1229"/>
      <c r="M32" s="1229">
        <f t="shared" si="0"/>
        <v>0</v>
      </c>
      <c r="N32" s="1229"/>
      <c r="O32" s="1229">
        <v>0</v>
      </c>
      <c r="P32" s="3032"/>
      <c r="Q32" s="3025"/>
    </row>
    <row r="33" spans="2:17" s="3012" customFormat="1" ht="15.75">
      <c r="B33" s="3020">
        <v>30118</v>
      </c>
      <c r="C33" s="2980"/>
      <c r="D33" s="3021" t="s">
        <v>594</v>
      </c>
      <c r="E33" s="2980"/>
      <c r="F33" s="1229">
        <v>0</v>
      </c>
      <c r="G33" s="1229">
        <v>0</v>
      </c>
      <c r="H33" s="1229"/>
      <c r="I33" s="1229">
        <v>0</v>
      </c>
      <c r="J33" s="1229"/>
      <c r="K33" s="1229">
        <v>0</v>
      </c>
      <c r="L33" s="1229"/>
      <c r="M33" s="1229">
        <f t="shared" si="0"/>
        <v>0</v>
      </c>
      <c r="N33" s="1229"/>
      <c r="O33" s="1229">
        <v>0</v>
      </c>
      <c r="P33" s="3032"/>
      <c r="Q33" s="3025"/>
    </row>
    <row r="34" spans="2:17" s="3012" customFormat="1" ht="15.75">
      <c r="B34" s="3020">
        <v>30119</v>
      </c>
      <c r="C34" s="2980"/>
      <c r="D34" s="3021" t="s">
        <v>595</v>
      </c>
      <c r="E34" s="2980"/>
      <c r="F34" s="1229">
        <v>0</v>
      </c>
      <c r="G34" s="1229">
        <v>0</v>
      </c>
      <c r="H34" s="1229"/>
      <c r="I34" s="1229">
        <v>0</v>
      </c>
      <c r="J34" s="1229"/>
      <c r="K34" s="1229">
        <v>0</v>
      </c>
      <c r="L34" s="1229"/>
      <c r="M34" s="1229">
        <f t="shared" si="0"/>
        <v>0</v>
      </c>
      <c r="N34" s="1229"/>
      <c r="O34" s="1229">
        <v>0</v>
      </c>
      <c r="P34" s="3032"/>
      <c r="Q34" s="3025"/>
    </row>
    <row r="35" spans="2:17" s="3012" customFormat="1" ht="15.75">
      <c r="B35" s="3020">
        <v>30120</v>
      </c>
      <c r="C35" s="2980"/>
      <c r="D35" s="3021" t="s">
        <v>596</v>
      </c>
      <c r="E35" s="2980"/>
      <c r="F35" s="1229">
        <v>0</v>
      </c>
      <c r="G35" s="1229">
        <v>0</v>
      </c>
      <c r="H35" s="1229"/>
      <c r="I35" s="1229">
        <v>0</v>
      </c>
      <c r="J35" s="1229"/>
      <c r="K35" s="1229">
        <v>0</v>
      </c>
      <c r="L35" s="1229"/>
      <c r="M35" s="1229">
        <f t="shared" si="0"/>
        <v>0</v>
      </c>
      <c r="N35" s="1229"/>
      <c r="O35" s="1229">
        <v>0</v>
      </c>
      <c r="P35" s="3032"/>
      <c r="Q35" s="3025"/>
    </row>
    <row r="36" spans="2:17" s="3012" customFormat="1" ht="15.75">
      <c r="B36" s="3020">
        <v>30121</v>
      </c>
      <c r="C36" s="2980"/>
      <c r="D36" s="3021" t="s">
        <v>597</v>
      </c>
      <c r="E36" s="2980"/>
      <c r="F36" s="1229">
        <v>0</v>
      </c>
      <c r="G36" s="1229">
        <v>0</v>
      </c>
      <c r="H36" s="1229"/>
      <c r="I36" s="1229">
        <v>0</v>
      </c>
      <c r="J36" s="1229"/>
      <c r="K36" s="1229">
        <v>0</v>
      </c>
      <c r="L36" s="1229"/>
      <c r="M36" s="1229">
        <f t="shared" si="0"/>
        <v>0</v>
      </c>
      <c r="N36" s="1229"/>
      <c r="O36" s="1229">
        <v>0</v>
      </c>
      <c r="P36" s="3032"/>
      <c r="Q36" s="3025"/>
    </row>
    <row r="37" spans="2:17" s="3012" customFormat="1" ht="15.75">
      <c r="B37" s="3020">
        <v>30122</v>
      </c>
      <c r="C37" s="2980"/>
      <c r="D37" s="3021" t="s">
        <v>598</v>
      </c>
      <c r="E37" s="2980"/>
      <c r="F37" s="1229">
        <v>0</v>
      </c>
      <c r="G37" s="1229">
        <v>0</v>
      </c>
      <c r="H37" s="1229"/>
      <c r="I37" s="1229">
        <v>0</v>
      </c>
      <c r="J37" s="1229"/>
      <c r="K37" s="1229">
        <v>0</v>
      </c>
      <c r="L37" s="1229"/>
      <c r="M37" s="1229">
        <f t="shared" si="0"/>
        <v>0</v>
      </c>
      <c r="N37" s="1229"/>
      <c r="O37" s="1229">
        <v>0</v>
      </c>
      <c r="P37" s="3032"/>
      <c r="Q37" s="3025"/>
    </row>
    <row r="38" spans="2:17" s="3012" customFormat="1" ht="15.75">
      <c r="B38" s="3020">
        <v>30123</v>
      </c>
      <c r="C38" s="2980"/>
      <c r="D38" s="3021" t="s">
        <v>599</v>
      </c>
      <c r="E38" s="2980"/>
      <c r="F38" s="1229">
        <v>0</v>
      </c>
      <c r="G38" s="1229">
        <v>0</v>
      </c>
      <c r="H38" s="1229"/>
      <c r="I38" s="1229">
        <v>0</v>
      </c>
      <c r="J38" s="1229"/>
      <c r="K38" s="1229">
        <v>0</v>
      </c>
      <c r="L38" s="1229"/>
      <c r="M38" s="1229">
        <f t="shared" si="0"/>
        <v>0</v>
      </c>
      <c r="N38" s="1229"/>
      <c r="O38" s="1229">
        <v>0</v>
      </c>
      <c r="P38" s="3032"/>
      <c r="Q38" s="3025"/>
    </row>
    <row r="39" spans="2:17" s="3012" customFormat="1" ht="15.75">
      <c r="B39" s="3020">
        <v>30124</v>
      </c>
      <c r="C39" s="2980"/>
      <c r="D39" s="3021" t="s">
        <v>600</v>
      </c>
      <c r="E39" s="2980"/>
      <c r="F39" s="1229">
        <v>0</v>
      </c>
      <c r="G39" s="1229">
        <v>0</v>
      </c>
      <c r="H39" s="1229"/>
      <c r="I39" s="1229">
        <v>0</v>
      </c>
      <c r="J39" s="1229"/>
      <c r="K39" s="1229">
        <v>0</v>
      </c>
      <c r="L39" s="1229"/>
      <c r="M39" s="1229">
        <f t="shared" si="0"/>
        <v>0</v>
      </c>
      <c r="N39" s="1229"/>
      <c r="O39" s="1229">
        <v>0</v>
      </c>
      <c r="P39" s="3032"/>
      <c r="Q39" s="3025"/>
    </row>
    <row r="40" spans="2:17" s="3012" customFormat="1" ht="15.75">
      <c r="B40" s="3020">
        <v>30125</v>
      </c>
      <c r="C40" s="2980"/>
      <c r="D40" s="3021" t="s">
        <v>601</v>
      </c>
      <c r="E40" s="2980"/>
      <c r="F40" s="1229">
        <v>0</v>
      </c>
      <c r="G40" s="1229">
        <v>0</v>
      </c>
      <c r="H40" s="1229"/>
      <c r="I40" s="1229">
        <v>0</v>
      </c>
      <c r="J40" s="1229"/>
      <c r="K40" s="1229">
        <v>0</v>
      </c>
      <c r="L40" s="1229"/>
      <c r="M40" s="1229">
        <f t="shared" si="0"/>
        <v>0</v>
      </c>
      <c r="N40" s="1229"/>
      <c r="O40" s="1229">
        <v>0</v>
      </c>
      <c r="P40" s="3032"/>
      <c r="Q40" s="3025"/>
    </row>
    <row r="41" spans="2:17" s="3012" customFormat="1" ht="15.75">
      <c r="B41" s="3020">
        <v>30126</v>
      </c>
      <c r="C41" s="2980"/>
      <c r="D41" s="3021" t="s">
        <v>602</v>
      </c>
      <c r="E41" s="2980"/>
      <c r="F41" s="1229">
        <v>0</v>
      </c>
      <c r="G41" s="1229">
        <v>0</v>
      </c>
      <c r="H41" s="1229"/>
      <c r="I41" s="1229">
        <v>0</v>
      </c>
      <c r="J41" s="1229"/>
      <c r="K41" s="1229">
        <v>0</v>
      </c>
      <c r="L41" s="1229"/>
      <c r="M41" s="1229">
        <f t="shared" si="0"/>
        <v>0</v>
      </c>
      <c r="N41" s="1229"/>
      <c r="O41" s="1229">
        <v>0</v>
      </c>
      <c r="P41" s="3032"/>
      <c r="Q41" s="3025"/>
    </row>
    <row r="42" spans="2:17" s="3012" customFormat="1" ht="15.75">
      <c r="B42" s="3020">
        <v>30127</v>
      </c>
      <c r="C42" s="2980"/>
      <c r="D42" s="3021" t="s">
        <v>603</v>
      </c>
      <c r="E42" s="2980"/>
      <c r="F42" s="1229">
        <v>0</v>
      </c>
      <c r="G42" s="1229">
        <v>0</v>
      </c>
      <c r="H42" s="1229"/>
      <c r="I42" s="1229">
        <v>0</v>
      </c>
      <c r="J42" s="1229"/>
      <c r="K42" s="1229">
        <v>0</v>
      </c>
      <c r="L42" s="1229"/>
      <c r="M42" s="1229">
        <f t="shared" si="0"/>
        <v>0</v>
      </c>
      <c r="N42" s="1229"/>
      <c r="O42" s="1229">
        <v>0</v>
      </c>
      <c r="P42" s="3032"/>
      <c r="Q42" s="3025"/>
    </row>
    <row r="43" spans="2:17" s="3012" customFormat="1" ht="15.75">
      <c r="B43" s="3020">
        <v>30128</v>
      </c>
      <c r="C43" s="2980"/>
      <c r="D43" s="3021" t="s">
        <v>604</v>
      </c>
      <c r="E43" s="2980"/>
      <c r="F43" s="1229">
        <v>0</v>
      </c>
      <c r="G43" s="1229">
        <v>0</v>
      </c>
      <c r="H43" s="1229"/>
      <c r="I43" s="1229">
        <v>0</v>
      </c>
      <c r="J43" s="1229"/>
      <c r="K43" s="1229">
        <v>0</v>
      </c>
      <c r="L43" s="1229"/>
      <c r="M43" s="1229">
        <f t="shared" si="0"/>
        <v>0</v>
      </c>
      <c r="N43" s="1229"/>
      <c r="O43" s="1229">
        <v>0</v>
      </c>
      <c r="P43" s="3032"/>
      <c r="Q43" s="3025"/>
    </row>
    <row r="44" spans="2:17" s="3012" customFormat="1" ht="15.75">
      <c r="B44" s="3020">
        <v>30129</v>
      </c>
      <c r="C44" s="2980"/>
      <c r="D44" s="3021" t="s">
        <v>605</v>
      </c>
      <c r="E44" s="2980"/>
      <c r="F44" s="1229">
        <v>0</v>
      </c>
      <c r="G44" s="1229">
        <v>0</v>
      </c>
      <c r="H44" s="1229"/>
      <c r="I44" s="1229">
        <v>0</v>
      </c>
      <c r="J44" s="1229"/>
      <c r="K44" s="1229">
        <v>0</v>
      </c>
      <c r="L44" s="1229"/>
      <c r="M44" s="1229">
        <f t="shared" si="0"/>
        <v>0</v>
      </c>
      <c r="N44" s="1229"/>
      <c r="O44" s="1229">
        <v>0</v>
      </c>
      <c r="P44" s="3032"/>
      <c r="Q44" s="3025"/>
    </row>
    <row r="45" spans="2:17" s="3012" customFormat="1" ht="15.75">
      <c r="B45" s="3020">
        <v>30130</v>
      </c>
      <c r="C45" s="2980"/>
      <c r="D45" s="3021" t="s">
        <v>606</v>
      </c>
      <c r="E45" s="2980"/>
      <c r="F45" s="1229">
        <v>0</v>
      </c>
      <c r="G45" s="1229">
        <v>0</v>
      </c>
      <c r="H45" s="1229"/>
      <c r="I45" s="1229">
        <v>0</v>
      </c>
      <c r="J45" s="1229"/>
      <c r="K45" s="1229">
        <v>0</v>
      </c>
      <c r="L45" s="1229"/>
      <c r="M45" s="1229">
        <f t="shared" si="0"/>
        <v>0</v>
      </c>
      <c r="N45" s="1229"/>
      <c r="O45" s="1229">
        <v>0</v>
      </c>
      <c r="P45" s="3032"/>
      <c r="Q45" s="3025"/>
    </row>
    <row r="46" spans="2:17" s="3012" customFormat="1" ht="15.75">
      <c r="B46" s="3020">
        <v>30131</v>
      </c>
      <c r="C46" s="2980"/>
      <c r="D46" s="3021" t="s">
        <v>607</v>
      </c>
      <c r="E46" s="2980"/>
      <c r="F46" s="1229">
        <v>0</v>
      </c>
      <c r="G46" s="1229">
        <v>0</v>
      </c>
      <c r="H46" s="1229"/>
      <c r="I46" s="1229">
        <v>0</v>
      </c>
      <c r="J46" s="1229"/>
      <c r="K46" s="1229">
        <v>0</v>
      </c>
      <c r="L46" s="1229"/>
      <c r="M46" s="1229">
        <f t="shared" si="0"/>
        <v>0</v>
      </c>
      <c r="N46" s="1229"/>
      <c r="O46" s="1229">
        <v>0</v>
      </c>
      <c r="P46" s="3032"/>
      <c r="Q46" s="3025"/>
    </row>
    <row r="47" spans="2:17" s="3012" customFormat="1" ht="15.75">
      <c r="B47" s="3020">
        <v>30132</v>
      </c>
      <c r="C47" s="2980"/>
      <c r="D47" s="3021" t="s">
        <v>608</v>
      </c>
      <c r="E47" s="2980"/>
      <c r="F47" s="1229">
        <v>0</v>
      </c>
      <c r="G47" s="1229">
        <v>0</v>
      </c>
      <c r="H47" s="1229"/>
      <c r="I47" s="1229">
        <v>0</v>
      </c>
      <c r="J47" s="1229"/>
      <c r="K47" s="1229">
        <v>0</v>
      </c>
      <c r="L47" s="1229"/>
      <c r="M47" s="1229">
        <f t="shared" si="0"/>
        <v>0</v>
      </c>
      <c r="N47" s="1229"/>
      <c r="O47" s="1229">
        <v>0</v>
      </c>
      <c r="P47" s="3032"/>
      <c r="Q47" s="3025"/>
    </row>
    <row r="48" spans="2:17" s="3012" customFormat="1" ht="15.75">
      <c r="B48" s="3020">
        <v>30133</v>
      </c>
      <c r="C48" s="2980"/>
      <c r="D48" s="3021" t="s">
        <v>609</v>
      </c>
      <c r="E48" s="2980"/>
      <c r="F48" s="1229">
        <v>0</v>
      </c>
      <c r="G48" s="1229">
        <v>145547.19</v>
      </c>
      <c r="H48" s="1229"/>
      <c r="I48" s="1229">
        <v>145370.66</v>
      </c>
      <c r="J48" s="1229"/>
      <c r="K48" s="1229">
        <v>116987.84</v>
      </c>
      <c r="L48" s="1229"/>
      <c r="M48" s="1229">
        <f t="shared" si="0"/>
        <v>-116987.84</v>
      </c>
      <c r="N48" s="1229"/>
      <c r="O48" s="1229">
        <v>0</v>
      </c>
      <c r="P48" s="3032"/>
      <c r="Q48" s="3025"/>
    </row>
    <row r="49" spans="2:17" s="3012" customFormat="1" ht="15.75">
      <c r="B49" s="3020">
        <v>30134</v>
      </c>
      <c r="C49" s="2980"/>
      <c r="D49" s="3021" t="s">
        <v>610</v>
      </c>
      <c r="E49" s="2980"/>
      <c r="F49" s="1229">
        <v>0</v>
      </c>
      <c r="G49" s="1229">
        <v>0</v>
      </c>
      <c r="H49" s="1229"/>
      <c r="I49" s="1229">
        <v>0</v>
      </c>
      <c r="J49" s="1229"/>
      <c r="K49" s="1229">
        <v>0</v>
      </c>
      <c r="L49" s="1229"/>
      <c r="M49" s="1229">
        <f t="shared" si="0"/>
        <v>0</v>
      </c>
      <c r="N49" s="1229"/>
      <c r="O49" s="1229">
        <v>0</v>
      </c>
      <c r="P49" s="3032"/>
      <c r="Q49" s="3025"/>
    </row>
    <row r="50" spans="2:17" s="3012" customFormat="1" ht="15.75">
      <c r="B50" s="3020">
        <v>30135</v>
      </c>
      <c r="C50" s="2980"/>
      <c r="D50" s="3021" t="s">
        <v>611</v>
      </c>
      <c r="E50" s="2980"/>
      <c r="F50" s="1229">
        <v>0</v>
      </c>
      <c r="G50" s="1229">
        <v>0</v>
      </c>
      <c r="H50" s="1229"/>
      <c r="I50" s="1229">
        <v>0</v>
      </c>
      <c r="J50" s="1229"/>
      <c r="K50" s="1229">
        <v>0</v>
      </c>
      <c r="L50" s="1229"/>
      <c r="M50" s="1229">
        <f t="shared" si="0"/>
        <v>0</v>
      </c>
      <c r="N50" s="1229"/>
      <c r="O50" s="1229">
        <v>0</v>
      </c>
      <c r="P50" s="3032"/>
      <c r="Q50" s="3025"/>
    </row>
    <row r="51" spans="2:17" s="3012" customFormat="1" ht="15.75">
      <c r="B51" s="3020">
        <v>30136</v>
      </c>
      <c r="C51" s="2980"/>
      <c r="D51" s="3021" t="s">
        <v>612</v>
      </c>
      <c r="E51" s="2980"/>
      <c r="F51" s="1229">
        <v>0</v>
      </c>
      <c r="G51" s="1229">
        <v>0</v>
      </c>
      <c r="H51" s="1229"/>
      <c r="I51" s="1229">
        <v>0</v>
      </c>
      <c r="J51" s="1229"/>
      <c r="K51" s="1229">
        <v>0</v>
      </c>
      <c r="L51" s="1229"/>
      <c r="M51" s="1229">
        <f t="shared" si="0"/>
        <v>0</v>
      </c>
      <c r="N51" s="1229"/>
      <c r="O51" s="1229">
        <v>0</v>
      </c>
      <c r="P51" s="3032"/>
      <c r="Q51" s="3025"/>
    </row>
    <row r="52" spans="2:17" s="3012" customFormat="1" ht="15.75">
      <c r="B52" s="3020">
        <v>30137</v>
      </c>
      <c r="C52" s="2980"/>
      <c r="D52" s="3021" t="s">
        <v>613</v>
      </c>
      <c r="E52" s="2980"/>
      <c r="F52" s="1229">
        <v>2867.69</v>
      </c>
      <c r="G52" s="1229">
        <v>0</v>
      </c>
      <c r="H52" s="1229"/>
      <c r="I52" s="1229">
        <v>0</v>
      </c>
      <c r="J52" s="1229"/>
      <c r="K52" s="1229">
        <v>0</v>
      </c>
      <c r="L52" s="1229"/>
      <c r="M52" s="1229">
        <f t="shared" si="0"/>
        <v>0</v>
      </c>
      <c r="N52" s="1229"/>
      <c r="O52" s="1229">
        <v>0</v>
      </c>
      <c r="P52" s="3032"/>
      <c r="Q52" s="3025"/>
    </row>
    <row r="53" spans="2:17" s="3012" customFormat="1" ht="15.75">
      <c r="B53" s="3020">
        <v>30138</v>
      </c>
      <c r="C53" s="2980"/>
      <c r="D53" s="3021" t="s">
        <v>614</v>
      </c>
      <c r="E53" s="2980"/>
      <c r="F53" s="1229">
        <v>0</v>
      </c>
      <c r="G53" s="1229">
        <v>0</v>
      </c>
      <c r="H53" s="1229"/>
      <c r="I53" s="1229">
        <v>0</v>
      </c>
      <c r="J53" s="1229"/>
      <c r="K53" s="1229">
        <v>0</v>
      </c>
      <c r="L53" s="1229"/>
      <c r="M53" s="1229">
        <f t="shared" ref="M53:M75" si="1">ROUND(SUM(O53)-SUM(K53),2)</f>
        <v>0</v>
      </c>
      <c r="N53" s="1229"/>
      <c r="O53" s="1229">
        <v>0</v>
      </c>
      <c r="P53" s="3032"/>
      <c r="Q53" s="3025"/>
    </row>
    <row r="54" spans="2:17" s="3012" customFormat="1" ht="15.75">
      <c r="B54" s="3020">
        <v>30139</v>
      </c>
      <c r="C54" s="2980"/>
      <c r="D54" s="3021" t="s">
        <v>615</v>
      </c>
      <c r="E54" s="2980"/>
      <c r="F54" s="1229">
        <v>0</v>
      </c>
      <c r="G54" s="1229">
        <v>0</v>
      </c>
      <c r="H54" s="1229"/>
      <c r="I54" s="1229">
        <v>0</v>
      </c>
      <c r="J54" s="1229"/>
      <c r="K54" s="1229">
        <v>0</v>
      </c>
      <c r="L54" s="1229"/>
      <c r="M54" s="1229">
        <f t="shared" si="1"/>
        <v>0</v>
      </c>
      <c r="N54" s="1229"/>
      <c r="O54" s="1229">
        <v>0</v>
      </c>
      <c r="P54" s="3032"/>
      <c r="Q54" s="3025"/>
    </row>
    <row r="55" spans="2:17" s="3012" customFormat="1" ht="15.75">
      <c r="B55" s="3020">
        <v>30140</v>
      </c>
      <c r="C55" s="2980"/>
      <c r="D55" s="3021" t="s">
        <v>616</v>
      </c>
      <c r="E55" s="2980"/>
      <c r="F55" s="1229">
        <v>0</v>
      </c>
      <c r="G55" s="1229">
        <v>0</v>
      </c>
      <c r="H55" s="1229"/>
      <c r="I55" s="1229">
        <v>0</v>
      </c>
      <c r="J55" s="1229"/>
      <c r="K55" s="1229">
        <v>0</v>
      </c>
      <c r="L55" s="1229"/>
      <c r="M55" s="1229">
        <f t="shared" si="1"/>
        <v>0</v>
      </c>
      <c r="N55" s="1229"/>
      <c r="O55" s="1229">
        <v>0</v>
      </c>
      <c r="P55" s="3032"/>
      <c r="Q55" s="3025"/>
    </row>
    <row r="56" spans="2:17" s="3012" customFormat="1" ht="15.75">
      <c r="B56" s="3020">
        <v>30141</v>
      </c>
      <c r="C56" s="2980"/>
      <c r="D56" s="3021" t="s">
        <v>617</v>
      </c>
      <c r="E56" s="2980"/>
      <c r="F56" s="1229">
        <v>0</v>
      </c>
      <c r="G56" s="1229">
        <v>0</v>
      </c>
      <c r="H56" s="1229"/>
      <c r="I56" s="1229">
        <v>0</v>
      </c>
      <c r="J56" s="1229"/>
      <c r="K56" s="1229">
        <v>0</v>
      </c>
      <c r="L56" s="1229"/>
      <c r="M56" s="1229">
        <f t="shared" si="1"/>
        <v>0</v>
      </c>
      <c r="N56" s="1229"/>
      <c r="O56" s="1229">
        <v>0</v>
      </c>
      <c r="P56" s="3032"/>
      <c r="Q56" s="3025"/>
    </row>
    <row r="57" spans="2:17" s="3012" customFormat="1" ht="15.75">
      <c r="B57" s="3020">
        <v>30142</v>
      </c>
      <c r="C57" s="2980"/>
      <c r="D57" s="3021" t="s">
        <v>618</v>
      </c>
      <c r="E57" s="2980"/>
      <c r="F57" s="1229">
        <v>0</v>
      </c>
      <c r="G57" s="1229">
        <v>0</v>
      </c>
      <c r="H57" s="1229"/>
      <c r="I57" s="1229">
        <v>0</v>
      </c>
      <c r="J57" s="1229"/>
      <c r="K57" s="1229">
        <v>0</v>
      </c>
      <c r="L57" s="1229"/>
      <c r="M57" s="1229">
        <f t="shared" si="1"/>
        <v>0</v>
      </c>
      <c r="N57" s="1229"/>
      <c r="O57" s="1229">
        <v>0</v>
      </c>
      <c r="P57" s="3032"/>
      <c r="Q57" s="3025"/>
    </row>
    <row r="58" spans="2:17" s="3012" customFormat="1" ht="15.75">
      <c r="B58" s="3020">
        <v>30143</v>
      </c>
      <c r="C58" s="2980"/>
      <c r="D58" s="3021" t="s">
        <v>619</v>
      </c>
      <c r="E58" s="2980"/>
      <c r="F58" s="1229">
        <v>0</v>
      </c>
      <c r="G58" s="1229">
        <v>0</v>
      </c>
      <c r="H58" s="1229"/>
      <c r="I58" s="1229">
        <v>0</v>
      </c>
      <c r="J58" s="1229"/>
      <c r="K58" s="1229">
        <v>0</v>
      </c>
      <c r="L58" s="1229"/>
      <c r="M58" s="1229">
        <f t="shared" si="1"/>
        <v>0</v>
      </c>
      <c r="N58" s="1229"/>
      <c r="O58" s="1229">
        <v>0</v>
      </c>
      <c r="P58" s="3032"/>
      <c r="Q58" s="3025"/>
    </row>
    <row r="59" spans="2:17" s="3012" customFormat="1" ht="15.75">
      <c r="B59" s="3020">
        <v>30144</v>
      </c>
      <c r="C59" s="2980"/>
      <c r="D59" s="3021" t="s">
        <v>620</v>
      </c>
      <c r="E59" s="2980"/>
      <c r="F59" s="1229">
        <v>0</v>
      </c>
      <c r="G59" s="1229">
        <v>0</v>
      </c>
      <c r="H59" s="1229"/>
      <c r="I59" s="1229">
        <v>0</v>
      </c>
      <c r="J59" s="1229"/>
      <c r="K59" s="1229">
        <v>0</v>
      </c>
      <c r="L59" s="1229"/>
      <c r="M59" s="1229">
        <f t="shared" si="1"/>
        <v>0</v>
      </c>
      <c r="N59" s="1229"/>
      <c r="O59" s="1229">
        <v>0</v>
      </c>
      <c r="P59" s="3032"/>
      <c r="Q59" s="3025"/>
    </row>
    <row r="60" spans="2:17" s="3012" customFormat="1" ht="15.75">
      <c r="B60" s="3020">
        <v>30145</v>
      </c>
      <c r="C60" s="2980"/>
      <c r="D60" s="3021" t="s">
        <v>621</v>
      </c>
      <c r="E60" s="2980"/>
      <c r="F60" s="1229">
        <v>0</v>
      </c>
      <c r="G60" s="1229">
        <v>0</v>
      </c>
      <c r="H60" s="1229"/>
      <c r="I60" s="1229">
        <v>0</v>
      </c>
      <c r="J60" s="1229"/>
      <c r="K60" s="1229">
        <v>0</v>
      </c>
      <c r="L60" s="1229"/>
      <c r="M60" s="1229">
        <f t="shared" si="1"/>
        <v>0</v>
      </c>
      <c r="N60" s="1229"/>
      <c r="O60" s="1229">
        <v>0</v>
      </c>
      <c r="P60" s="3032"/>
      <c r="Q60" s="3025"/>
    </row>
    <row r="61" spans="2:17" s="3012" customFormat="1" ht="15.75">
      <c r="B61" s="3020">
        <v>30146</v>
      </c>
      <c r="C61" s="2980"/>
      <c r="D61" s="3021" t="s">
        <v>622</v>
      </c>
      <c r="E61" s="2980"/>
      <c r="F61" s="1229">
        <v>0</v>
      </c>
      <c r="G61" s="1229">
        <v>0</v>
      </c>
      <c r="H61" s="1229"/>
      <c r="I61" s="1229">
        <v>0</v>
      </c>
      <c r="J61" s="1229"/>
      <c r="K61" s="1229">
        <v>0</v>
      </c>
      <c r="L61" s="1229"/>
      <c r="M61" s="1229">
        <f t="shared" si="1"/>
        <v>0</v>
      </c>
      <c r="N61" s="1229"/>
      <c r="O61" s="1229">
        <v>0</v>
      </c>
      <c r="P61" s="3032"/>
      <c r="Q61" s="3025"/>
    </row>
    <row r="62" spans="2:17" s="3012" customFormat="1" ht="15.75">
      <c r="B62" s="3020">
        <v>30147</v>
      </c>
      <c r="C62" s="2980"/>
      <c r="D62" s="3021" t="s">
        <v>623</v>
      </c>
      <c r="E62" s="2980"/>
      <c r="F62" s="1229">
        <v>0</v>
      </c>
      <c r="G62" s="1229">
        <v>0</v>
      </c>
      <c r="H62" s="1229"/>
      <c r="I62" s="1229">
        <v>0</v>
      </c>
      <c r="J62" s="1229"/>
      <c r="K62" s="1229">
        <v>0</v>
      </c>
      <c r="L62" s="1229"/>
      <c r="M62" s="1229">
        <f t="shared" si="1"/>
        <v>0</v>
      </c>
      <c r="N62" s="1229"/>
      <c r="O62" s="1229">
        <v>0</v>
      </c>
      <c r="P62" s="3032"/>
      <c r="Q62" s="3025"/>
    </row>
    <row r="63" spans="2:17" s="3012" customFormat="1" ht="15.75">
      <c r="B63" s="3020">
        <v>30148</v>
      </c>
      <c r="C63" s="2980"/>
      <c r="D63" s="3021" t="s">
        <v>624</v>
      </c>
      <c r="E63" s="2980"/>
      <c r="F63" s="1229">
        <v>0</v>
      </c>
      <c r="G63" s="1229">
        <v>0</v>
      </c>
      <c r="H63" s="1229"/>
      <c r="I63" s="1229">
        <v>0</v>
      </c>
      <c r="J63" s="1229"/>
      <c r="K63" s="1229">
        <v>0</v>
      </c>
      <c r="L63" s="1229"/>
      <c r="M63" s="1229">
        <f t="shared" si="1"/>
        <v>0</v>
      </c>
      <c r="N63" s="1229"/>
      <c r="O63" s="1229">
        <v>0</v>
      </c>
      <c r="P63" s="3032"/>
      <c r="Q63" s="3025"/>
    </row>
    <row r="64" spans="2:17" s="3012" customFormat="1" ht="15.75">
      <c r="B64" s="3020">
        <v>30149</v>
      </c>
      <c r="C64" s="2980"/>
      <c r="D64" s="3021" t="s">
        <v>625</v>
      </c>
      <c r="E64" s="2980"/>
      <c r="F64" s="1229">
        <v>0</v>
      </c>
      <c r="G64" s="1229">
        <v>0</v>
      </c>
      <c r="H64" s="1229"/>
      <c r="I64" s="1229">
        <v>0</v>
      </c>
      <c r="J64" s="1229"/>
      <c r="K64" s="1229">
        <v>0</v>
      </c>
      <c r="L64" s="1229"/>
      <c r="M64" s="1229">
        <f t="shared" si="1"/>
        <v>0</v>
      </c>
      <c r="N64" s="1229"/>
      <c r="O64" s="1229">
        <v>0</v>
      </c>
      <c r="P64" s="3032"/>
      <c r="Q64" s="3025"/>
    </row>
    <row r="65" spans="2:17" s="3012" customFormat="1" ht="15.75">
      <c r="B65" s="3020">
        <v>30150</v>
      </c>
      <c r="C65" s="2980"/>
      <c r="D65" s="3021" t="s">
        <v>626</v>
      </c>
      <c r="E65" s="2980"/>
      <c r="F65" s="1229">
        <v>0</v>
      </c>
      <c r="G65" s="1229">
        <v>0</v>
      </c>
      <c r="H65" s="1229"/>
      <c r="I65" s="1229">
        <v>0</v>
      </c>
      <c r="J65" s="1229"/>
      <c r="K65" s="1229">
        <v>0</v>
      </c>
      <c r="L65" s="1229"/>
      <c r="M65" s="1229">
        <f t="shared" si="1"/>
        <v>0</v>
      </c>
      <c r="N65" s="1229"/>
      <c r="O65" s="1229">
        <v>0</v>
      </c>
      <c r="P65" s="3032"/>
      <c r="Q65" s="3025"/>
    </row>
    <row r="66" spans="2:17" s="3012" customFormat="1" ht="15.75">
      <c r="B66" s="3020">
        <v>30151</v>
      </c>
      <c r="C66" s="2980"/>
      <c r="D66" s="3021" t="s">
        <v>627</v>
      </c>
      <c r="E66" s="2980"/>
      <c r="F66" s="1229">
        <v>0</v>
      </c>
      <c r="G66" s="1229">
        <v>0</v>
      </c>
      <c r="H66" s="1229"/>
      <c r="I66" s="1229">
        <v>0</v>
      </c>
      <c r="J66" s="1229"/>
      <c r="K66" s="1229">
        <v>0</v>
      </c>
      <c r="L66" s="1229"/>
      <c r="M66" s="1229">
        <f t="shared" si="1"/>
        <v>0</v>
      </c>
      <c r="N66" s="1229"/>
      <c r="O66" s="1229">
        <v>0</v>
      </c>
      <c r="P66" s="3032"/>
      <c r="Q66" s="3025"/>
    </row>
    <row r="67" spans="2:17" s="3012" customFormat="1" ht="15.75">
      <c r="B67" s="3020">
        <v>30152</v>
      </c>
      <c r="C67" s="2980"/>
      <c r="D67" s="3021" t="s">
        <v>628</v>
      </c>
      <c r="E67" s="2980"/>
      <c r="F67" s="1229">
        <v>0</v>
      </c>
      <c r="G67" s="1229">
        <v>0</v>
      </c>
      <c r="H67" s="1229"/>
      <c r="I67" s="1229">
        <v>0</v>
      </c>
      <c r="J67" s="1229"/>
      <c r="K67" s="1229">
        <v>0</v>
      </c>
      <c r="L67" s="1229"/>
      <c r="M67" s="1229">
        <f t="shared" si="1"/>
        <v>0</v>
      </c>
      <c r="N67" s="1229"/>
      <c r="O67" s="1229">
        <v>0</v>
      </c>
      <c r="P67" s="3032"/>
      <c r="Q67" s="3025"/>
    </row>
    <row r="68" spans="2:17" s="3012" customFormat="1" ht="15.75">
      <c r="B68" s="3020">
        <v>30153</v>
      </c>
      <c r="C68" s="2980"/>
      <c r="D68" s="3021" t="s">
        <v>629</v>
      </c>
      <c r="E68" s="2980"/>
      <c r="F68" s="1229">
        <v>0</v>
      </c>
      <c r="G68" s="1229">
        <v>0</v>
      </c>
      <c r="H68" s="1229"/>
      <c r="I68" s="1229">
        <v>0</v>
      </c>
      <c r="J68" s="1229"/>
      <c r="K68" s="1229">
        <v>0</v>
      </c>
      <c r="L68" s="1229"/>
      <c r="M68" s="1229">
        <f t="shared" si="1"/>
        <v>0</v>
      </c>
      <c r="N68" s="1229"/>
      <c r="O68" s="1229">
        <v>0</v>
      </c>
      <c r="P68" s="3032"/>
      <c r="Q68" s="3025"/>
    </row>
    <row r="69" spans="2:17" s="3012" customFormat="1" ht="15.75">
      <c r="B69" s="3020">
        <v>30154</v>
      </c>
      <c r="C69" s="2980"/>
      <c r="D69" s="3021" t="s">
        <v>630</v>
      </c>
      <c r="E69" s="2980"/>
      <c r="F69" s="1229">
        <v>0</v>
      </c>
      <c r="G69" s="1229">
        <v>0</v>
      </c>
      <c r="H69" s="1229"/>
      <c r="I69" s="1229">
        <v>0</v>
      </c>
      <c r="J69" s="1229"/>
      <c r="K69" s="1229">
        <v>0</v>
      </c>
      <c r="L69" s="1229"/>
      <c r="M69" s="1229">
        <f t="shared" si="1"/>
        <v>0</v>
      </c>
      <c r="N69" s="1229"/>
      <c r="O69" s="1229">
        <v>0</v>
      </c>
      <c r="P69" s="3032"/>
      <c r="Q69" s="3025"/>
    </row>
    <row r="70" spans="2:17" s="3012" customFormat="1" ht="15.75">
      <c r="B70" s="3020">
        <v>30351</v>
      </c>
      <c r="C70" s="2980"/>
      <c r="D70" s="3021" t="s">
        <v>631</v>
      </c>
      <c r="E70" s="2980"/>
      <c r="F70" s="1229">
        <v>72792259.140000001</v>
      </c>
      <c r="G70" s="1229">
        <v>94023371.069999993</v>
      </c>
      <c r="H70" s="1229"/>
      <c r="I70" s="1229">
        <v>102762251.53</v>
      </c>
      <c r="J70" s="1229"/>
      <c r="K70" s="1229">
        <v>18832336.550000001</v>
      </c>
      <c r="L70" s="1229"/>
      <c r="M70" s="1229">
        <f t="shared" si="1"/>
        <v>14863961.640000001</v>
      </c>
      <c r="N70" s="1229"/>
      <c r="O70" s="1229">
        <v>33696298.189999998</v>
      </c>
      <c r="P70" s="3032"/>
      <c r="Q70" s="3025"/>
    </row>
    <row r="71" spans="2:17" s="3012" customFormat="1" ht="15.75">
      <c r="B71" s="3020">
        <v>30501</v>
      </c>
      <c r="C71" s="2980"/>
      <c r="D71" s="3021" t="s">
        <v>632</v>
      </c>
      <c r="E71" s="2980"/>
      <c r="F71" s="1229">
        <v>169.29</v>
      </c>
      <c r="G71" s="1229">
        <v>0</v>
      </c>
      <c r="H71" s="1229"/>
      <c r="I71" s="1229">
        <v>0</v>
      </c>
      <c r="J71" s="1229"/>
      <c r="K71" s="1229">
        <v>0</v>
      </c>
      <c r="L71" s="1229"/>
      <c r="M71" s="1229">
        <f t="shared" si="1"/>
        <v>0</v>
      </c>
      <c r="N71" s="1229"/>
      <c r="O71" s="1229">
        <v>0</v>
      </c>
      <c r="P71" s="3032"/>
      <c r="Q71" s="3025"/>
    </row>
    <row r="72" spans="2:17" s="3012" customFormat="1" ht="15.75">
      <c r="B72" s="3020">
        <v>30502</v>
      </c>
      <c r="C72" s="2980"/>
      <c r="D72" s="3021" t="s">
        <v>633</v>
      </c>
      <c r="E72" s="2980"/>
      <c r="F72" s="1229">
        <v>0</v>
      </c>
      <c r="G72" s="1229">
        <v>0</v>
      </c>
      <c r="H72" s="1229"/>
      <c r="I72" s="1229">
        <v>0</v>
      </c>
      <c r="J72" s="1229"/>
      <c r="K72" s="1229">
        <v>0</v>
      </c>
      <c r="L72" s="1229"/>
      <c r="M72" s="1229">
        <f t="shared" si="1"/>
        <v>0</v>
      </c>
      <c r="N72" s="1229"/>
      <c r="O72" s="1229">
        <v>0</v>
      </c>
      <c r="P72" s="3032"/>
      <c r="Q72" s="3025"/>
    </row>
    <row r="73" spans="2:17" s="3012" customFormat="1" ht="15.75">
      <c r="B73" s="3020">
        <v>30503</v>
      </c>
      <c r="C73" s="2980"/>
      <c r="D73" s="3021" t="s">
        <v>634</v>
      </c>
      <c r="E73" s="2980"/>
      <c r="F73" s="1229">
        <v>0</v>
      </c>
      <c r="G73" s="1229">
        <v>0</v>
      </c>
      <c r="H73" s="1229"/>
      <c r="I73" s="1229">
        <v>0</v>
      </c>
      <c r="J73" s="1229"/>
      <c r="K73" s="1229">
        <v>0</v>
      </c>
      <c r="L73" s="1229"/>
      <c r="M73" s="1229">
        <f t="shared" si="1"/>
        <v>0</v>
      </c>
      <c r="N73" s="1229"/>
      <c r="O73" s="1229">
        <v>0</v>
      </c>
      <c r="P73" s="3032"/>
      <c r="Q73" s="3025"/>
    </row>
    <row r="74" spans="2:17" s="3012" customFormat="1" ht="15.75">
      <c r="B74" s="3020">
        <v>30504</v>
      </c>
      <c r="C74" s="2980"/>
      <c r="D74" s="3033" t="s">
        <v>635</v>
      </c>
      <c r="E74" s="2980"/>
      <c r="F74" s="1229">
        <v>0</v>
      </c>
      <c r="G74" s="1229">
        <v>0</v>
      </c>
      <c r="H74" s="1229"/>
      <c r="I74" s="1229">
        <v>0</v>
      </c>
      <c r="J74" s="1229"/>
      <c r="K74" s="1229">
        <v>0</v>
      </c>
      <c r="L74" s="1229"/>
      <c r="M74" s="1229">
        <f t="shared" si="1"/>
        <v>0</v>
      </c>
      <c r="N74" s="1229"/>
      <c r="O74" s="1229">
        <v>0</v>
      </c>
      <c r="P74" s="3032"/>
      <c r="Q74" s="3025"/>
    </row>
    <row r="75" spans="2:17" s="3012" customFormat="1" ht="15.75">
      <c r="B75" s="3020">
        <v>31506</v>
      </c>
      <c r="C75" s="3034"/>
      <c r="D75" s="3035" t="s">
        <v>636</v>
      </c>
      <c r="E75" s="3036"/>
      <c r="F75" s="1229">
        <v>109849194.79000001</v>
      </c>
      <c r="G75" s="1229">
        <v>164798490.97999999</v>
      </c>
      <c r="H75" s="1229"/>
      <c r="I75" s="1229">
        <v>170744464.19</v>
      </c>
      <c r="J75" s="1229"/>
      <c r="K75" s="1229">
        <v>105066298.92</v>
      </c>
      <c r="L75" s="1229"/>
      <c r="M75" s="1229">
        <f t="shared" si="1"/>
        <v>4714161.3600000003</v>
      </c>
      <c r="N75" s="1229"/>
      <c r="O75" s="1229">
        <v>109780460.28</v>
      </c>
      <c r="P75" s="3032"/>
      <c r="Q75" s="3025"/>
    </row>
    <row r="76" spans="2:17" s="3012" customFormat="1" ht="15.75">
      <c r="B76" s="3020">
        <v>31701</v>
      </c>
      <c r="C76" s="2980"/>
      <c r="D76" s="3021" t="s">
        <v>637</v>
      </c>
      <c r="E76" s="2980"/>
      <c r="F76" s="1229">
        <v>7423246.6200000001</v>
      </c>
      <c r="G76" s="1229">
        <v>14536893.34</v>
      </c>
      <c r="H76" s="1229"/>
      <c r="I76" s="1229">
        <v>16625871.310000001</v>
      </c>
      <c r="J76" s="1229"/>
      <c r="K76" s="1229">
        <v>18445349.219999999</v>
      </c>
      <c r="L76" s="1229"/>
      <c r="M76" s="1229">
        <f t="shared" ref="M76:M83" si="2">ROUND(SUM(O76)-SUM(K76),2)</f>
        <v>1620032.28</v>
      </c>
      <c r="N76" s="1229"/>
      <c r="O76" s="1229">
        <v>20065381.5</v>
      </c>
      <c r="P76" s="3032"/>
      <c r="Q76" s="3025"/>
    </row>
    <row r="77" spans="2:17" s="3012" customFormat="1" ht="15.75">
      <c r="B77" s="3020">
        <v>31801</v>
      </c>
      <c r="C77" s="2980"/>
      <c r="D77" s="3021" t="s">
        <v>638</v>
      </c>
      <c r="E77" s="2980"/>
      <c r="F77" s="1229">
        <v>13150846.050000001</v>
      </c>
      <c r="G77" s="1229">
        <v>12941967.060000001</v>
      </c>
      <c r="H77" s="1229"/>
      <c r="I77" s="1229">
        <v>12941967.060000001</v>
      </c>
      <c r="J77" s="1229"/>
      <c r="K77" s="1229">
        <v>12941967.060000001</v>
      </c>
      <c r="L77" s="1229"/>
      <c r="M77" s="1229">
        <f t="shared" si="2"/>
        <v>0</v>
      </c>
      <c r="N77" s="1229"/>
      <c r="O77" s="1229">
        <v>12941967.060000001</v>
      </c>
      <c r="P77" s="3032"/>
      <c r="Q77" s="3025"/>
    </row>
    <row r="78" spans="2:17" s="3012" customFormat="1" ht="15.75">
      <c r="B78" s="3020">
        <v>31851</v>
      </c>
      <c r="C78" s="2980"/>
      <c r="D78" s="3033" t="s">
        <v>639</v>
      </c>
      <c r="E78" s="2980"/>
      <c r="F78" s="1229">
        <v>0</v>
      </c>
      <c r="G78" s="1229">
        <v>0</v>
      </c>
      <c r="H78" s="1229"/>
      <c r="I78" s="1229">
        <v>0</v>
      </c>
      <c r="J78" s="1229"/>
      <c r="K78" s="1229">
        <v>0</v>
      </c>
      <c r="L78" s="1229"/>
      <c r="M78" s="1229">
        <f t="shared" si="2"/>
        <v>11601171.550000001</v>
      </c>
      <c r="N78" s="1229"/>
      <c r="O78" s="1229">
        <v>11601171.550000001</v>
      </c>
      <c r="P78" s="3032"/>
      <c r="Q78" s="3025"/>
    </row>
    <row r="79" spans="2:17" s="3012" customFormat="1" ht="15.75">
      <c r="B79" s="3020">
        <v>31852</v>
      </c>
      <c r="C79" s="2980"/>
      <c r="D79" s="3021" t="s">
        <v>640</v>
      </c>
      <c r="E79" s="2980"/>
      <c r="F79" s="1229">
        <v>40679225.310000002</v>
      </c>
      <c r="G79" s="1229">
        <v>56780924.149999999</v>
      </c>
      <c r="H79" s="1229"/>
      <c r="I79" s="1229">
        <v>62246340.149999999</v>
      </c>
      <c r="J79" s="1229"/>
      <c r="K79" s="1229">
        <v>62246340.149999999</v>
      </c>
      <c r="L79" s="1229"/>
      <c r="M79" s="1229">
        <f t="shared" si="2"/>
        <v>-9501382.4100000001</v>
      </c>
      <c r="N79" s="1229"/>
      <c r="O79" s="1229">
        <v>52744957.740000002</v>
      </c>
      <c r="P79" s="3032"/>
      <c r="Q79" s="3025"/>
    </row>
    <row r="80" spans="2:17" s="3012" customFormat="1" ht="15.75">
      <c r="B80" s="3020">
        <v>31853</v>
      </c>
      <c r="C80" s="2980"/>
      <c r="D80" s="3033" t="s">
        <v>641</v>
      </c>
      <c r="E80" s="2980"/>
      <c r="F80" s="1229">
        <v>76297899.909999996</v>
      </c>
      <c r="G80" s="1229">
        <v>135658911.97999999</v>
      </c>
      <c r="H80" s="1229"/>
      <c r="I80" s="1229">
        <v>135658911.97999999</v>
      </c>
      <c r="J80" s="1229"/>
      <c r="K80" s="1229">
        <v>151408911.97999999</v>
      </c>
      <c r="L80" s="1229"/>
      <c r="M80" s="1229">
        <f t="shared" si="2"/>
        <v>-39730532.049999997</v>
      </c>
      <c r="N80" s="1229"/>
      <c r="O80" s="1229">
        <v>111678379.93000001</v>
      </c>
      <c r="P80" s="3032"/>
      <c r="Q80" s="3025"/>
    </row>
    <row r="81" spans="2:17" s="3012" customFormat="1" ht="15.75">
      <c r="B81" s="3020">
        <v>31854</v>
      </c>
      <c r="C81" s="2980"/>
      <c r="D81" s="3021" t="s">
        <v>642</v>
      </c>
      <c r="E81" s="2980"/>
      <c r="F81" s="1229">
        <v>0</v>
      </c>
      <c r="G81" s="1229">
        <v>0</v>
      </c>
      <c r="H81" s="1229"/>
      <c r="I81" s="1229">
        <v>0</v>
      </c>
      <c r="J81" s="1229"/>
      <c r="K81" s="1229">
        <v>0</v>
      </c>
      <c r="L81" s="1229"/>
      <c r="M81" s="1229">
        <f t="shared" si="2"/>
        <v>0</v>
      </c>
      <c r="N81" s="1229"/>
      <c r="O81" s="1229">
        <v>0</v>
      </c>
      <c r="P81" s="3032"/>
      <c r="Q81" s="3025"/>
    </row>
    <row r="82" spans="2:17" s="3012" customFormat="1" ht="15.75">
      <c r="B82" s="3020">
        <v>31951</v>
      </c>
      <c r="C82" s="2980"/>
      <c r="D82" s="3033" t="s">
        <v>643</v>
      </c>
      <c r="E82" s="2980"/>
      <c r="F82" s="1229">
        <v>12348115.710000001</v>
      </c>
      <c r="G82" s="1229">
        <v>12262315.99</v>
      </c>
      <c r="H82" s="1229"/>
      <c r="I82" s="1229">
        <v>11969463.99</v>
      </c>
      <c r="J82" s="1229"/>
      <c r="K82" s="1229">
        <v>11969463.99</v>
      </c>
      <c r="L82" s="1229"/>
      <c r="M82" s="1229">
        <f t="shared" si="2"/>
        <v>0</v>
      </c>
      <c r="N82" s="1229"/>
      <c r="O82" s="1229">
        <v>11969463.99</v>
      </c>
      <c r="P82" s="3032"/>
      <c r="Q82" s="3025"/>
    </row>
    <row r="83" spans="2:17" s="3012" customFormat="1" ht="15.75">
      <c r="B83" s="3020">
        <v>32213</v>
      </c>
      <c r="C83" s="2980"/>
      <c r="D83" s="3021" t="s">
        <v>644</v>
      </c>
      <c r="E83" s="2980"/>
      <c r="F83" s="1229">
        <v>153750</v>
      </c>
      <c r="G83" s="1229">
        <v>153750</v>
      </c>
      <c r="H83" s="1229"/>
      <c r="I83" s="1229">
        <v>153750</v>
      </c>
      <c r="J83" s="1229"/>
      <c r="K83" s="1229">
        <v>153750</v>
      </c>
      <c r="L83" s="1229"/>
      <c r="M83" s="1229">
        <f t="shared" si="2"/>
        <v>0</v>
      </c>
      <c r="N83" s="1229"/>
      <c r="O83" s="1229">
        <v>153750</v>
      </c>
      <c r="P83" s="3032"/>
      <c r="Q83" s="3025"/>
    </row>
    <row r="84" spans="2:17" s="3012" customFormat="1" ht="15.75">
      <c r="B84" s="3020">
        <v>32214</v>
      </c>
      <c r="C84" s="2980"/>
      <c r="D84" s="3021" t="s">
        <v>1293</v>
      </c>
      <c r="E84" s="2980"/>
      <c r="F84" s="1229"/>
      <c r="G84" s="1229">
        <v>0</v>
      </c>
      <c r="H84" s="1229"/>
      <c r="I84" s="1229">
        <v>0</v>
      </c>
      <c r="J84" s="1229"/>
      <c r="K84" s="1229">
        <v>0</v>
      </c>
      <c r="L84" s="1229"/>
      <c r="M84" s="1229">
        <f t="shared" ref="M84" si="3">ROUND(SUM(O84)-SUM(K84),2)</f>
        <v>0</v>
      </c>
      <c r="N84" s="1229"/>
      <c r="O84" s="1229">
        <v>0</v>
      </c>
      <c r="P84" s="3032"/>
      <c r="Q84" s="3025"/>
    </row>
    <row r="85" spans="2:17" s="3012" customFormat="1" ht="15.75">
      <c r="B85" s="3020">
        <v>32215</v>
      </c>
      <c r="C85" s="2980"/>
      <c r="D85" s="3021" t="s">
        <v>1265</v>
      </c>
      <c r="E85" s="2980"/>
      <c r="F85" s="1229"/>
      <c r="G85" s="1229">
        <v>0</v>
      </c>
      <c r="H85" s="1229"/>
      <c r="I85" s="1229">
        <v>160034.23999999999</v>
      </c>
      <c r="J85" s="1229"/>
      <c r="K85" s="1229">
        <v>594984.35</v>
      </c>
      <c r="L85" s="1229"/>
      <c r="M85" s="1229">
        <f>ROUND(SUM(O85)-SUM(K85),2)</f>
        <v>972501.06</v>
      </c>
      <c r="N85" s="1229"/>
      <c r="O85" s="1229">
        <v>1567485.41</v>
      </c>
      <c r="P85" s="3032"/>
      <c r="Q85" s="3025"/>
    </row>
    <row r="86" spans="2:17" s="3012" customFormat="1" ht="15.75">
      <c r="B86" s="3020">
        <v>32219</v>
      </c>
      <c r="C86" s="2980"/>
      <c r="D86" s="3021" t="s">
        <v>1327</v>
      </c>
      <c r="E86" s="2980"/>
      <c r="F86" s="1229"/>
      <c r="G86" s="1229">
        <v>0</v>
      </c>
      <c r="H86" s="1229"/>
      <c r="I86" s="1229">
        <v>0</v>
      </c>
      <c r="J86" s="1229"/>
      <c r="K86" s="1229">
        <v>0</v>
      </c>
      <c r="L86" s="1229"/>
      <c r="M86" s="1229">
        <f>ROUND(SUM(O86)-SUM(K86),2)</f>
        <v>0</v>
      </c>
      <c r="N86" s="1229"/>
      <c r="O86" s="1229">
        <v>0</v>
      </c>
      <c r="P86" s="3032"/>
      <c r="Q86" s="3025"/>
    </row>
    <row r="87" spans="2:17" s="3012" customFormat="1" ht="15.75">
      <c r="B87" s="3020">
        <v>32301</v>
      </c>
      <c r="C87" s="2980"/>
      <c r="D87" s="3033" t="s">
        <v>645</v>
      </c>
      <c r="E87" s="3036"/>
      <c r="F87" s="1229">
        <v>0</v>
      </c>
      <c r="G87" s="1229">
        <v>0</v>
      </c>
      <c r="H87" s="1229"/>
      <c r="I87" s="1229">
        <v>0</v>
      </c>
      <c r="J87" s="1229"/>
      <c r="K87" s="1229">
        <v>0</v>
      </c>
      <c r="L87" s="1229"/>
      <c r="M87" s="1229">
        <f t="shared" ref="M87:M101" si="4">ROUND(SUM(O87)-SUM(K87),2)</f>
        <v>0</v>
      </c>
      <c r="N87" s="1229"/>
      <c r="O87" s="1229">
        <v>0</v>
      </c>
      <c r="P87" s="3032"/>
      <c r="Q87" s="3025"/>
    </row>
    <row r="88" spans="2:17" s="3012" customFormat="1" ht="15.75">
      <c r="B88" s="3020">
        <v>32302</v>
      </c>
      <c r="C88" s="2980"/>
      <c r="D88" s="3033" t="s">
        <v>1026</v>
      </c>
      <c r="E88" s="3036"/>
      <c r="F88" s="1229">
        <v>0</v>
      </c>
      <c r="G88" s="1229">
        <v>0</v>
      </c>
      <c r="H88" s="1229"/>
      <c r="I88" s="1229">
        <v>0</v>
      </c>
      <c r="J88" s="1229"/>
      <c r="K88" s="1229">
        <v>0</v>
      </c>
      <c r="L88" s="1229"/>
      <c r="M88" s="1229">
        <f t="shared" si="4"/>
        <v>0</v>
      </c>
      <c r="N88" s="1229"/>
      <c r="O88" s="1229">
        <v>0</v>
      </c>
      <c r="P88" s="3032"/>
      <c r="Q88" s="3025"/>
    </row>
    <row r="89" spans="2:17" s="3012" customFormat="1" ht="15.75">
      <c r="B89" s="3020">
        <v>32303</v>
      </c>
      <c r="C89" s="2980"/>
      <c r="D89" s="3021" t="s">
        <v>646</v>
      </c>
      <c r="E89" s="3036"/>
      <c r="F89" s="1229">
        <v>87723047.260000005</v>
      </c>
      <c r="G89" s="1229">
        <v>122972708.42</v>
      </c>
      <c r="H89" s="1229"/>
      <c r="I89" s="1229">
        <v>125288703.86</v>
      </c>
      <c r="J89" s="1229"/>
      <c r="K89" s="1229">
        <v>128573474.09</v>
      </c>
      <c r="L89" s="1229"/>
      <c r="M89" s="1229">
        <f t="shared" si="4"/>
        <v>-2747104.54</v>
      </c>
      <c r="N89" s="1229"/>
      <c r="O89" s="1229">
        <v>125826369.55</v>
      </c>
      <c r="P89" s="3032"/>
      <c r="Q89" s="3025"/>
    </row>
    <row r="90" spans="2:17" s="3012" customFormat="1" ht="15.75">
      <c r="B90" s="3020">
        <v>32304</v>
      </c>
      <c r="C90" s="2980"/>
      <c r="D90" s="3021" t="s">
        <v>647</v>
      </c>
      <c r="E90" s="3036"/>
      <c r="F90" s="1229">
        <v>0</v>
      </c>
      <c r="G90" s="1229">
        <v>0</v>
      </c>
      <c r="H90" s="1229"/>
      <c r="I90" s="1229">
        <v>0</v>
      </c>
      <c r="J90" s="1229"/>
      <c r="K90" s="1229">
        <v>0</v>
      </c>
      <c r="L90" s="1229"/>
      <c r="M90" s="1229">
        <f t="shared" si="4"/>
        <v>0</v>
      </c>
      <c r="N90" s="1229"/>
      <c r="O90" s="1229">
        <v>0</v>
      </c>
      <c r="P90" s="3032"/>
      <c r="Q90" s="3025"/>
    </row>
    <row r="91" spans="2:17" s="3012" customFormat="1" ht="15.75">
      <c r="B91" s="3020">
        <v>32305</v>
      </c>
      <c r="C91" s="2980"/>
      <c r="D91" s="3021" t="s">
        <v>1027</v>
      </c>
      <c r="E91" s="3036"/>
      <c r="F91" s="1229">
        <v>172362230.61000001</v>
      </c>
      <c r="G91" s="1229">
        <v>195514343.74000001</v>
      </c>
      <c r="H91" s="1229"/>
      <c r="I91" s="1229">
        <v>183312447.63999999</v>
      </c>
      <c r="J91" s="1229"/>
      <c r="K91" s="1229">
        <v>182694881.12</v>
      </c>
      <c r="L91" s="1229"/>
      <c r="M91" s="1229">
        <f t="shared" si="4"/>
        <v>4751500</v>
      </c>
      <c r="N91" s="1229"/>
      <c r="O91" s="1229">
        <v>187446381.12</v>
      </c>
      <c r="P91" s="3032"/>
      <c r="Q91" s="3025"/>
    </row>
    <row r="92" spans="2:17" s="3012" customFormat="1" ht="15.75">
      <c r="B92" s="3020">
        <v>32306</v>
      </c>
      <c r="C92" s="2980"/>
      <c r="D92" s="3033" t="s">
        <v>648</v>
      </c>
      <c r="E92" s="3036"/>
      <c r="F92" s="1229">
        <v>26767629.280000001</v>
      </c>
      <c r="G92" s="1229">
        <v>0</v>
      </c>
      <c r="H92" s="1229"/>
      <c r="I92" s="1229">
        <v>0</v>
      </c>
      <c r="J92" s="1229"/>
      <c r="K92" s="1229">
        <v>0</v>
      </c>
      <c r="L92" s="1229"/>
      <c r="M92" s="1229">
        <f t="shared" si="4"/>
        <v>0</v>
      </c>
      <c r="N92" s="1229"/>
      <c r="O92" s="1229">
        <v>0</v>
      </c>
      <c r="P92" s="3032"/>
      <c r="Q92" s="3025"/>
    </row>
    <row r="93" spans="2:17" s="3012" customFormat="1" ht="15.75">
      <c r="B93" s="3020">
        <v>32307</v>
      </c>
      <c r="C93" s="2980"/>
      <c r="D93" s="3033" t="s">
        <v>649</v>
      </c>
      <c r="E93" s="3036"/>
      <c r="F93" s="1229">
        <v>5430710.0300000003</v>
      </c>
      <c r="G93" s="1229">
        <v>2895339.49</v>
      </c>
      <c r="H93" s="1229"/>
      <c r="I93" s="1229">
        <v>2895339.49</v>
      </c>
      <c r="J93" s="1229"/>
      <c r="K93" s="1229">
        <v>2891378.39</v>
      </c>
      <c r="L93" s="1229"/>
      <c r="M93" s="1229">
        <f t="shared" si="4"/>
        <v>1114200</v>
      </c>
      <c r="N93" s="1229"/>
      <c r="O93" s="1229">
        <v>4005578.39</v>
      </c>
      <c r="P93" s="3032"/>
      <c r="Q93" s="3025"/>
    </row>
    <row r="94" spans="2:17" s="3012" customFormat="1" ht="15.75">
      <c r="B94" s="3020">
        <v>32308</v>
      </c>
      <c r="C94" s="2980"/>
      <c r="D94" s="3033" t="s">
        <v>650</v>
      </c>
      <c r="E94" s="3036"/>
      <c r="F94" s="1229">
        <v>539890.44999999995</v>
      </c>
      <c r="G94" s="1229">
        <v>883591.2</v>
      </c>
      <c r="H94" s="1229"/>
      <c r="I94" s="1229">
        <v>883591.2</v>
      </c>
      <c r="J94" s="1229"/>
      <c r="K94" s="1229">
        <v>883591.2</v>
      </c>
      <c r="L94" s="1229"/>
      <c r="M94" s="1229">
        <f t="shared" si="4"/>
        <v>0</v>
      </c>
      <c r="N94" s="1229"/>
      <c r="O94" s="1229">
        <v>883591.2</v>
      </c>
      <c r="P94" s="3032"/>
      <c r="Q94" s="3025"/>
    </row>
    <row r="95" spans="2:17" s="3012" customFormat="1" ht="15.75">
      <c r="B95" s="3020">
        <v>32309</v>
      </c>
      <c r="C95" s="2980"/>
      <c r="D95" s="3033" t="s">
        <v>651</v>
      </c>
      <c r="E95" s="3036"/>
      <c r="F95" s="1229">
        <v>104401100.42</v>
      </c>
      <c r="G95" s="1229">
        <v>76418255.989999995</v>
      </c>
      <c r="H95" s="1229"/>
      <c r="I95" s="1229">
        <v>91113558.659999996</v>
      </c>
      <c r="J95" s="1229"/>
      <c r="K95" s="1229">
        <v>67717251.420000002</v>
      </c>
      <c r="L95" s="1229"/>
      <c r="M95" s="1229">
        <f t="shared" si="4"/>
        <v>5704473.7999999998</v>
      </c>
      <c r="N95" s="1229"/>
      <c r="O95" s="1229">
        <v>73421725.219999999</v>
      </c>
      <c r="P95" s="3032"/>
      <c r="Q95" s="3025"/>
    </row>
    <row r="96" spans="2:17" s="3012" customFormat="1" ht="15.75">
      <c r="B96" s="3020">
        <v>32310</v>
      </c>
      <c r="C96" s="2980"/>
      <c r="D96" s="3033" t="s">
        <v>652</v>
      </c>
      <c r="E96" s="3036"/>
      <c r="F96" s="1229">
        <v>0</v>
      </c>
      <c r="G96" s="1229">
        <v>5575843.3799999999</v>
      </c>
      <c r="H96" s="1229"/>
      <c r="I96" s="1229">
        <v>5575843.3799999999</v>
      </c>
      <c r="J96" s="1229"/>
      <c r="K96" s="1229">
        <v>7021897.3799999999</v>
      </c>
      <c r="L96" s="1229"/>
      <c r="M96" s="1229">
        <f t="shared" si="4"/>
        <v>4000000</v>
      </c>
      <c r="N96" s="1229"/>
      <c r="O96" s="1229">
        <v>11021897.380000001</v>
      </c>
      <c r="P96" s="3032"/>
      <c r="Q96" s="3025"/>
    </row>
    <row r="97" spans="2:17" s="3012" customFormat="1" ht="17.25">
      <c r="B97" s="3020">
        <v>32311</v>
      </c>
      <c r="C97" s="2980"/>
      <c r="D97" s="3037" t="s">
        <v>653</v>
      </c>
      <c r="E97" s="3036"/>
      <c r="F97" s="1229">
        <v>2486315.4700000002</v>
      </c>
      <c r="G97" s="1229">
        <v>0.38</v>
      </c>
      <c r="H97" s="1229"/>
      <c r="I97" s="1229">
        <v>119787.38</v>
      </c>
      <c r="J97" s="1229"/>
      <c r="K97" s="1229">
        <v>119787.38</v>
      </c>
      <c r="L97" s="1229"/>
      <c r="M97" s="1229">
        <f t="shared" si="4"/>
        <v>0</v>
      </c>
      <c r="N97" s="1229"/>
      <c r="O97" s="1229">
        <v>119787.38</v>
      </c>
      <c r="P97" s="3032"/>
      <c r="Q97" s="3025"/>
    </row>
    <row r="98" spans="2:17" s="3012" customFormat="1" ht="15.75">
      <c r="B98" s="3020">
        <v>32351</v>
      </c>
      <c r="C98" s="2980"/>
      <c r="D98" s="3033" t="s">
        <v>654</v>
      </c>
      <c r="E98" s="3036"/>
      <c r="F98" s="1229">
        <v>11110.01</v>
      </c>
      <c r="G98" s="1229">
        <v>0</v>
      </c>
      <c r="H98" s="1229"/>
      <c r="I98" s="1229">
        <v>0</v>
      </c>
      <c r="J98" s="1229"/>
      <c r="K98" s="1229">
        <v>0</v>
      </c>
      <c r="L98" s="1229"/>
      <c r="M98" s="1229">
        <f t="shared" si="4"/>
        <v>0</v>
      </c>
      <c r="N98" s="1229"/>
      <c r="O98" s="1229">
        <v>0</v>
      </c>
      <c r="P98" s="3032"/>
      <c r="Q98" s="3025"/>
    </row>
    <row r="99" spans="2:17" s="3012" customFormat="1" ht="15.75">
      <c r="B99" s="3038">
        <v>32352</v>
      </c>
      <c r="C99" s="3039"/>
      <c r="D99" s="3040" t="s">
        <v>655</v>
      </c>
      <c r="E99" s="3041"/>
      <c r="F99" s="1229">
        <v>65245293.57</v>
      </c>
      <c r="G99" s="1229">
        <v>256357272.49000001</v>
      </c>
      <c r="H99" s="1229"/>
      <c r="I99" s="1229">
        <v>304140709.45999998</v>
      </c>
      <c r="J99" s="1229"/>
      <c r="K99" s="1229">
        <v>340430808.72000003</v>
      </c>
      <c r="L99" s="1229"/>
      <c r="M99" s="1229">
        <f t="shared" ref="M99" si="5">ROUND(SUM(O99)-SUM(K99),2)</f>
        <v>35532547.479999997</v>
      </c>
      <c r="N99" s="1229"/>
      <c r="O99" s="1229">
        <v>375963356.19999999</v>
      </c>
      <c r="P99" s="3042"/>
      <c r="Q99" s="3025"/>
    </row>
    <row r="100" spans="2:17" s="3012" customFormat="1" ht="15.75">
      <c r="B100" s="3038">
        <v>32353</v>
      </c>
      <c r="C100" s="3039"/>
      <c r="D100" s="3040" t="s">
        <v>1442</v>
      </c>
      <c r="E100" s="3041"/>
      <c r="F100" s="1229"/>
      <c r="G100" s="1229">
        <v>0</v>
      </c>
      <c r="H100" s="1229"/>
      <c r="I100" s="1229">
        <v>0</v>
      </c>
      <c r="J100" s="1229"/>
      <c r="K100" s="1229">
        <v>0</v>
      </c>
      <c r="L100" s="1229"/>
      <c r="M100" s="1229">
        <f>ROUND(SUM(O100)-SUM(K100),2)</f>
        <v>0</v>
      </c>
      <c r="N100" s="1229"/>
      <c r="O100" s="1229">
        <v>0</v>
      </c>
      <c r="P100" s="3042"/>
      <c r="Q100" s="3025"/>
    </row>
    <row r="101" spans="2:17" s="3012" customFormat="1" ht="15.75">
      <c r="B101" s="3020">
        <v>33001</v>
      </c>
      <c r="C101" s="2980"/>
      <c r="D101" s="3021" t="s">
        <v>656</v>
      </c>
      <c r="E101" s="3036"/>
      <c r="F101" s="1229">
        <v>10000000</v>
      </c>
      <c r="G101" s="1229">
        <v>51563160.899999999</v>
      </c>
      <c r="H101" s="1229"/>
      <c r="I101" s="1229">
        <v>50141798.57</v>
      </c>
      <c r="J101" s="1229"/>
      <c r="K101" s="1229">
        <v>50492394.659999996</v>
      </c>
      <c r="L101" s="1229"/>
      <c r="M101" s="1229">
        <f t="shared" si="4"/>
        <v>-2523334.46</v>
      </c>
      <c r="N101" s="1229"/>
      <c r="O101" s="1229">
        <v>47969060.200000003</v>
      </c>
      <c r="P101" s="3032"/>
      <c r="Q101" s="3025"/>
    </row>
    <row r="102" spans="2:17" s="3012" customFormat="1" ht="16.5" thickBot="1">
      <c r="B102" s="3043"/>
      <c r="C102" s="3044"/>
      <c r="D102" s="3027" t="s">
        <v>657</v>
      </c>
      <c r="E102" s="3016"/>
      <c r="F102" s="3016"/>
      <c r="G102" s="1619">
        <f>ROUND(SUM(G14:G101),2)</f>
        <v>1320385301.8199999</v>
      </c>
      <c r="H102" s="2174"/>
      <c r="I102" s="1619">
        <f>ROUND(SUM(I14:I101),2)</f>
        <v>1437339216.4000001</v>
      </c>
      <c r="J102" s="2174"/>
      <c r="K102" s="1619">
        <f>ROUND(SUM(K14:K101),2)</f>
        <v>1263958731.8199999</v>
      </c>
      <c r="L102" s="2596"/>
      <c r="M102" s="1231">
        <f>ROUND(SUM(M14:M101),2)</f>
        <v>-33958742.170000002</v>
      </c>
      <c r="N102" s="2596"/>
      <c r="O102" s="1619">
        <f>ROUND(SUM(O14:O101),2)</f>
        <v>1229999989.6500001</v>
      </c>
      <c r="P102" s="3032"/>
      <c r="Q102" s="3025"/>
    </row>
    <row r="103" spans="2:17" s="3012" customFormat="1" ht="16.5" thickTop="1">
      <c r="B103" s="3045"/>
      <c r="C103" s="3045"/>
      <c r="D103" s="3046"/>
      <c r="E103" s="3019"/>
      <c r="F103" s="3019"/>
      <c r="G103" s="818"/>
      <c r="H103" s="819"/>
      <c r="I103" s="3047"/>
      <c r="J103" s="819"/>
      <c r="K103" s="3047"/>
      <c r="L103" s="819"/>
      <c r="M103" s="818"/>
      <c r="N103" s="819"/>
      <c r="O103" s="3047"/>
      <c r="P103" s="3048"/>
      <c r="Q103" s="3025"/>
    </row>
    <row r="104" spans="2:17" s="3012" customFormat="1" ht="15.75">
      <c r="B104" s="3013"/>
      <c r="C104" s="3044"/>
      <c r="D104" s="3049" t="s">
        <v>658</v>
      </c>
      <c r="E104" s="3050"/>
      <c r="F104" s="3050"/>
      <c r="G104" s="3051"/>
      <c r="H104" s="3051"/>
      <c r="I104" s="3052"/>
      <c r="J104" s="3051"/>
      <c r="K104" s="3052"/>
      <c r="L104" s="3051"/>
      <c r="M104" s="1518"/>
      <c r="N104" s="1518"/>
      <c r="O104" s="3052"/>
      <c r="P104" s="3019"/>
      <c r="Q104" s="3025"/>
    </row>
    <row r="105" spans="2:17" s="3212" customFormat="1" ht="15.75">
      <c r="B105" s="3020">
        <v>20401</v>
      </c>
      <c r="C105" s="3675"/>
      <c r="D105" s="3040" t="s">
        <v>1400</v>
      </c>
      <c r="E105" s="3676"/>
      <c r="F105" s="3676"/>
      <c r="G105" s="1229">
        <v>0</v>
      </c>
      <c r="H105" s="3233"/>
      <c r="I105" s="1229">
        <v>0</v>
      </c>
      <c r="J105" s="3233"/>
      <c r="K105" s="1229">
        <v>0</v>
      </c>
      <c r="L105" s="3233"/>
      <c r="M105" s="1229">
        <f t="shared" ref="M105:M168" si="6">ROUND(SUM(O105)-SUM(K105),2)</f>
        <v>0</v>
      </c>
      <c r="N105" s="3677"/>
      <c r="O105" s="1229">
        <v>0</v>
      </c>
      <c r="P105" s="3678"/>
      <c r="Q105" s="3211"/>
    </row>
    <row r="106" spans="2:17" s="3012" customFormat="1" ht="15.75">
      <c r="B106" s="3020">
        <v>20452</v>
      </c>
      <c r="C106" s="3013"/>
      <c r="D106" s="3021" t="s">
        <v>659</v>
      </c>
      <c r="E106" s="2583"/>
      <c r="F106" s="3013"/>
      <c r="G106" s="1229">
        <v>0</v>
      </c>
      <c r="H106" s="1229"/>
      <c r="I106" s="1229">
        <v>0</v>
      </c>
      <c r="J106" s="1229"/>
      <c r="K106" s="1229">
        <v>0</v>
      </c>
      <c r="L106" s="1229"/>
      <c r="M106" s="1229">
        <f t="shared" si="6"/>
        <v>0</v>
      </c>
      <c r="N106" s="1229"/>
      <c r="O106" s="1229">
        <v>0</v>
      </c>
      <c r="P106" s="3032"/>
      <c r="Q106" s="3025"/>
    </row>
    <row r="107" spans="2:17" s="3012" customFormat="1" ht="15.75">
      <c r="B107" s="3020">
        <v>20501</v>
      </c>
      <c r="C107" s="3053"/>
      <c r="D107" s="3021" t="s">
        <v>660</v>
      </c>
      <c r="E107" s="3054"/>
      <c r="F107" s="3054"/>
      <c r="G107" s="1229">
        <v>0</v>
      </c>
      <c r="H107" s="1229"/>
      <c r="I107" s="1229">
        <v>0</v>
      </c>
      <c r="J107" s="1229"/>
      <c r="K107" s="1229">
        <v>0</v>
      </c>
      <c r="L107" s="1229"/>
      <c r="M107" s="1229">
        <f t="shared" si="6"/>
        <v>0</v>
      </c>
      <c r="N107" s="1229"/>
      <c r="O107" s="1229">
        <v>0</v>
      </c>
      <c r="P107" s="3032"/>
      <c r="Q107" s="3025"/>
    </row>
    <row r="108" spans="2:17" s="3012" customFormat="1" ht="15.75">
      <c r="B108" s="3020">
        <v>20810</v>
      </c>
      <c r="C108" s="3034"/>
      <c r="D108" s="3055" t="s">
        <v>661</v>
      </c>
      <c r="E108" s="3036"/>
      <c r="F108" s="3036"/>
      <c r="G108" s="1229">
        <v>6065650.3600000003</v>
      </c>
      <c r="H108" s="1229"/>
      <c r="I108" s="1229">
        <v>85137572.739999995</v>
      </c>
      <c r="J108" s="1229"/>
      <c r="K108" s="1229">
        <v>146015200.00999999</v>
      </c>
      <c r="L108" s="1229"/>
      <c r="M108" s="1229">
        <f t="shared" si="6"/>
        <v>-112369641.36</v>
      </c>
      <c r="N108" s="1229"/>
      <c r="O108" s="1229">
        <v>33645558.649999999</v>
      </c>
      <c r="P108" s="2204"/>
      <c r="Q108" s="3025"/>
    </row>
    <row r="109" spans="2:17" s="3012" customFormat="1" ht="15.75">
      <c r="B109" s="3020">
        <v>20818</v>
      </c>
      <c r="C109" s="3034"/>
      <c r="D109" s="3055" t="s">
        <v>662</v>
      </c>
      <c r="E109" s="3036"/>
      <c r="F109" s="3036"/>
      <c r="G109" s="1229">
        <v>0</v>
      </c>
      <c r="H109" s="1229"/>
      <c r="I109" s="1229">
        <v>1661511.82</v>
      </c>
      <c r="J109" s="1229"/>
      <c r="K109" s="1229">
        <v>8404887.7400000002</v>
      </c>
      <c r="L109" s="1229"/>
      <c r="M109" s="1229">
        <f t="shared" si="6"/>
        <v>-8404887.7400000002</v>
      </c>
      <c r="N109" s="1229"/>
      <c r="O109" s="1229">
        <v>0</v>
      </c>
      <c r="P109" s="2204"/>
      <c r="Q109" s="3025"/>
    </row>
    <row r="110" spans="2:17" s="3012" customFormat="1" ht="15.75">
      <c r="B110" s="3020">
        <v>20901</v>
      </c>
      <c r="C110" s="3034"/>
      <c r="D110" s="3055" t="s">
        <v>663</v>
      </c>
      <c r="E110" s="3036"/>
      <c r="F110" s="3036"/>
      <c r="G110" s="1229">
        <v>1028717790.91</v>
      </c>
      <c r="H110" s="1229"/>
      <c r="I110" s="1229">
        <v>868816291.61000001</v>
      </c>
      <c r="J110" s="1229"/>
      <c r="K110" s="1229">
        <v>667698197.24000001</v>
      </c>
      <c r="L110" s="1229"/>
      <c r="M110" s="1229">
        <f t="shared" si="6"/>
        <v>-160002072.16999999</v>
      </c>
      <c r="N110" s="1229"/>
      <c r="O110" s="1229">
        <v>507696125.06999999</v>
      </c>
      <c r="P110" s="2204"/>
      <c r="Q110" s="3025"/>
    </row>
    <row r="111" spans="2:17" s="3012" customFormat="1" ht="15.75">
      <c r="B111" s="3020">
        <v>20904</v>
      </c>
      <c r="C111" s="3056"/>
      <c r="D111" s="3057" t="s">
        <v>664</v>
      </c>
      <c r="E111" s="3041"/>
      <c r="F111" s="3041"/>
      <c r="G111" s="1229">
        <v>0</v>
      </c>
      <c r="H111" s="1229"/>
      <c r="I111" s="1229">
        <v>0</v>
      </c>
      <c r="J111" s="1229"/>
      <c r="K111" s="1229">
        <v>0</v>
      </c>
      <c r="L111" s="1229"/>
      <c r="M111" s="1229">
        <f t="shared" si="6"/>
        <v>0</v>
      </c>
      <c r="N111" s="1229"/>
      <c r="O111" s="1229">
        <v>0</v>
      </c>
      <c r="P111" s="2204"/>
      <c r="Q111" s="3025"/>
    </row>
    <row r="112" spans="2:17" s="3012" customFormat="1" ht="15.75">
      <c r="B112" s="3020">
        <v>21001</v>
      </c>
      <c r="C112" s="3034"/>
      <c r="D112" s="3058" t="s">
        <v>665</v>
      </c>
      <c r="E112" s="3036"/>
      <c r="F112" s="3036"/>
      <c r="G112" s="1229">
        <v>0</v>
      </c>
      <c r="H112" s="1229"/>
      <c r="I112" s="1229">
        <v>0</v>
      </c>
      <c r="J112" s="1229"/>
      <c r="K112" s="1229">
        <v>0</v>
      </c>
      <c r="L112" s="1229"/>
      <c r="M112" s="1229">
        <f t="shared" si="6"/>
        <v>0</v>
      </c>
      <c r="N112" s="1229"/>
      <c r="O112" s="1229">
        <v>0</v>
      </c>
      <c r="P112" s="2204"/>
      <c r="Q112" s="3025"/>
    </row>
    <row r="113" spans="2:17" s="3012" customFormat="1" ht="15.75">
      <c r="B113" s="3020">
        <v>21002</v>
      </c>
      <c r="C113" s="3034"/>
      <c r="D113" s="3055" t="s">
        <v>1347</v>
      </c>
      <c r="E113" s="3036"/>
      <c r="F113" s="3036"/>
      <c r="G113" s="1229">
        <v>3901061.04</v>
      </c>
      <c r="H113" s="1229"/>
      <c r="I113" s="1229">
        <v>3965524.62</v>
      </c>
      <c r="J113" s="1229"/>
      <c r="K113" s="1229">
        <v>4055490.85</v>
      </c>
      <c r="L113" s="1229"/>
      <c r="M113" s="1229">
        <f t="shared" si="6"/>
        <v>64463.58</v>
      </c>
      <c r="N113" s="1229"/>
      <c r="O113" s="1229">
        <v>4119954.43</v>
      </c>
      <c r="P113" s="2204"/>
      <c r="Q113" s="3025"/>
    </row>
    <row r="114" spans="2:17" s="3012" customFormat="1" ht="15.75">
      <c r="B114" s="3020">
        <v>21061</v>
      </c>
      <c r="C114" s="3034"/>
      <c r="D114" s="3055" t="s">
        <v>666</v>
      </c>
      <c r="E114" s="3036"/>
      <c r="F114" s="3036"/>
      <c r="G114" s="1229">
        <v>0</v>
      </c>
      <c r="H114" s="1229"/>
      <c r="I114" s="1229">
        <v>0</v>
      </c>
      <c r="J114" s="1229"/>
      <c r="K114" s="1229">
        <v>0</v>
      </c>
      <c r="L114" s="1229"/>
      <c r="M114" s="1229">
        <f t="shared" si="6"/>
        <v>0</v>
      </c>
      <c r="N114" s="1229"/>
      <c r="O114" s="1229">
        <v>0</v>
      </c>
      <c r="P114" s="2204"/>
      <c r="Q114" s="3025"/>
    </row>
    <row r="115" spans="2:17" s="3012" customFormat="1" ht="15.75">
      <c r="B115" s="3020">
        <v>21064</v>
      </c>
      <c r="C115" s="3034"/>
      <c r="D115" s="3055" t="s">
        <v>1328</v>
      </c>
      <c r="E115" s="3036"/>
      <c r="F115" s="3036"/>
      <c r="G115" s="1229">
        <v>1672200</v>
      </c>
      <c r="H115" s="1229"/>
      <c r="I115" s="1229">
        <v>1672200</v>
      </c>
      <c r="J115" s="1229"/>
      <c r="K115" s="1229">
        <v>1672200</v>
      </c>
      <c r="L115" s="1229"/>
      <c r="M115" s="1229">
        <f t="shared" ref="M115" si="7">ROUND(SUM(O115)-SUM(K115),2)</f>
        <v>1638599.99</v>
      </c>
      <c r="N115" s="1229"/>
      <c r="O115" s="1229">
        <v>3310799.99</v>
      </c>
      <c r="P115" s="2204"/>
      <c r="Q115" s="3025"/>
    </row>
    <row r="116" spans="2:17" s="3012" customFormat="1" ht="15.75">
      <c r="B116" s="3020">
        <v>21065</v>
      </c>
      <c r="C116" s="3034"/>
      <c r="D116" s="3055" t="s">
        <v>667</v>
      </c>
      <c r="E116" s="3036"/>
      <c r="F116" s="3036"/>
      <c r="G116" s="1229">
        <v>1793264.08</v>
      </c>
      <c r="H116" s="1229"/>
      <c r="I116" s="1229">
        <v>251602.83</v>
      </c>
      <c r="J116" s="1229"/>
      <c r="K116" s="1229">
        <v>2513420.31</v>
      </c>
      <c r="L116" s="1229"/>
      <c r="M116" s="1229">
        <f t="shared" si="6"/>
        <v>-2513420.31</v>
      </c>
      <c r="N116" s="1229"/>
      <c r="O116" s="1229">
        <v>0</v>
      </c>
      <c r="P116" s="2204"/>
      <c r="Q116" s="3025"/>
    </row>
    <row r="117" spans="2:17" s="3012" customFormat="1" ht="15.75">
      <c r="B117" s="3020">
        <v>21066</v>
      </c>
      <c r="C117" s="3034"/>
      <c r="D117" s="3035" t="s">
        <v>668</v>
      </c>
      <c r="E117" s="3036"/>
      <c r="F117" s="3036"/>
      <c r="G117" s="1229">
        <v>3732771.93</v>
      </c>
      <c r="H117" s="1229"/>
      <c r="I117" s="1229">
        <v>4007448.72</v>
      </c>
      <c r="J117" s="1229"/>
      <c r="K117" s="1229">
        <v>4268525.68</v>
      </c>
      <c r="L117" s="1229"/>
      <c r="M117" s="1229">
        <f t="shared" si="6"/>
        <v>-220468.67</v>
      </c>
      <c r="N117" s="1229"/>
      <c r="O117" s="1229">
        <v>4048057.01</v>
      </c>
      <c r="P117" s="2204"/>
      <c r="Q117" s="3025"/>
    </row>
    <row r="118" spans="2:17" s="3012" customFormat="1" ht="15.75">
      <c r="B118" s="3020">
        <v>21067</v>
      </c>
      <c r="C118" s="3034"/>
      <c r="D118" s="3035" t="s">
        <v>669</v>
      </c>
      <c r="E118" s="3036"/>
      <c r="F118" s="3036"/>
      <c r="G118" s="1229">
        <v>0</v>
      </c>
      <c r="H118" s="1229"/>
      <c r="I118" s="1229">
        <v>0</v>
      </c>
      <c r="J118" s="1229"/>
      <c r="K118" s="1229">
        <v>0</v>
      </c>
      <c r="L118" s="1229"/>
      <c r="M118" s="1229">
        <f t="shared" si="6"/>
        <v>0</v>
      </c>
      <c r="N118" s="1229"/>
      <c r="O118" s="1229">
        <v>0</v>
      </c>
      <c r="P118" s="2204"/>
      <c r="Q118" s="3025"/>
    </row>
    <row r="119" spans="2:17" s="3012" customFormat="1" ht="15.75">
      <c r="B119" s="3020">
        <v>21077</v>
      </c>
      <c r="C119" s="3034"/>
      <c r="D119" s="3055" t="s">
        <v>670</v>
      </c>
      <c r="E119" s="3036"/>
      <c r="F119" s="3036"/>
      <c r="G119" s="1229">
        <v>0</v>
      </c>
      <c r="H119" s="1229"/>
      <c r="I119" s="1229">
        <v>0</v>
      </c>
      <c r="J119" s="1229"/>
      <c r="K119" s="1229">
        <v>0</v>
      </c>
      <c r="L119" s="1229"/>
      <c r="M119" s="1229">
        <f t="shared" si="6"/>
        <v>0</v>
      </c>
      <c r="N119" s="1229"/>
      <c r="O119" s="1229">
        <v>0</v>
      </c>
      <c r="P119" s="2204"/>
      <c r="Q119" s="3025"/>
    </row>
    <row r="120" spans="2:17" s="3012" customFormat="1" ht="15.75">
      <c r="B120" s="3020">
        <v>21081</v>
      </c>
      <c r="C120" s="3034"/>
      <c r="D120" s="3035" t="s">
        <v>671</v>
      </c>
      <c r="E120" s="3036"/>
      <c r="F120" s="3036"/>
      <c r="G120" s="1229">
        <v>52133743.189999998</v>
      </c>
      <c r="H120" s="1229"/>
      <c r="I120" s="1229">
        <v>55106075.880000003</v>
      </c>
      <c r="J120" s="1229"/>
      <c r="K120" s="1229">
        <v>54736966.359999999</v>
      </c>
      <c r="L120" s="1229"/>
      <c r="M120" s="1229">
        <f t="shared" si="6"/>
        <v>824715.54</v>
      </c>
      <c r="N120" s="1229"/>
      <c r="O120" s="1229">
        <v>55561681.899999999</v>
      </c>
      <c r="P120" s="2204"/>
      <c r="Q120" s="3025"/>
    </row>
    <row r="121" spans="2:17" s="3012" customFormat="1" ht="15.75">
      <c r="B121" s="3020">
        <v>21082</v>
      </c>
      <c r="C121" s="3034"/>
      <c r="D121" s="3055" t="s">
        <v>672</v>
      </c>
      <c r="E121" s="3036"/>
      <c r="F121" s="3036"/>
      <c r="G121" s="1229">
        <v>13048633.439999999</v>
      </c>
      <c r="H121" s="1229"/>
      <c r="I121" s="1229">
        <v>13338043.810000001</v>
      </c>
      <c r="J121" s="1229"/>
      <c r="K121" s="1229">
        <v>13612567.52</v>
      </c>
      <c r="L121" s="1229"/>
      <c r="M121" s="1229">
        <f t="shared" si="6"/>
        <v>109104.33</v>
      </c>
      <c r="N121" s="1229"/>
      <c r="O121" s="1229">
        <v>13721671.85</v>
      </c>
      <c r="P121" s="2204"/>
      <c r="Q121" s="3025"/>
    </row>
    <row r="122" spans="2:17" s="3012" customFormat="1" ht="15.75">
      <c r="B122" s="3020">
        <v>21084</v>
      </c>
      <c r="C122" s="3034"/>
      <c r="D122" s="3055" t="s">
        <v>673</v>
      </c>
      <c r="E122" s="3036"/>
      <c r="F122" s="3036"/>
      <c r="G122" s="1229">
        <v>0</v>
      </c>
      <c r="H122" s="1229"/>
      <c r="I122" s="1229">
        <v>0</v>
      </c>
      <c r="J122" s="1229"/>
      <c r="K122" s="1229">
        <v>0</v>
      </c>
      <c r="L122" s="1229"/>
      <c r="M122" s="1229">
        <f t="shared" si="6"/>
        <v>0</v>
      </c>
      <c r="N122" s="1229"/>
      <c r="O122" s="1229">
        <v>0</v>
      </c>
      <c r="P122" s="2204"/>
      <c r="Q122" s="3025"/>
    </row>
    <row r="123" spans="2:17" s="3012" customFormat="1" ht="15.75">
      <c r="B123" s="3020">
        <v>21087</v>
      </c>
      <c r="C123" s="3034"/>
      <c r="D123" s="3055" t="s">
        <v>674</v>
      </c>
      <c r="E123" s="3036"/>
      <c r="F123" s="3036"/>
      <c r="G123" s="1229">
        <v>0</v>
      </c>
      <c r="H123" s="1229"/>
      <c r="I123" s="1229">
        <v>0</v>
      </c>
      <c r="J123" s="1229"/>
      <c r="K123" s="1229">
        <v>0</v>
      </c>
      <c r="L123" s="1229"/>
      <c r="M123" s="1229">
        <f t="shared" si="6"/>
        <v>0</v>
      </c>
      <c r="N123" s="1229"/>
      <c r="O123" s="1229">
        <v>0</v>
      </c>
      <c r="P123" s="2204"/>
      <c r="Q123" s="3025"/>
    </row>
    <row r="124" spans="2:17" s="3012" customFormat="1" ht="15.75">
      <c r="B124" s="3020">
        <v>21201</v>
      </c>
      <c r="C124" s="3034"/>
      <c r="D124" s="3055" t="s">
        <v>675</v>
      </c>
      <c r="E124" s="3036"/>
      <c r="F124" s="3036"/>
      <c r="G124" s="1229">
        <v>15971.23</v>
      </c>
      <c r="H124" s="1229"/>
      <c r="I124" s="1229">
        <v>0</v>
      </c>
      <c r="J124" s="1229"/>
      <c r="K124" s="1229">
        <v>0</v>
      </c>
      <c r="L124" s="1229"/>
      <c r="M124" s="1229">
        <f t="shared" si="6"/>
        <v>0</v>
      </c>
      <c r="N124" s="1229"/>
      <c r="O124" s="1229">
        <v>0</v>
      </c>
      <c r="P124" s="2204"/>
      <c r="Q124" s="3025"/>
    </row>
    <row r="125" spans="2:17" s="3012" customFormat="1" ht="15.75">
      <c r="B125" s="3020">
        <v>21202</v>
      </c>
      <c r="C125" s="3034"/>
      <c r="D125" s="3055" t="s">
        <v>676</v>
      </c>
      <c r="E125" s="3036"/>
      <c r="F125" s="3036"/>
      <c r="G125" s="1229">
        <v>3545.6</v>
      </c>
      <c r="H125" s="1229"/>
      <c r="I125" s="1229">
        <v>0</v>
      </c>
      <c r="J125" s="1229"/>
      <c r="K125" s="1229">
        <v>0</v>
      </c>
      <c r="L125" s="1229"/>
      <c r="M125" s="1229">
        <f t="shared" si="6"/>
        <v>0</v>
      </c>
      <c r="N125" s="1229"/>
      <c r="O125" s="1229">
        <v>0</v>
      </c>
      <c r="P125" s="2204"/>
      <c r="Q125" s="3025"/>
    </row>
    <row r="126" spans="2:17" s="3012" customFormat="1" ht="15.75">
      <c r="B126" s="3020">
        <v>21203</v>
      </c>
      <c r="C126" s="3034"/>
      <c r="D126" s="3055" t="s">
        <v>677</v>
      </c>
      <c r="E126" s="3036"/>
      <c r="F126" s="3036"/>
      <c r="G126" s="1229">
        <v>435038.87</v>
      </c>
      <c r="H126" s="1229"/>
      <c r="I126" s="1229">
        <v>573.66</v>
      </c>
      <c r="J126" s="1229"/>
      <c r="K126" s="1229">
        <v>4541.4799999999996</v>
      </c>
      <c r="L126" s="1229"/>
      <c r="M126" s="1229">
        <f t="shared" si="6"/>
        <v>2239.8000000000002</v>
      </c>
      <c r="N126" s="1229"/>
      <c r="O126" s="1229">
        <v>6781.28</v>
      </c>
      <c r="P126" s="2204"/>
      <c r="Q126" s="3025"/>
    </row>
    <row r="127" spans="2:17" s="3012" customFormat="1" ht="15.75">
      <c r="B127" s="3020">
        <v>21204</v>
      </c>
      <c r="C127" s="3034"/>
      <c r="D127" s="3055" t="s">
        <v>678</v>
      </c>
      <c r="E127" s="3036"/>
      <c r="F127" s="3036"/>
      <c r="G127" s="1229">
        <v>0</v>
      </c>
      <c r="H127" s="1229"/>
      <c r="I127" s="1229">
        <v>0</v>
      </c>
      <c r="J127" s="1229"/>
      <c r="K127" s="1229">
        <v>0</v>
      </c>
      <c r="L127" s="1229"/>
      <c r="M127" s="1229">
        <f t="shared" si="6"/>
        <v>0</v>
      </c>
      <c r="N127" s="1229"/>
      <c r="O127" s="1229">
        <v>0</v>
      </c>
      <c r="P127" s="2204"/>
      <c r="Q127" s="3025"/>
    </row>
    <row r="128" spans="2:17" s="3012" customFormat="1" ht="15.75">
      <c r="B128" s="3020">
        <v>21205</v>
      </c>
      <c r="C128" s="3034"/>
      <c r="D128" s="3055" t="s">
        <v>679</v>
      </c>
      <c r="E128" s="3036"/>
      <c r="F128" s="3036"/>
      <c r="G128" s="1229">
        <v>0</v>
      </c>
      <c r="H128" s="1229"/>
      <c r="I128" s="1229">
        <v>0</v>
      </c>
      <c r="J128" s="1229"/>
      <c r="K128" s="1229">
        <v>0</v>
      </c>
      <c r="L128" s="1229"/>
      <c r="M128" s="1229">
        <f t="shared" si="6"/>
        <v>0</v>
      </c>
      <c r="N128" s="1229"/>
      <c r="O128" s="1229">
        <v>0</v>
      </c>
      <c r="P128" s="2204"/>
      <c r="Q128" s="3025"/>
    </row>
    <row r="129" spans="2:17" s="3012" customFormat="1" ht="15.75">
      <c r="B129" s="3038">
        <v>21401</v>
      </c>
      <c r="C129" s="3056"/>
      <c r="D129" s="3059" t="s">
        <v>680</v>
      </c>
      <c r="E129" s="3041"/>
      <c r="F129" s="3041"/>
      <c r="G129" s="1229">
        <v>0</v>
      </c>
      <c r="H129" s="1229"/>
      <c r="I129" s="1229">
        <v>0</v>
      </c>
      <c r="J129" s="1229"/>
      <c r="K129" s="1229">
        <v>0</v>
      </c>
      <c r="L129" s="1229"/>
      <c r="M129" s="1229">
        <f t="shared" si="6"/>
        <v>4278535.34</v>
      </c>
      <c r="N129" s="1229"/>
      <c r="O129" s="1229">
        <v>4278535.34</v>
      </c>
      <c r="P129" s="2204"/>
      <c r="Q129" s="3025"/>
    </row>
    <row r="130" spans="2:17" s="3012" customFormat="1" ht="15.75">
      <c r="B130" s="3038">
        <v>21402</v>
      </c>
      <c r="C130" s="3056"/>
      <c r="D130" s="3059" t="s">
        <v>681</v>
      </c>
      <c r="E130" s="3041"/>
      <c r="F130" s="3041"/>
      <c r="G130" s="1229">
        <v>131523653.7</v>
      </c>
      <c r="H130" s="1229"/>
      <c r="I130" s="1229">
        <v>358742781.70999998</v>
      </c>
      <c r="J130" s="1229"/>
      <c r="K130" s="1229">
        <v>249617851.74000001</v>
      </c>
      <c r="L130" s="1229"/>
      <c r="M130" s="1229">
        <f t="shared" si="6"/>
        <v>-117001744.15000001</v>
      </c>
      <c r="N130" s="1229"/>
      <c r="O130" s="1229">
        <v>132616107.59</v>
      </c>
      <c r="P130" s="2204"/>
      <c r="Q130" s="3025"/>
    </row>
    <row r="131" spans="2:17" s="3012" customFormat="1" ht="15.75">
      <c r="B131" s="3020">
        <v>21451</v>
      </c>
      <c r="C131" s="3034"/>
      <c r="D131" s="3035" t="s">
        <v>682</v>
      </c>
      <c r="E131" s="3036"/>
      <c r="F131" s="3036"/>
      <c r="G131" s="1229">
        <v>28429771.260000002</v>
      </c>
      <c r="H131" s="1229"/>
      <c r="I131" s="1229">
        <v>28958353.100000001</v>
      </c>
      <c r="J131" s="1229"/>
      <c r="K131" s="1229">
        <v>29684305.949999999</v>
      </c>
      <c r="L131" s="1229"/>
      <c r="M131" s="1229">
        <f t="shared" si="6"/>
        <v>705273.2</v>
      </c>
      <c r="N131" s="1229"/>
      <c r="O131" s="1229">
        <v>30389579.149999999</v>
      </c>
      <c r="P131" s="2204"/>
      <c r="Q131" s="3025"/>
    </row>
    <row r="132" spans="2:17" s="3012" customFormat="1" ht="15.75">
      <c r="B132" s="3020">
        <v>21452</v>
      </c>
      <c r="C132" s="3034"/>
      <c r="D132" s="3055" t="s">
        <v>683</v>
      </c>
      <c r="E132" s="3036"/>
      <c r="F132" s="3036"/>
      <c r="G132" s="1229">
        <v>3436670.45</v>
      </c>
      <c r="H132" s="1229"/>
      <c r="I132" s="1229">
        <v>5505463.3600000003</v>
      </c>
      <c r="J132" s="1229"/>
      <c r="K132" s="1229">
        <v>1952029.98</v>
      </c>
      <c r="L132" s="1229"/>
      <c r="M132" s="1229">
        <f t="shared" si="6"/>
        <v>-170128.59</v>
      </c>
      <c r="N132" s="1229"/>
      <c r="O132" s="1229">
        <v>1781901.39</v>
      </c>
      <c r="P132" s="2204"/>
      <c r="Q132" s="3025"/>
    </row>
    <row r="133" spans="2:17" s="3012" customFormat="1" ht="15.75">
      <c r="B133" s="3020">
        <v>21902</v>
      </c>
      <c r="C133" s="3034"/>
      <c r="D133" s="3035" t="s">
        <v>1266</v>
      </c>
      <c r="E133" s="3036"/>
      <c r="F133" s="3036"/>
      <c r="G133" s="1229">
        <v>0</v>
      </c>
      <c r="H133" s="1229"/>
      <c r="I133" s="1229">
        <v>0</v>
      </c>
      <c r="J133" s="1229"/>
      <c r="K133" s="1229">
        <v>0</v>
      </c>
      <c r="L133" s="1229"/>
      <c r="M133" s="1229">
        <f t="shared" si="6"/>
        <v>0</v>
      </c>
      <c r="N133" s="1229"/>
      <c r="O133" s="1229">
        <v>0</v>
      </c>
      <c r="P133" s="2204"/>
      <c r="Q133" s="3025"/>
    </row>
    <row r="134" spans="2:17" s="3012" customFormat="1" ht="15.75">
      <c r="B134" s="3020">
        <v>21905</v>
      </c>
      <c r="C134" s="3034"/>
      <c r="D134" s="3223" t="s">
        <v>1269</v>
      </c>
      <c r="E134" s="3036"/>
      <c r="F134" s="3036"/>
      <c r="G134" s="1229">
        <v>12364465.48</v>
      </c>
      <c r="H134" s="1229"/>
      <c r="I134" s="1229">
        <v>12171679.42</v>
      </c>
      <c r="J134" s="1229"/>
      <c r="K134" s="1229">
        <v>6674357.6900000004</v>
      </c>
      <c r="L134" s="1229"/>
      <c r="M134" s="1229">
        <f t="shared" si="6"/>
        <v>32559.54</v>
      </c>
      <c r="N134" s="1229"/>
      <c r="O134" s="1229">
        <v>6706917.2300000098</v>
      </c>
      <c r="P134" s="2204"/>
      <c r="Q134" s="3025"/>
    </row>
    <row r="135" spans="2:17" s="3012" customFormat="1" ht="15.75">
      <c r="B135" s="3020">
        <v>21907</v>
      </c>
      <c r="C135" s="3034"/>
      <c r="D135" s="3055" t="s">
        <v>684</v>
      </c>
      <c r="E135" s="3036"/>
      <c r="F135" s="3036"/>
      <c r="G135" s="1229">
        <v>0</v>
      </c>
      <c r="H135" s="1229"/>
      <c r="I135" s="1229">
        <v>0</v>
      </c>
      <c r="J135" s="1229"/>
      <c r="K135" s="1229">
        <v>0</v>
      </c>
      <c r="L135" s="1229"/>
      <c r="M135" s="1229">
        <f t="shared" si="6"/>
        <v>0</v>
      </c>
      <c r="N135" s="1229"/>
      <c r="O135" s="1229">
        <v>0</v>
      </c>
      <c r="P135" s="2204"/>
      <c r="Q135" s="3025"/>
    </row>
    <row r="136" spans="2:17" s="3012" customFormat="1" ht="15.75">
      <c r="B136" s="3020">
        <v>21909</v>
      </c>
      <c r="C136" s="3034"/>
      <c r="D136" s="3055" t="s">
        <v>685</v>
      </c>
      <c r="E136" s="3036"/>
      <c r="F136" s="3036"/>
      <c r="G136" s="1229">
        <v>0</v>
      </c>
      <c r="H136" s="1229"/>
      <c r="I136" s="1229">
        <v>0</v>
      </c>
      <c r="J136" s="1229"/>
      <c r="K136" s="1229">
        <v>0</v>
      </c>
      <c r="L136" s="1229"/>
      <c r="M136" s="1229">
        <f t="shared" si="6"/>
        <v>0</v>
      </c>
      <c r="N136" s="1229"/>
      <c r="O136" s="1229">
        <v>0</v>
      </c>
      <c r="P136" s="2204"/>
      <c r="Q136" s="3025"/>
    </row>
    <row r="137" spans="2:17" s="3012" customFormat="1" ht="15.75">
      <c r="B137" s="3020">
        <v>21911</v>
      </c>
      <c r="C137" s="3034"/>
      <c r="D137" s="3055" t="s">
        <v>686</v>
      </c>
      <c r="E137" s="3036"/>
      <c r="F137" s="3036"/>
      <c r="G137" s="1229">
        <v>468407.45</v>
      </c>
      <c r="H137" s="1229"/>
      <c r="I137" s="1229">
        <v>638271.39</v>
      </c>
      <c r="J137" s="1229"/>
      <c r="K137" s="1229">
        <v>949013.99</v>
      </c>
      <c r="L137" s="1229"/>
      <c r="M137" s="1229">
        <f t="shared" si="6"/>
        <v>199324.61</v>
      </c>
      <c r="N137" s="1229"/>
      <c r="O137" s="1229">
        <v>1148338.6000000001</v>
      </c>
      <c r="P137" s="2204"/>
      <c r="Q137" s="3025"/>
    </row>
    <row r="138" spans="2:17" s="3012" customFormat="1" ht="15.75">
      <c r="B138" s="3020">
        <v>21912</v>
      </c>
      <c r="C138" s="3034"/>
      <c r="D138" s="3035" t="s">
        <v>687</v>
      </c>
      <c r="E138" s="3036"/>
      <c r="F138" s="3036"/>
      <c r="G138" s="1229">
        <v>2298616.56</v>
      </c>
      <c r="H138" s="1229"/>
      <c r="I138" s="1229">
        <v>2473872.0299999998</v>
      </c>
      <c r="J138" s="1229"/>
      <c r="K138" s="1229">
        <v>2111712.85</v>
      </c>
      <c r="L138" s="1229"/>
      <c r="M138" s="1229">
        <f t="shared" si="6"/>
        <v>512368.89</v>
      </c>
      <c r="N138" s="1229"/>
      <c r="O138" s="1229">
        <v>2624081.7400000002</v>
      </c>
      <c r="P138" s="2204"/>
      <c r="Q138" s="3025"/>
    </row>
    <row r="139" spans="2:17" s="3012" customFormat="1" ht="15.75">
      <c r="B139" s="3020">
        <v>21913</v>
      </c>
      <c r="C139" s="3034"/>
      <c r="D139" s="3055" t="s">
        <v>975</v>
      </c>
      <c r="E139" s="3036"/>
      <c r="F139" s="3036"/>
      <c r="G139" s="1229">
        <v>0</v>
      </c>
      <c r="H139" s="1229"/>
      <c r="I139" s="1229">
        <v>0</v>
      </c>
      <c r="J139" s="1229"/>
      <c r="K139" s="1229">
        <v>0</v>
      </c>
      <c r="L139" s="1229"/>
      <c r="M139" s="1229">
        <f t="shared" si="6"/>
        <v>0</v>
      </c>
      <c r="N139" s="1229"/>
      <c r="O139" s="1229">
        <v>0</v>
      </c>
      <c r="P139" s="2204"/>
      <c r="Q139" s="3025"/>
    </row>
    <row r="140" spans="2:17" s="3012" customFormat="1" ht="15.75">
      <c r="B140" s="3020">
        <v>21937</v>
      </c>
      <c r="C140" s="3034"/>
      <c r="D140" s="3055" t="s">
        <v>688</v>
      </c>
      <c r="E140" s="3036"/>
      <c r="F140" s="3036"/>
      <c r="G140" s="1229">
        <v>209701.05</v>
      </c>
      <c r="H140" s="1229"/>
      <c r="I140" s="1229">
        <v>130609.92</v>
      </c>
      <c r="J140" s="1229"/>
      <c r="K140" s="1229">
        <v>196416.2</v>
      </c>
      <c r="L140" s="1229"/>
      <c r="M140" s="1229">
        <f t="shared" si="6"/>
        <v>185740.83</v>
      </c>
      <c r="N140" s="1229"/>
      <c r="O140" s="1229">
        <v>382157.03</v>
      </c>
      <c r="P140" s="2204"/>
      <c r="Q140" s="3025"/>
    </row>
    <row r="141" spans="2:17" s="3012" customFormat="1" ht="15.75">
      <c r="B141" s="3020">
        <v>21945</v>
      </c>
      <c r="C141" s="3034"/>
      <c r="D141" s="3035" t="s">
        <v>689</v>
      </c>
      <c r="E141" s="3036"/>
      <c r="F141" s="3036"/>
      <c r="G141" s="1229">
        <v>0</v>
      </c>
      <c r="H141" s="1229"/>
      <c r="I141" s="1229">
        <v>0</v>
      </c>
      <c r="J141" s="1229"/>
      <c r="K141" s="1229">
        <v>0</v>
      </c>
      <c r="L141" s="1229"/>
      <c r="M141" s="1229">
        <f t="shared" si="6"/>
        <v>0</v>
      </c>
      <c r="N141" s="1229"/>
      <c r="O141" s="1229">
        <v>0</v>
      </c>
      <c r="P141" s="2204"/>
      <c r="Q141" s="3025"/>
    </row>
    <row r="142" spans="2:17" s="3012" customFormat="1" ht="15.75">
      <c r="B142" s="3020">
        <v>21959</v>
      </c>
      <c r="C142" s="3034"/>
      <c r="D142" s="3055" t="s">
        <v>690</v>
      </c>
      <c r="E142" s="3036"/>
      <c r="F142" s="3036"/>
      <c r="G142" s="1229">
        <v>0</v>
      </c>
      <c r="H142" s="1229"/>
      <c r="I142" s="1229">
        <v>0</v>
      </c>
      <c r="J142" s="1229"/>
      <c r="K142" s="1229">
        <v>0</v>
      </c>
      <c r="L142" s="1229"/>
      <c r="M142" s="1229">
        <f t="shared" si="6"/>
        <v>0</v>
      </c>
      <c r="N142" s="1229"/>
      <c r="O142" s="1229">
        <v>0</v>
      </c>
      <c r="P142" s="2204"/>
      <c r="Q142" s="3025"/>
    </row>
    <row r="143" spans="2:17" s="3212" customFormat="1" ht="15.75">
      <c r="B143" s="3038">
        <v>21961</v>
      </c>
      <c r="C143" s="3056"/>
      <c r="D143" s="3057" t="s">
        <v>1401</v>
      </c>
      <c r="E143" s="3041"/>
      <c r="F143" s="3041"/>
      <c r="G143" s="1229">
        <v>498612.55</v>
      </c>
      <c r="H143" s="1229"/>
      <c r="I143" s="1229">
        <v>392187.75</v>
      </c>
      <c r="J143" s="1229"/>
      <c r="K143" s="1229">
        <v>443090.56</v>
      </c>
      <c r="L143" s="1229"/>
      <c r="M143" s="1229">
        <f t="shared" si="6"/>
        <v>33613.97</v>
      </c>
      <c r="N143" s="1229"/>
      <c r="O143" s="1229">
        <v>476704.53</v>
      </c>
      <c r="P143" s="2204"/>
      <c r="Q143" s="3211"/>
    </row>
    <row r="144" spans="2:17" s="3012" customFormat="1" ht="15.75">
      <c r="B144" s="3020">
        <v>21962</v>
      </c>
      <c r="C144" s="3034"/>
      <c r="D144" s="3055" t="s">
        <v>691</v>
      </c>
      <c r="E144" s="3036"/>
      <c r="F144" s="3036"/>
      <c r="G144" s="1229">
        <v>10295608.82</v>
      </c>
      <c r="H144" s="1229"/>
      <c r="I144" s="1229">
        <v>10898480.76</v>
      </c>
      <c r="J144" s="1229"/>
      <c r="K144" s="1229">
        <v>9824252.1300000008</v>
      </c>
      <c r="L144" s="1229"/>
      <c r="M144" s="1229">
        <f t="shared" si="6"/>
        <v>566261.43999999994</v>
      </c>
      <c r="N144" s="1229"/>
      <c r="O144" s="1229">
        <v>10390513.57</v>
      </c>
      <c r="P144" s="2204"/>
      <c r="Q144" s="3025"/>
    </row>
    <row r="145" spans="2:17" s="3012" customFormat="1" ht="15.75">
      <c r="B145" s="3020">
        <v>21978</v>
      </c>
      <c r="C145" s="3034"/>
      <c r="D145" s="3035" t="s">
        <v>692</v>
      </c>
      <c r="E145" s="3036"/>
      <c r="F145" s="3036"/>
      <c r="G145" s="1229">
        <v>0</v>
      </c>
      <c r="H145" s="1229"/>
      <c r="I145" s="1229">
        <v>0</v>
      </c>
      <c r="J145" s="1229"/>
      <c r="K145" s="1229">
        <v>0</v>
      </c>
      <c r="L145" s="1229"/>
      <c r="M145" s="1229">
        <f t="shared" si="6"/>
        <v>324002.82</v>
      </c>
      <c r="N145" s="1229"/>
      <c r="O145" s="1229">
        <v>324002.82</v>
      </c>
      <c r="P145" s="2204"/>
      <c r="Q145" s="3025"/>
    </row>
    <row r="146" spans="2:17" s="3012" customFormat="1" ht="15.75">
      <c r="B146" s="3020">
        <v>21979</v>
      </c>
      <c r="C146" s="3034"/>
      <c r="D146" s="3035" t="s">
        <v>693</v>
      </c>
      <c r="E146" s="3036"/>
      <c r="F146" s="3036"/>
      <c r="G146" s="1229">
        <v>0</v>
      </c>
      <c r="H146" s="1229"/>
      <c r="I146" s="1229">
        <v>0</v>
      </c>
      <c r="J146" s="1229"/>
      <c r="K146" s="1229">
        <v>0</v>
      </c>
      <c r="L146" s="1229"/>
      <c r="M146" s="1229">
        <f t="shared" si="6"/>
        <v>0</v>
      </c>
      <c r="N146" s="1229"/>
      <c r="O146" s="1229">
        <v>0</v>
      </c>
      <c r="P146" s="2204"/>
      <c r="Q146" s="3025"/>
    </row>
    <row r="147" spans="2:17" s="3012" customFormat="1" ht="15.75">
      <c r="B147" s="3020">
        <v>21989</v>
      </c>
      <c r="C147" s="3034"/>
      <c r="D147" s="3035" t="s">
        <v>694</v>
      </c>
      <c r="E147" s="3036"/>
      <c r="F147" s="3036"/>
      <c r="G147" s="1229">
        <v>0</v>
      </c>
      <c r="H147" s="1229"/>
      <c r="I147" s="1229">
        <v>0</v>
      </c>
      <c r="J147" s="1229"/>
      <c r="K147" s="1229">
        <v>0</v>
      </c>
      <c r="L147" s="1229"/>
      <c r="M147" s="1229">
        <f t="shared" si="6"/>
        <v>0</v>
      </c>
      <c r="N147" s="1229"/>
      <c r="O147" s="1229">
        <v>0</v>
      </c>
      <c r="P147" s="2204"/>
      <c r="Q147" s="3025"/>
    </row>
    <row r="148" spans="2:17" s="3012" customFormat="1" ht="15.75">
      <c r="B148" s="3020">
        <v>22003</v>
      </c>
      <c r="C148" s="3034"/>
      <c r="D148" s="3035" t="s">
        <v>695</v>
      </c>
      <c r="E148" s="3036"/>
      <c r="F148" s="3036"/>
      <c r="G148" s="1229">
        <v>0</v>
      </c>
      <c r="H148" s="1229"/>
      <c r="I148" s="1229">
        <v>0</v>
      </c>
      <c r="J148" s="1229"/>
      <c r="K148" s="1229">
        <v>0</v>
      </c>
      <c r="L148" s="1229"/>
      <c r="M148" s="1229">
        <f t="shared" si="6"/>
        <v>0</v>
      </c>
      <c r="N148" s="1229"/>
      <c r="O148" s="1229">
        <v>0</v>
      </c>
      <c r="P148" s="2204"/>
      <c r="Q148" s="3025"/>
    </row>
    <row r="149" spans="2:17" s="3012" customFormat="1" ht="15.75">
      <c r="B149" s="3020">
        <v>22004</v>
      </c>
      <c r="C149" s="3034"/>
      <c r="D149" s="3055" t="s">
        <v>696</v>
      </c>
      <c r="E149" s="3036"/>
      <c r="F149" s="3036"/>
      <c r="G149" s="1229">
        <v>0</v>
      </c>
      <c r="H149" s="1229"/>
      <c r="I149" s="1229">
        <v>0</v>
      </c>
      <c r="J149" s="1229"/>
      <c r="K149" s="1229">
        <v>0</v>
      </c>
      <c r="L149" s="1229"/>
      <c r="M149" s="1229">
        <f t="shared" si="6"/>
        <v>0</v>
      </c>
      <c r="N149" s="1229"/>
      <c r="O149" s="1229">
        <v>0</v>
      </c>
      <c r="P149" s="2204"/>
      <c r="Q149" s="3025"/>
    </row>
    <row r="150" spans="2:17" s="3012" customFormat="1" ht="15.75">
      <c r="B150" s="3020">
        <v>22006</v>
      </c>
      <c r="C150" s="3034"/>
      <c r="D150" s="3035" t="s">
        <v>697</v>
      </c>
      <c r="E150" s="3036"/>
      <c r="F150" s="3036"/>
      <c r="G150" s="1229">
        <v>0</v>
      </c>
      <c r="H150" s="1229"/>
      <c r="I150" s="1229">
        <v>0</v>
      </c>
      <c r="J150" s="1229"/>
      <c r="K150" s="1229">
        <v>0</v>
      </c>
      <c r="L150" s="1229"/>
      <c r="M150" s="1229">
        <f t="shared" si="6"/>
        <v>0</v>
      </c>
      <c r="N150" s="1229"/>
      <c r="O150" s="1229">
        <v>0</v>
      </c>
      <c r="P150" s="2204"/>
      <c r="Q150" s="3025"/>
    </row>
    <row r="151" spans="2:17" s="3012" customFormat="1" ht="15.75">
      <c r="B151" s="3020">
        <v>22007</v>
      </c>
      <c r="C151" s="3034"/>
      <c r="D151" s="3055" t="s">
        <v>698</v>
      </c>
      <c r="E151" s="3036"/>
      <c r="F151" s="3036"/>
      <c r="G151" s="1229">
        <v>0</v>
      </c>
      <c r="H151" s="1229"/>
      <c r="I151" s="1229">
        <v>0</v>
      </c>
      <c r="J151" s="1229"/>
      <c r="K151" s="1229">
        <v>0</v>
      </c>
      <c r="L151" s="1229"/>
      <c r="M151" s="1229">
        <f t="shared" si="6"/>
        <v>0</v>
      </c>
      <c r="N151" s="1229"/>
      <c r="O151" s="1229">
        <v>0</v>
      </c>
      <c r="P151" s="2204"/>
      <c r="Q151" s="3025"/>
    </row>
    <row r="152" spans="2:17" s="3012" customFormat="1" ht="15.75">
      <c r="B152" s="3020">
        <v>22008</v>
      </c>
      <c r="C152" s="3034"/>
      <c r="D152" s="3055" t="s">
        <v>1329</v>
      </c>
      <c r="E152" s="3036"/>
      <c r="F152" s="3036"/>
      <c r="G152" s="1229">
        <v>0</v>
      </c>
      <c r="H152" s="1229"/>
      <c r="I152" s="1229">
        <v>0</v>
      </c>
      <c r="J152" s="1229"/>
      <c r="K152" s="1229">
        <v>0</v>
      </c>
      <c r="L152" s="1229"/>
      <c r="M152" s="1229">
        <f t="shared" ref="M152" si="8">ROUND(SUM(O152)-SUM(K152),2)</f>
        <v>0</v>
      </c>
      <c r="N152" s="1229"/>
      <c r="O152" s="1229">
        <v>0</v>
      </c>
      <c r="P152" s="2204"/>
      <c r="Q152" s="3025"/>
    </row>
    <row r="153" spans="2:17" s="3012" customFormat="1" ht="15.75">
      <c r="B153" s="3020">
        <v>22009</v>
      </c>
      <c r="C153" s="3034"/>
      <c r="D153" s="3055" t="s">
        <v>699</v>
      </c>
      <c r="E153" s="3036"/>
      <c r="F153" s="3036"/>
      <c r="G153" s="1229">
        <v>1599.03</v>
      </c>
      <c r="H153" s="1229"/>
      <c r="I153" s="1229">
        <v>0</v>
      </c>
      <c r="J153" s="1229"/>
      <c r="K153" s="1229">
        <v>0</v>
      </c>
      <c r="L153" s="1229"/>
      <c r="M153" s="1229">
        <f t="shared" si="6"/>
        <v>0</v>
      </c>
      <c r="N153" s="1229"/>
      <c r="O153" s="1229">
        <v>0</v>
      </c>
      <c r="P153" s="2204"/>
      <c r="Q153" s="3025"/>
    </row>
    <row r="154" spans="2:17" s="3212" customFormat="1" ht="15.75">
      <c r="B154" s="3038">
        <v>22017</v>
      </c>
      <c r="C154" s="3056"/>
      <c r="D154" s="3057" t="s">
        <v>1402</v>
      </c>
      <c r="E154" s="3041"/>
      <c r="F154" s="3041"/>
      <c r="G154" s="1229">
        <v>0</v>
      </c>
      <c r="H154" s="1229"/>
      <c r="I154" s="1229">
        <v>0</v>
      </c>
      <c r="J154" s="1229"/>
      <c r="K154" s="1229">
        <v>0</v>
      </c>
      <c r="L154" s="1229"/>
      <c r="M154" s="1229">
        <f t="shared" si="6"/>
        <v>0</v>
      </c>
      <c r="N154" s="1229"/>
      <c r="O154" s="1229">
        <v>0</v>
      </c>
      <c r="P154" s="2204"/>
      <c r="Q154" s="3211"/>
    </row>
    <row r="155" spans="2:17" s="3012" customFormat="1" ht="15.75">
      <c r="B155" s="3020">
        <v>22032</v>
      </c>
      <c r="C155" s="3034"/>
      <c r="D155" s="3055" t="s">
        <v>700</v>
      </c>
      <c r="E155" s="3036"/>
      <c r="F155" s="3036"/>
      <c r="G155" s="1229">
        <v>13870087.470000001</v>
      </c>
      <c r="H155" s="1229"/>
      <c r="I155" s="1229">
        <v>14615364.59</v>
      </c>
      <c r="J155" s="1229"/>
      <c r="K155" s="1229">
        <v>15294564.949999999</v>
      </c>
      <c r="L155" s="1229"/>
      <c r="M155" s="1229">
        <f t="shared" si="6"/>
        <v>905092.44</v>
      </c>
      <c r="N155" s="1229"/>
      <c r="O155" s="1229">
        <v>16199657.390000001</v>
      </c>
      <c r="P155" s="2204"/>
      <c r="Q155" s="3025"/>
    </row>
    <row r="156" spans="2:17" s="3012" customFormat="1" ht="15.75">
      <c r="B156" s="3020">
        <v>22034</v>
      </c>
      <c r="C156" s="3034"/>
      <c r="D156" s="3055" t="s">
        <v>701</v>
      </c>
      <c r="E156" s="3036"/>
      <c r="F156" s="3036"/>
      <c r="G156" s="1229">
        <v>0</v>
      </c>
      <c r="H156" s="1229"/>
      <c r="I156" s="1229">
        <v>0</v>
      </c>
      <c r="J156" s="1229"/>
      <c r="K156" s="1229">
        <v>0</v>
      </c>
      <c r="L156" s="1229"/>
      <c r="M156" s="1229">
        <f t="shared" si="6"/>
        <v>0</v>
      </c>
      <c r="N156" s="1229"/>
      <c r="O156" s="1229">
        <v>0</v>
      </c>
      <c r="P156" s="2204"/>
      <c r="Q156" s="3025"/>
    </row>
    <row r="157" spans="2:17" s="3012" customFormat="1" ht="15.75">
      <c r="B157" s="3020">
        <v>22036</v>
      </c>
      <c r="C157" s="3034"/>
      <c r="D157" s="3055" t="s">
        <v>702</v>
      </c>
      <c r="E157" s="3036"/>
      <c r="F157" s="3036"/>
      <c r="G157" s="1229">
        <v>0</v>
      </c>
      <c r="H157" s="1229"/>
      <c r="I157" s="1229">
        <v>0</v>
      </c>
      <c r="J157" s="1229"/>
      <c r="K157" s="1229">
        <v>0</v>
      </c>
      <c r="L157" s="1229"/>
      <c r="M157" s="1229">
        <f t="shared" si="6"/>
        <v>0</v>
      </c>
      <c r="N157" s="1229"/>
      <c r="O157" s="1229">
        <v>0</v>
      </c>
      <c r="P157" s="2204"/>
      <c r="Q157" s="3025"/>
    </row>
    <row r="158" spans="2:17" s="3012" customFormat="1" ht="15.75">
      <c r="B158" s="3020">
        <v>22039</v>
      </c>
      <c r="C158" s="3034"/>
      <c r="D158" s="3055" t="s">
        <v>703</v>
      </c>
      <c r="E158" s="3036"/>
      <c r="F158" s="3036"/>
      <c r="G158" s="1229">
        <v>618347.29</v>
      </c>
      <c r="H158" s="1229"/>
      <c r="I158" s="1229">
        <v>893363.42</v>
      </c>
      <c r="J158" s="1229"/>
      <c r="K158" s="1229">
        <v>1228822.3799999999</v>
      </c>
      <c r="L158" s="1229"/>
      <c r="M158" s="1229">
        <f t="shared" si="6"/>
        <v>273556.71999999997</v>
      </c>
      <c r="N158" s="1229"/>
      <c r="O158" s="1229">
        <v>1502379.1</v>
      </c>
      <c r="P158" s="2204"/>
      <c r="Q158" s="3025"/>
    </row>
    <row r="159" spans="2:17" s="3012" customFormat="1" ht="15.75">
      <c r="B159" s="3020">
        <v>22046</v>
      </c>
      <c r="C159" s="3034"/>
      <c r="D159" s="3055" t="s">
        <v>704</v>
      </c>
      <c r="E159" s="3036"/>
      <c r="F159" s="3036"/>
      <c r="G159" s="1229">
        <v>86752888.349999994</v>
      </c>
      <c r="H159" s="1229"/>
      <c r="I159" s="1229">
        <v>87394247.569999993</v>
      </c>
      <c r="J159" s="1229"/>
      <c r="K159" s="1229">
        <v>87928101.560000002</v>
      </c>
      <c r="L159" s="1229"/>
      <c r="M159" s="1229">
        <f t="shared" si="6"/>
        <v>877834.79</v>
      </c>
      <c r="N159" s="1229"/>
      <c r="O159" s="1229">
        <v>88805936.349999994</v>
      </c>
      <c r="P159" s="2204"/>
      <c r="Q159" s="3025"/>
    </row>
    <row r="160" spans="2:17" s="3012" customFormat="1" ht="15.75">
      <c r="B160" s="3020">
        <v>22053</v>
      </c>
      <c r="C160" s="3034"/>
      <c r="D160" s="3055" t="s">
        <v>705</v>
      </c>
      <c r="E160" s="3036"/>
      <c r="F160" s="3036"/>
      <c r="G160" s="1229">
        <v>5413280.0899999999</v>
      </c>
      <c r="H160" s="1229"/>
      <c r="I160" s="1229">
        <v>6013689.0499999998</v>
      </c>
      <c r="J160" s="1229"/>
      <c r="K160" s="1229">
        <v>6911998.0499999998</v>
      </c>
      <c r="L160" s="1229"/>
      <c r="M160" s="1229">
        <f t="shared" si="6"/>
        <v>597289.63</v>
      </c>
      <c r="N160" s="1229"/>
      <c r="O160" s="1229">
        <v>7509287.6799999997</v>
      </c>
      <c r="P160" s="2204"/>
      <c r="Q160" s="3025"/>
    </row>
    <row r="161" spans="2:17" s="3012" customFormat="1" ht="15.75">
      <c r="B161" s="3020">
        <v>22054</v>
      </c>
      <c r="C161" s="3034"/>
      <c r="D161" s="3055" t="s">
        <v>706</v>
      </c>
      <c r="E161" s="3036"/>
      <c r="F161" s="3036"/>
      <c r="G161" s="1229">
        <v>2076562.27</v>
      </c>
      <c r="H161" s="1229"/>
      <c r="I161" s="1229">
        <v>1936614.55</v>
      </c>
      <c r="J161" s="1229"/>
      <c r="K161" s="1229">
        <v>1595189.3</v>
      </c>
      <c r="L161" s="1229"/>
      <c r="M161" s="1229">
        <f t="shared" si="6"/>
        <v>-55053.98</v>
      </c>
      <c r="N161" s="1229"/>
      <c r="O161" s="1229">
        <v>1540135.32</v>
      </c>
      <c r="P161" s="2204"/>
      <c r="Q161" s="3025"/>
    </row>
    <row r="162" spans="2:17" s="3012" customFormat="1" ht="15.75">
      <c r="B162" s="3020">
        <v>22055</v>
      </c>
      <c r="C162" s="3034"/>
      <c r="D162" s="3055" t="s">
        <v>707</v>
      </c>
      <c r="E162" s="3036"/>
      <c r="F162" s="3036"/>
      <c r="G162" s="1229">
        <v>23178283.239999998</v>
      </c>
      <c r="H162" s="1229"/>
      <c r="I162" s="1229">
        <v>15557323.949999999</v>
      </c>
      <c r="J162" s="1229"/>
      <c r="K162" s="1229">
        <v>19334200.030000001</v>
      </c>
      <c r="L162" s="1229"/>
      <c r="M162" s="1229">
        <f t="shared" si="6"/>
        <v>3245368.58</v>
      </c>
      <c r="N162" s="1229"/>
      <c r="O162" s="1229">
        <v>22579568.609999999</v>
      </c>
      <c r="P162" s="2204"/>
      <c r="Q162" s="3025"/>
    </row>
    <row r="163" spans="2:17" s="3012" customFormat="1" ht="15.75">
      <c r="B163" s="3020">
        <v>22056</v>
      </c>
      <c r="C163" s="3034"/>
      <c r="D163" s="3055" t="s">
        <v>708</v>
      </c>
      <c r="E163" s="3036"/>
      <c r="F163" s="3036"/>
      <c r="G163" s="1229">
        <v>1380258.31</v>
      </c>
      <c r="H163" s="1229"/>
      <c r="I163" s="1229">
        <v>1487860.68</v>
      </c>
      <c r="J163" s="1229"/>
      <c r="K163" s="1229">
        <v>1622403.61</v>
      </c>
      <c r="L163" s="1229"/>
      <c r="M163" s="1229">
        <f t="shared" si="6"/>
        <v>221245.34</v>
      </c>
      <c r="N163" s="1229"/>
      <c r="O163" s="1229">
        <v>1843648.95</v>
      </c>
      <c r="P163" s="2204"/>
      <c r="Q163" s="3025"/>
    </row>
    <row r="164" spans="2:17" s="3012" customFormat="1" ht="15.75">
      <c r="B164" s="3020">
        <v>22062</v>
      </c>
      <c r="C164" s="3034"/>
      <c r="D164" s="3055" t="s">
        <v>709</v>
      </c>
      <c r="E164" s="3036"/>
      <c r="F164" s="3036"/>
      <c r="G164" s="1229">
        <v>0</v>
      </c>
      <c r="H164" s="1229"/>
      <c r="I164" s="1229">
        <v>0</v>
      </c>
      <c r="J164" s="1229"/>
      <c r="K164" s="1229">
        <v>0</v>
      </c>
      <c r="L164" s="1229"/>
      <c r="M164" s="1229">
        <f t="shared" si="6"/>
        <v>0</v>
      </c>
      <c r="N164" s="1229"/>
      <c r="O164" s="1229">
        <v>0</v>
      </c>
      <c r="P164" s="2204"/>
      <c r="Q164" s="3025"/>
    </row>
    <row r="165" spans="2:17" s="3012" customFormat="1" ht="15.75">
      <c r="B165" s="3020">
        <v>22063</v>
      </c>
      <c r="C165" s="3034"/>
      <c r="D165" s="3055" t="s">
        <v>710</v>
      </c>
      <c r="E165" s="3036"/>
      <c r="F165" s="3036"/>
      <c r="G165" s="1229">
        <v>6797657.2400000002</v>
      </c>
      <c r="H165" s="1229"/>
      <c r="I165" s="1229">
        <v>6487072.1500000004</v>
      </c>
      <c r="J165" s="1229"/>
      <c r="K165" s="1229">
        <v>6241592.54</v>
      </c>
      <c r="L165" s="1229"/>
      <c r="M165" s="1229">
        <f t="shared" si="6"/>
        <v>-1403320.76</v>
      </c>
      <c r="N165" s="1229"/>
      <c r="O165" s="1229">
        <v>4838271.78</v>
      </c>
      <c r="P165" s="2204"/>
      <c r="Q165" s="3025"/>
    </row>
    <row r="166" spans="2:17" s="3012" customFormat="1" ht="15.75">
      <c r="B166" s="3020">
        <v>22078</v>
      </c>
      <c r="C166" s="3034"/>
      <c r="D166" s="3055" t="s">
        <v>711</v>
      </c>
      <c r="E166" s="3036"/>
      <c r="F166" s="3036"/>
      <c r="G166" s="1229">
        <v>0</v>
      </c>
      <c r="H166" s="1229"/>
      <c r="I166" s="1229">
        <v>0</v>
      </c>
      <c r="J166" s="1229"/>
      <c r="K166" s="1229">
        <v>0</v>
      </c>
      <c r="L166" s="1229"/>
      <c r="M166" s="1229">
        <f t="shared" si="6"/>
        <v>0</v>
      </c>
      <c r="N166" s="1229"/>
      <c r="O166" s="1229">
        <v>0</v>
      </c>
      <c r="P166" s="2204"/>
      <c r="Q166" s="3025"/>
    </row>
    <row r="167" spans="2:17" s="3012" customFormat="1" ht="15.75">
      <c r="B167" s="3020">
        <v>22085</v>
      </c>
      <c r="C167" s="3034"/>
      <c r="D167" s="3055" t="s">
        <v>712</v>
      </c>
      <c r="E167" s="3036"/>
      <c r="F167" s="3036"/>
      <c r="G167" s="1229">
        <v>15750007.779999999</v>
      </c>
      <c r="H167" s="1229"/>
      <c r="I167" s="1229">
        <v>15913892.710000001</v>
      </c>
      <c r="J167" s="1229"/>
      <c r="K167" s="1229">
        <v>16065282.1</v>
      </c>
      <c r="L167" s="1229"/>
      <c r="M167" s="1229">
        <f>ROUND(SUM(O167)-SUM(K167),2)</f>
        <v>152022.26</v>
      </c>
      <c r="N167" s="1229"/>
      <c r="O167" s="1229">
        <v>16217304.359999999</v>
      </c>
      <c r="P167" s="2204"/>
      <c r="Q167" s="3025"/>
    </row>
    <row r="168" spans="2:17" s="3012" customFormat="1" ht="15.75">
      <c r="B168" s="3020">
        <v>22090</v>
      </c>
      <c r="C168" s="3034"/>
      <c r="D168" s="3055" t="s">
        <v>713</v>
      </c>
      <c r="E168" s="3036"/>
      <c r="F168" s="3036"/>
      <c r="G168" s="1229">
        <v>0</v>
      </c>
      <c r="H168" s="1229"/>
      <c r="I168" s="1229">
        <v>0</v>
      </c>
      <c r="J168" s="1229"/>
      <c r="K168" s="1229">
        <v>0</v>
      </c>
      <c r="L168" s="1229"/>
      <c r="M168" s="1229">
        <f t="shared" si="6"/>
        <v>0</v>
      </c>
      <c r="N168" s="1229"/>
      <c r="O168" s="1229">
        <v>0</v>
      </c>
      <c r="P168" s="2204"/>
      <c r="Q168" s="3025"/>
    </row>
    <row r="169" spans="2:17" s="3012" customFormat="1" ht="15.75">
      <c r="B169" s="3020">
        <v>22100</v>
      </c>
      <c r="C169" s="3034"/>
      <c r="D169" s="3055" t="s">
        <v>714</v>
      </c>
      <c r="E169" s="3036"/>
      <c r="F169" s="3036"/>
      <c r="G169" s="1229">
        <v>7824700.25</v>
      </c>
      <c r="H169" s="1229"/>
      <c r="I169" s="1229">
        <v>8004967.5700000003</v>
      </c>
      <c r="J169" s="1229"/>
      <c r="K169" s="1229">
        <v>7514507.1500000004</v>
      </c>
      <c r="L169" s="1229"/>
      <c r="M169" s="1229">
        <f t="shared" ref="M169:M185" si="9">ROUND(SUM(O169)-SUM(K169),2)</f>
        <v>274366.51</v>
      </c>
      <c r="N169" s="1229"/>
      <c r="O169" s="1229">
        <v>7788873.6600000001</v>
      </c>
      <c r="P169" s="2204"/>
      <c r="Q169" s="3025"/>
    </row>
    <row r="170" spans="2:17" s="3012" customFormat="1" ht="15.75">
      <c r="B170" s="3020">
        <v>22130</v>
      </c>
      <c r="C170" s="3034"/>
      <c r="D170" s="3035" t="s">
        <v>715</v>
      </c>
      <c r="E170" s="3036"/>
      <c r="F170" s="3036"/>
      <c r="G170" s="1229">
        <v>0</v>
      </c>
      <c r="H170" s="1229"/>
      <c r="I170" s="1229">
        <v>0</v>
      </c>
      <c r="J170" s="1229"/>
      <c r="K170" s="1229">
        <v>0</v>
      </c>
      <c r="L170" s="1229"/>
      <c r="M170" s="1229">
        <f t="shared" si="9"/>
        <v>0</v>
      </c>
      <c r="N170" s="1229"/>
      <c r="O170" s="1229">
        <v>0</v>
      </c>
      <c r="P170" s="2204"/>
      <c r="Q170" s="3025"/>
    </row>
    <row r="171" spans="2:17" s="3012" customFormat="1" ht="15.75">
      <c r="B171" s="3020">
        <v>22135</v>
      </c>
      <c r="C171" s="3034"/>
      <c r="D171" s="3035" t="s">
        <v>716</v>
      </c>
      <c r="E171" s="3036"/>
      <c r="F171" s="3036"/>
      <c r="G171" s="1229">
        <v>0</v>
      </c>
      <c r="H171" s="1229"/>
      <c r="I171" s="1229">
        <v>0</v>
      </c>
      <c r="J171" s="1229"/>
      <c r="K171" s="1229">
        <v>0</v>
      </c>
      <c r="L171" s="1229"/>
      <c r="M171" s="1229">
        <f t="shared" si="9"/>
        <v>0</v>
      </c>
      <c r="N171" s="1229"/>
      <c r="O171" s="1229">
        <v>0</v>
      </c>
      <c r="P171" s="2204"/>
      <c r="Q171" s="3025"/>
    </row>
    <row r="172" spans="2:17" s="3012" customFormat="1" ht="15.75">
      <c r="B172" s="3020">
        <v>22144</v>
      </c>
      <c r="C172" s="3034"/>
      <c r="D172" s="3055" t="s">
        <v>717</v>
      </c>
      <c r="E172" s="3036"/>
      <c r="F172" s="3036"/>
      <c r="G172" s="1229">
        <v>227840.84</v>
      </c>
      <c r="H172" s="1229"/>
      <c r="I172" s="1229">
        <v>0</v>
      </c>
      <c r="J172" s="1229"/>
      <c r="K172" s="1229">
        <v>0</v>
      </c>
      <c r="L172" s="1229"/>
      <c r="M172" s="1229">
        <f t="shared" si="9"/>
        <v>0</v>
      </c>
      <c r="N172" s="1229"/>
      <c r="O172" s="1229">
        <v>0</v>
      </c>
      <c r="P172" s="2204"/>
      <c r="Q172" s="3025"/>
    </row>
    <row r="173" spans="2:17" s="3012" customFormat="1" ht="15.75">
      <c r="B173" s="3020">
        <v>22151</v>
      </c>
      <c r="C173" s="3034"/>
      <c r="D173" s="3035" t="s">
        <v>718</v>
      </c>
      <c r="E173" s="3036"/>
      <c r="F173" s="3036"/>
      <c r="G173" s="1229">
        <v>72792.600000000006</v>
      </c>
      <c r="H173" s="1229"/>
      <c r="I173" s="1229">
        <v>125254.96</v>
      </c>
      <c r="J173" s="1229"/>
      <c r="K173" s="1229">
        <v>188949.67</v>
      </c>
      <c r="L173" s="1229"/>
      <c r="M173" s="1229">
        <f t="shared" si="9"/>
        <v>-120638.17</v>
      </c>
      <c r="N173" s="1229"/>
      <c r="O173" s="1229">
        <v>68311.5</v>
      </c>
      <c r="P173" s="2204"/>
      <c r="Q173" s="3025"/>
    </row>
    <row r="174" spans="2:17" s="3012" customFormat="1" ht="15.75">
      <c r="B174" s="3020">
        <v>22156</v>
      </c>
      <c r="C174" s="3034"/>
      <c r="D174" s="3035" t="s">
        <v>719</v>
      </c>
      <c r="E174" s="3036"/>
      <c r="F174" s="3036"/>
      <c r="G174" s="1229">
        <v>0</v>
      </c>
      <c r="H174" s="1229"/>
      <c r="I174" s="1229">
        <v>0</v>
      </c>
      <c r="J174" s="1229"/>
      <c r="K174" s="1229">
        <v>0</v>
      </c>
      <c r="L174" s="1229"/>
      <c r="M174" s="1229">
        <f t="shared" si="9"/>
        <v>0</v>
      </c>
      <c r="N174" s="1229"/>
      <c r="O174" s="1229">
        <v>0</v>
      </c>
      <c r="P174" s="2204"/>
      <c r="Q174" s="3025"/>
    </row>
    <row r="175" spans="2:17" s="3012" customFormat="1" ht="15.75">
      <c r="B175" s="3020">
        <v>22158</v>
      </c>
      <c r="C175" s="3034"/>
      <c r="D175" s="3055" t="s">
        <v>720</v>
      </c>
      <c r="E175" s="3036"/>
      <c r="F175" s="3036"/>
      <c r="G175" s="1229">
        <v>0</v>
      </c>
      <c r="H175" s="1229"/>
      <c r="I175" s="1229">
        <v>0</v>
      </c>
      <c r="J175" s="1229"/>
      <c r="K175" s="1229">
        <v>0</v>
      </c>
      <c r="L175" s="1229"/>
      <c r="M175" s="1229">
        <f t="shared" si="9"/>
        <v>0</v>
      </c>
      <c r="N175" s="1229"/>
      <c r="O175" s="1229">
        <v>0</v>
      </c>
      <c r="P175" s="2204"/>
      <c r="Q175" s="3025"/>
    </row>
    <row r="176" spans="2:17" s="3012" customFormat="1" ht="15.75">
      <c r="B176" s="3020">
        <v>22168</v>
      </c>
      <c r="C176" s="3034"/>
      <c r="D176" s="3055" t="s">
        <v>721</v>
      </c>
      <c r="E176" s="3036"/>
      <c r="F176" s="3036"/>
      <c r="G176" s="1229">
        <v>0</v>
      </c>
      <c r="H176" s="1229"/>
      <c r="I176" s="1229">
        <v>0</v>
      </c>
      <c r="J176" s="1229"/>
      <c r="K176" s="1229">
        <v>0</v>
      </c>
      <c r="L176" s="1229"/>
      <c r="M176" s="1229">
        <f t="shared" si="9"/>
        <v>0</v>
      </c>
      <c r="N176" s="1229"/>
      <c r="O176" s="1229">
        <v>0</v>
      </c>
      <c r="P176" s="2204"/>
      <c r="Q176" s="3025"/>
    </row>
    <row r="177" spans="2:18" s="3212" customFormat="1" ht="15.75">
      <c r="B177" s="3038">
        <v>22240</v>
      </c>
      <c r="C177" s="3056"/>
      <c r="D177" s="3057" t="s">
        <v>1403</v>
      </c>
      <c r="E177" s="3041"/>
      <c r="F177" s="3041"/>
      <c r="G177" s="1229">
        <v>154015.35999999999</v>
      </c>
      <c r="H177" s="1229"/>
      <c r="I177" s="1229">
        <v>248436.34</v>
      </c>
      <c r="J177" s="1229"/>
      <c r="K177" s="1229">
        <v>349203.64</v>
      </c>
      <c r="L177" s="1229"/>
      <c r="M177" s="1229">
        <f t="shared" si="9"/>
        <v>83446.55</v>
      </c>
      <c r="N177" s="1229"/>
      <c r="O177" s="1229">
        <v>432650.19</v>
      </c>
      <c r="P177" s="2204"/>
      <c r="Q177" s="3211"/>
    </row>
    <row r="178" spans="2:18" s="3012" customFormat="1" ht="15.75">
      <c r="B178" s="3020">
        <v>22654</v>
      </c>
      <c r="C178" s="3034"/>
      <c r="D178" s="3035" t="s">
        <v>722</v>
      </c>
      <c r="E178" s="3036"/>
      <c r="F178" s="3036"/>
      <c r="G178" s="1229">
        <v>20494962.620000001</v>
      </c>
      <c r="H178" s="1229"/>
      <c r="I178" s="1229">
        <v>20525439.940000001</v>
      </c>
      <c r="J178" s="1229"/>
      <c r="K178" s="1229">
        <v>20555112.18</v>
      </c>
      <c r="L178" s="1229"/>
      <c r="M178" s="1229">
        <f t="shared" si="9"/>
        <v>29023.63</v>
      </c>
      <c r="N178" s="1229"/>
      <c r="O178" s="1229">
        <v>20584135.809999999</v>
      </c>
      <c r="P178" s="2204"/>
      <c r="Q178" s="3025"/>
    </row>
    <row r="179" spans="2:18" s="3012" customFormat="1" ht="15.75">
      <c r="B179" s="3020">
        <v>22751</v>
      </c>
      <c r="C179" s="3034"/>
      <c r="D179" s="3035" t="s">
        <v>1284</v>
      </c>
      <c r="E179" s="3036"/>
      <c r="F179" s="3036"/>
      <c r="G179" s="1229">
        <v>0</v>
      </c>
      <c r="H179" s="1229"/>
      <c r="I179" s="1229">
        <v>0</v>
      </c>
      <c r="J179" s="1229"/>
      <c r="K179" s="1229">
        <v>0</v>
      </c>
      <c r="L179" s="1229"/>
      <c r="M179" s="1229">
        <f>ROUND(SUM(O179)-SUM(K179),2)</f>
        <v>0</v>
      </c>
      <c r="N179" s="1229"/>
      <c r="O179" s="1229">
        <v>0</v>
      </c>
      <c r="P179" s="2204"/>
      <c r="Q179" s="3025"/>
    </row>
    <row r="180" spans="2:18" s="3012" customFormat="1" ht="15.75">
      <c r="B180" s="3020">
        <v>22802</v>
      </c>
      <c r="C180" s="3034"/>
      <c r="D180" s="3055" t="s">
        <v>723</v>
      </c>
      <c r="E180" s="3036"/>
      <c r="F180" s="3036"/>
      <c r="G180" s="1229">
        <v>0</v>
      </c>
      <c r="H180" s="1229"/>
      <c r="I180" s="1229">
        <v>0</v>
      </c>
      <c r="J180" s="1229"/>
      <c r="K180" s="1229">
        <v>0</v>
      </c>
      <c r="L180" s="1229"/>
      <c r="M180" s="1229">
        <f t="shared" si="9"/>
        <v>0</v>
      </c>
      <c r="N180" s="1229"/>
      <c r="O180" s="1229">
        <v>0</v>
      </c>
      <c r="P180" s="2204"/>
      <c r="Q180" s="3025"/>
    </row>
    <row r="181" spans="2:18" s="3012" customFormat="1" ht="15.75">
      <c r="B181" s="3020">
        <v>23001</v>
      </c>
      <c r="C181" s="3034"/>
      <c r="D181" s="3035" t="s">
        <v>724</v>
      </c>
      <c r="E181" s="3036"/>
      <c r="F181" s="3036"/>
      <c r="G181" s="1229">
        <v>14378726.59</v>
      </c>
      <c r="H181" s="1229"/>
      <c r="I181" s="1229">
        <v>14771072.300000001</v>
      </c>
      <c r="J181" s="1229"/>
      <c r="K181" s="1229">
        <v>14852458.310000001</v>
      </c>
      <c r="L181" s="1229"/>
      <c r="M181" s="1229">
        <f t="shared" si="9"/>
        <v>-478954.87</v>
      </c>
      <c r="N181" s="1229"/>
      <c r="O181" s="1229">
        <v>14373503.439999999</v>
      </c>
      <c r="P181" s="2204"/>
      <c r="Q181" s="3025"/>
    </row>
    <row r="182" spans="2:18" s="3012" customFormat="1" ht="15.75">
      <c r="B182" s="3020">
        <v>23102</v>
      </c>
      <c r="C182" s="3034"/>
      <c r="D182" s="3055" t="s">
        <v>725</v>
      </c>
      <c r="E182" s="3036"/>
      <c r="F182" s="3036"/>
      <c r="G182" s="1229">
        <v>5350949.7</v>
      </c>
      <c r="H182" s="1229"/>
      <c r="I182" s="1229">
        <v>5350949.7</v>
      </c>
      <c r="J182" s="1229"/>
      <c r="K182" s="1229">
        <v>5350949.7</v>
      </c>
      <c r="L182" s="1229"/>
      <c r="M182" s="1229">
        <f t="shared" si="9"/>
        <v>0</v>
      </c>
      <c r="N182" s="1229"/>
      <c r="O182" s="1229">
        <v>5350949.7</v>
      </c>
      <c r="P182" s="2204"/>
      <c r="Q182" s="3025"/>
    </row>
    <row r="183" spans="2:18" s="3012" customFormat="1" ht="15.75">
      <c r="B183" s="3020">
        <v>23151</v>
      </c>
      <c r="C183" s="3034"/>
      <c r="D183" s="3035" t="s">
        <v>726</v>
      </c>
      <c r="E183" s="3036"/>
      <c r="F183" s="3036"/>
      <c r="G183" s="1229">
        <v>50962024.829999998</v>
      </c>
      <c r="H183" s="1229"/>
      <c r="I183" s="1229">
        <v>53519944.219999999</v>
      </c>
      <c r="J183" s="1229"/>
      <c r="K183" s="1229">
        <v>55941074.32</v>
      </c>
      <c r="L183" s="1229"/>
      <c r="M183" s="1229">
        <f t="shared" si="9"/>
        <v>2501528</v>
      </c>
      <c r="N183" s="1229"/>
      <c r="O183" s="1229">
        <v>58442602.32</v>
      </c>
      <c r="P183" s="2204"/>
      <c r="Q183" s="3025"/>
    </row>
    <row r="184" spans="2:18" s="3012" customFormat="1" ht="15.75">
      <c r="B184" s="3060">
        <v>23701</v>
      </c>
      <c r="C184" s="3034"/>
      <c r="D184" s="3035" t="s">
        <v>954</v>
      </c>
      <c r="E184" s="3036"/>
      <c r="F184" s="3036"/>
      <c r="G184" s="1229">
        <v>0</v>
      </c>
      <c r="H184" s="1229"/>
      <c r="I184" s="1229">
        <v>0</v>
      </c>
      <c r="J184" s="1229"/>
      <c r="K184" s="1229">
        <v>0</v>
      </c>
      <c r="L184" s="1229"/>
      <c r="M184" s="1229">
        <f t="shared" si="9"/>
        <v>0</v>
      </c>
      <c r="N184" s="1229"/>
      <c r="O184" s="1229">
        <v>0</v>
      </c>
      <c r="P184" s="2204"/>
      <c r="Q184" s="3025"/>
    </row>
    <row r="185" spans="2:18" s="3012" customFormat="1" ht="15.75">
      <c r="B185" s="3060">
        <v>23702</v>
      </c>
      <c r="C185" s="3034"/>
      <c r="D185" s="3055" t="s">
        <v>955</v>
      </c>
      <c r="E185" s="3036"/>
      <c r="F185" s="3036"/>
      <c r="G185" s="1229">
        <v>16485452.16</v>
      </c>
      <c r="H185" s="1229"/>
      <c r="I185" s="1229">
        <v>16869883.760000002</v>
      </c>
      <c r="J185" s="1229"/>
      <c r="K185" s="1229">
        <v>17270317.050000001</v>
      </c>
      <c r="L185" s="1229"/>
      <c r="M185" s="1229">
        <f t="shared" si="9"/>
        <v>394330.69</v>
      </c>
      <c r="N185" s="1229"/>
      <c r="O185" s="1229">
        <v>17664647.739999998</v>
      </c>
      <c r="P185" s="2204"/>
      <c r="Q185" s="3025"/>
    </row>
    <row r="186" spans="2:18" s="3012" customFormat="1" ht="15.75">
      <c r="B186" s="3060">
        <v>23800</v>
      </c>
      <c r="C186" s="3034"/>
      <c r="D186" s="3055" t="s">
        <v>1294</v>
      </c>
      <c r="E186" s="3036"/>
      <c r="F186" s="3036"/>
      <c r="G186" s="1229">
        <v>0</v>
      </c>
      <c r="H186" s="1229"/>
      <c r="I186" s="1229">
        <v>0</v>
      </c>
      <c r="J186" s="1229"/>
      <c r="K186" s="1229">
        <v>0</v>
      </c>
      <c r="L186" s="1229"/>
      <c r="M186" s="1229">
        <f t="shared" ref="M186:M187" si="10">ROUND(SUM(O186)-SUM(K186),2)</f>
        <v>0</v>
      </c>
      <c r="N186" s="1229"/>
      <c r="O186" s="1229">
        <v>0</v>
      </c>
      <c r="P186" s="3032"/>
      <c r="Q186" s="3025"/>
    </row>
    <row r="187" spans="2:18" s="3012" customFormat="1" ht="15.75">
      <c r="B187" s="3060">
        <v>23801</v>
      </c>
      <c r="C187" s="3034"/>
      <c r="D187" s="3055" t="s">
        <v>1295</v>
      </c>
      <c r="E187" s="3036"/>
      <c r="F187" s="3036"/>
      <c r="G187" s="1229">
        <v>0</v>
      </c>
      <c r="H187" s="1229"/>
      <c r="I187" s="1229">
        <v>0</v>
      </c>
      <c r="J187" s="1229"/>
      <c r="K187" s="1229">
        <v>0</v>
      </c>
      <c r="L187" s="1229"/>
      <c r="M187" s="1229">
        <f t="shared" si="10"/>
        <v>0</v>
      </c>
      <c r="N187" s="1229"/>
      <c r="O187" s="1229">
        <v>0</v>
      </c>
      <c r="P187" s="3032"/>
      <c r="Q187" s="3025"/>
    </row>
    <row r="188" spans="2:18" s="3012" customFormat="1" ht="15.75">
      <c r="B188" s="3060">
        <v>23806</v>
      </c>
      <c r="C188" s="3034"/>
      <c r="D188" s="3055" t="s">
        <v>1330</v>
      </c>
      <c r="E188" s="3036"/>
      <c r="F188" s="3036"/>
      <c r="G188" s="1229">
        <v>0</v>
      </c>
      <c r="H188" s="1229"/>
      <c r="I188" s="1229">
        <v>0</v>
      </c>
      <c r="J188" s="1229"/>
      <c r="K188" s="1229">
        <v>0</v>
      </c>
      <c r="L188" s="1229"/>
      <c r="M188" s="1229">
        <f t="shared" ref="M188:M189" si="11">ROUND(SUM(O188)-SUM(K188),2)</f>
        <v>0</v>
      </c>
      <c r="N188" s="1229"/>
      <c r="O188" s="1229">
        <v>0</v>
      </c>
      <c r="P188" s="3032"/>
      <c r="Q188" s="3025"/>
    </row>
    <row r="189" spans="2:18" s="3012" customFormat="1" ht="15.75">
      <c r="B189" s="3060">
        <v>24951</v>
      </c>
      <c r="C189" s="3034"/>
      <c r="D189" s="3055" t="s">
        <v>1331</v>
      </c>
      <c r="E189" s="3036"/>
      <c r="F189" s="3036"/>
      <c r="G189" s="1229">
        <v>0</v>
      </c>
      <c r="H189" s="1229"/>
      <c r="I189" s="1229">
        <v>0</v>
      </c>
      <c r="J189" s="1229"/>
      <c r="K189" s="1229">
        <v>0</v>
      </c>
      <c r="L189" s="1229"/>
      <c r="M189" s="1229">
        <f t="shared" si="11"/>
        <v>0</v>
      </c>
      <c r="N189" s="1229"/>
      <c r="O189" s="1229">
        <v>0</v>
      </c>
      <c r="P189" s="3032"/>
      <c r="Q189" s="3025"/>
    </row>
    <row r="190" spans="2:18" s="3012" customFormat="1" ht="16.5" thickBot="1">
      <c r="B190" s="3043"/>
      <c r="C190" s="3014"/>
      <c r="D190" s="3027" t="s">
        <v>727</v>
      </c>
      <c r="E190" s="3016"/>
      <c r="F190" s="3016"/>
      <c r="G190" s="1619">
        <f>ROUND(SUM(G105:G189),2)</f>
        <v>1572835613.99</v>
      </c>
      <c r="H190" s="1500"/>
      <c r="I190" s="1619">
        <f>ROUND(SUM(I105:I189),2)</f>
        <v>1723583922.5899999</v>
      </c>
      <c r="J190" s="2174"/>
      <c r="K190" s="1619">
        <f>ROUND(SUM(K105:K189),2)</f>
        <v>1482679754.8199999</v>
      </c>
      <c r="L190" s="2583"/>
      <c r="M190" s="1619">
        <f>ROUND(SUM(M105:M189),2)</f>
        <v>-383708421.75</v>
      </c>
      <c r="N190" s="2583"/>
      <c r="O190" s="1619">
        <f>ROUND(SUM(O105:O189),2)</f>
        <v>1098971333.0699999</v>
      </c>
      <c r="P190" s="3032"/>
      <c r="Q190" s="3025"/>
    </row>
    <row r="191" spans="2:18" s="3012" customFormat="1" ht="16.5" thickTop="1">
      <c r="B191" s="3061"/>
      <c r="C191" s="3045"/>
      <c r="D191" s="3062"/>
      <c r="E191" s="3034"/>
      <c r="F191" s="3034"/>
      <c r="G191" s="1229"/>
      <c r="H191" s="3051"/>
      <c r="I191" s="2204"/>
      <c r="J191" s="3051"/>
      <c r="K191" s="2204"/>
      <c r="L191" s="3233"/>
      <c r="M191" s="1229"/>
      <c r="N191" s="3051"/>
      <c r="O191" s="2204"/>
      <c r="P191" s="3032"/>
      <c r="Q191" s="3025"/>
    </row>
    <row r="192" spans="2:18" s="3012" customFormat="1" ht="15.75">
      <c r="B192" s="3061"/>
      <c r="C192" s="3014"/>
      <c r="D192" s="3027" t="s">
        <v>728</v>
      </c>
      <c r="E192" s="3016"/>
      <c r="F192" s="3016"/>
      <c r="G192" s="1229"/>
      <c r="H192" s="3233"/>
      <c r="I192" s="2204"/>
      <c r="J192" s="3233"/>
      <c r="K192" s="2204"/>
      <c r="L192" s="3233"/>
      <c r="M192" s="1230"/>
      <c r="N192" s="3677"/>
      <c r="O192" s="2204"/>
      <c r="P192" s="3032"/>
      <c r="Q192" s="3211"/>
      <c r="R192" s="3212"/>
    </row>
    <row r="193" spans="2:18" s="3212" customFormat="1" ht="15.75">
      <c r="B193" s="3068" t="s">
        <v>729</v>
      </c>
      <c r="C193" s="3234"/>
      <c r="D193" s="3059" t="s">
        <v>730</v>
      </c>
      <c r="E193" s="3210"/>
      <c r="F193" s="3210"/>
      <c r="G193" s="3743">
        <v>22138247.34</v>
      </c>
      <c r="H193" s="1229"/>
      <c r="I193" s="3743">
        <v>15287528.460000001</v>
      </c>
      <c r="J193" s="1229"/>
      <c r="K193" s="3743">
        <v>10840969.799999999</v>
      </c>
      <c r="L193" s="1229"/>
      <c r="M193" s="1229">
        <f t="shared" ref="M193:M198" si="12">ROUND(SUM(O193)-SUM(K193),2)</f>
        <v>4962959.79</v>
      </c>
      <c r="N193" s="1229"/>
      <c r="O193" s="3743">
        <v>15803929.590000002</v>
      </c>
      <c r="P193" s="3032"/>
      <c r="Q193" s="3211"/>
    </row>
    <row r="194" spans="2:18" s="3212" customFormat="1" ht="15.75">
      <c r="B194" s="3068" t="s">
        <v>731</v>
      </c>
      <c r="C194" s="3234"/>
      <c r="D194" s="3059" t="s">
        <v>732</v>
      </c>
      <c r="E194" s="3210"/>
      <c r="F194" s="3210"/>
      <c r="G194" s="3743">
        <v>211306904.22</v>
      </c>
      <c r="H194" s="1229"/>
      <c r="I194" s="3743">
        <v>638635412.44999993</v>
      </c>
      <c r="J194" s="1229"/>
      <c r="K194" s="3743">
        <v>481027379.27000004</v>
      </c>
      <c r="L194" s="1229"/>
      <c r="M194" s="1229">
        <f t="shared" si="12"/>
        <v>-342391397.50999999</v>
      </c>
      <c r="N194" s="1229"/>
      <c r="O194" s="3743">
        <v>138635981.76000002</v>
      </c>
      <c r="P194" s="3032"/>
      <c r="Q194" s="3211"/>
    </row>
    <row r="195" spans="2:18" s="3212" customFormat="1" ht="15.75">
      <c r="B195" s="3068" t="s">
        <v>733</v>
      </c>
      <c r="C195" s="3234"/>
      <c r="D195" s="3057" t="s">
        <v>734</v>
      </c>
      <c r="E195" s="3210"/>
      <c r="F195" s="3210"/>
      <c r="G195" s="3743">
        <v>38928881.040000007</v>
      </c>
      <c r="H195" s="1229"/>
      <c r="I195" s="3743">
        <v>40635158.210000001</v>
      </c>
      <c r="J195" s="1229"/>
      <c r="K195" s="3743">
        <v>77236262.539999992</v>
      </c>
      <c r="L195" s="1229"/>
      <c r="M195" s="1229">
        <f t="shared" si="12"/>
        <v>-35870900.100000001</v>
      </c>
      <c r="N195" s="1229"/>
      <c r="O195" s="3743">
        <v>41365362.440000005</v>
      </c>
      <c r="P195" s="3032"/>
      <c r="Q195" s="3211"/>
    </row>
    <row r="196" spans="2:18" s="3212" customFormat="1" ht="15.75">
      <c r="B196" s="3068" t="s">
        <v>1296</v>
      </c>
      <c r="C196" s="3234"/>
      <c r="D196" s="3057" t="s">
        <v>1297</v>
      </c>
      <c r="E196" s="3210"/>
      <c r="F196" s="3210"/>
      <c r="G196" s="3743">
        <v>0</v>
      </c>
      <c r="H196" s="1229"/>
      <c r="I196" s="3743">
        <v>0</v>
      </c>
      <c r="J196" s="1229"/>
      <c r="K196" s="3743">
        <v>0</v>
      </c>
      <c r="L196" s="1229"/>
      <c r="M196" s="1229">
        <f t="shared" si="12"/>
        <v>0</v>
      </c>
      <c r="N196" s="1229"/>
      <c r="O196" s="3743">
        <v>0</v>
      </c>
      <c r="P196" s="3032"/>
      <c r="Q196" s="3211"/>
    </row>
    <row r="197" spans="2:18" s="3212" customFormat="1" ht="15.75">
      <c r="B197" s="3068" t="s">
        <v>735</v>
      </c>
      <c r="C197" s="3057"/>
      <c r="D197" s="3059" t="s">
        <v>736</v>
      </c>
      <c r="E197" s="3210"/>
      <c r="F197" s="3210"/>
      <c r="G197" s="3743">
        <v>418091127.23000014</v>
      </c>
      <c r="H197" s="1229"/>
      <c r="I197" s="3743">
        <v>459719203.02999997</v>
      </c>
      <c r="J197" s="1229"/>
      <c r="K197" s="3743">
        <v>419720914.27999985</v>
      </c>
      <c r="L197" s="1229"/>
      <c r="M197" s="1229">
        <f t="shared" si="12"/>
        <v>29052590.510000002</v>
      </c>
      <c r="N197" s="1229"/>
      <c r="O197" s="3743">
        <v>448773504.78999996</v>
      </c>
      <c r="P197" s="3032"/>
      <c r="Q197" s="3211"/>
    </row>
    <row r="198" spans="2:18" s="3212" customFormat="1" ht="15.75">
      <c r="B198" s="3038">
        <v>31351</v>
      </c>
      <c r="C198" s="3057"/>
      <c r="D198" s="3059" t="s">
        <v>737</v>
      </c>
      <c r="E198" s="3210"/>
      <c r="F198" s="3210"/>
      <c r="G198" s="1229">
        <v>8756661.6600000001</v>
      </c>
      <c r="H198" s="1229"/>
      <c r="I198" s="1229">
        <v>8756661.6600000001</v>
      </c>
      <c r="J198" s="1229"/>
      <c r="K198" s="1229">
        <v>8753932.6600000001</v>
      </c>
      <c r="L198" s="1229"/>
      <c r="M198" s="1229">
        <f t="shared" si="12"/>
        <v>0</v>
      </c>
      <c r="N198" s="1229"/>
      <c r="O198" s="1229">
        <v>8753932.6600000001</v>
      </c>
      <c r="P198" s="3048"/>
      <c r="Q198" s="3211"/>
    </row>
    <row r="199" spans="2:18" s="3212" customFormat="1" ht="15.75">
      <c r="B199" s="2933">
        <v>31354</v>
      </c>
      <c r="C199" s="3213"/>
      <c r="D199" s="3040" t="s">
        <v>738</v>
      </c>
      <c r="E199" s="3210"/>
      <c r="F199" s="3210"/>
      <c r="G199" s="1229">
        <v>484905655.79000002</v>
      </c>
      <c r="H199" s="1229"/>
      <c r="I199" s="1229">
        <v>460128296.86000001</v>
      </c>
      <c r="J199" s="1229"/>
      <c r="K199" s="1229">
        <v>382515866.87</v>
      </c>
      <c r="L199" s="1229"/>
      <c r="M199" s="1229">
        <f>ROUND(SUM(O199)-SUM(K199),2)</f>
        <v>99644388.170000002</v>
      </c>
      <c r="N199" s="1229"/>
      <c r="O199" s="1229">
        <v>482160255.04000002</v>
      </c>
      <c r="P199" s="3063"/>
      <c r="Q199" s="3211"/>
    </row>
    <row r="200" spans="2:18" s="3212" customFormat="1" ht="15.75">
      <c r="B200" s="3214" t="s">
        <v>739</v>
      </c>
      <c r="C200" s="3056"/>
      <c r="D200" s="3059" t="s">
        <v>740</v>
      </c>
      <c r="E200" s="3210"/>
      <c r="F200" s="3210"/>
      <c r="G200" s="1229">
        <v>87809426.820000082</v>
      </c>
      <c r="H200" s="1229"/>
      <c r="I200" s="1229">
        <v>108833062.72</v>
      </c>
      <c r="J200" s="1229"/>
      <c r="K200" s="1229">
        <v>103766767.21000001</v>
      </c>
      <c r="L200" s="1229"/>
      <c r="M200" s="1229">
        <f>ROUND(SUM(O200)-SUM(K200),2)</f>
        <v>2440966.4500000002</v>
      </c>
      <c r="N200" s="1229"/>
      <c r="O200" s="1229">
        <v>106207733.66</v>
      </c>
      <c r="P200" s="3215"/>
      <c r="Q200" s="3211"/>
    </row>
    <row r="201" spans="2:18" s="3212" customFormat="1" ht="15.75">
      <c r="B201" s="3066" t="s">
        <v>956</v>
      </c>
      <c r="C201" s="3056"/>
      <c r="D201" s="3059" t="s">
        <v>957</v>
      </c>
      <c r="E201" s="3067"/>
      <c r="F201" s="3067"/>
      <c r="G201" s="1229">
        <v>12236467.91</v>
      </c>
      <c r="H201" s="1229"/>
      <c r="I201" s="1229">
        <v>10564973.51</v>
      </c>
      <c r="J201" s="1229"/>
      <c r="K201" s="1229">
        <v>11204557.99</v>
      </c>
      <c r="L201" s="1229"/>
      <c r="M201" s="1229">
        <f>ROUND(SUM(O201)-SUM(K201),2)</f>
        <v>-319987.12</v>
      </c>
      <c r="N201" s="1229"/>
      <c r="O201" s="1229">
        <v>10884570.869999999</v>
      </c>
      <c r="P201" s="3068"/>
      <c r="Q201" s="3211"/>
    </row>
    <row r="202" spans="2:18" s="3212" customFormat="1" ht="15.75">
      <c r="B202" s="3069">
        <v>25950</v>
      </c>
      <c r="C202" s="3056"/>
      <c r="D202" s="3059" t="s">
        <v>741</v>
      </c>
      <c r="E202" s="3070"/>
      <c r="F202" s="3070"/>
      <c r="G202" s="1229">
        <v>318486.99</v>
      </c>
      <c r="H202" s="1229"/>
      <c r="I202" s="1229">
        <v>477958.99</v>
      </c>
      <c r="J202" s="1229"/>
      <c r="K202" s="1229">
        <v>445238.99</v>
      </c>
      <c r="L202" s="1229"/>
      <c r="M202" s="1229">
        <f>ROUND(SUM(O202)-SUM(K202),2)</f>
        <v>-51224</v>
      </c>
      <c r="N202" s="1229"/>
      <c r="O202" s="1229">
        <v>394014.99</v>
      </c>
      <c r="P202" s="3068"/>
      <c r="Q202" s="3211"/>
    </row>
    <row r="203" spans="2:18" s="3212" customFormat="1" ht="15.75">
      <c r="B203" s="3066" t="s">
        <v>1267</v>
      </c>
      <c r="C203" s="3056"/>
      <c r="D203" s="3057" t="s">
        <v>958</v>
      </c>
      <c r="E203" s="3067"/>
      <c r="F203" s="3067"/>
      <c r="G203" s="1229">
        <v>5773118.4699999997</v>
      </c>
      <c r="H203" s="1229"/>
      <c r="I203" s="1229">
        <v>7394685.2999999998</v>
      </c>
      <c r="J203" s="1229"/>
      <c r="K203" s="1229">
        <v>1369253.2</v>
      </c>
      <c r="L203" s="1229"/>
      <c r="M203" s="1229">
        <f t="shared" ref="M203" si="13">ROUND(SUM(O203)-SUM(K203),2)</f>
        <v>5865296.04</v>
      </c>
      <c r="N203" s="1229"/>
      <c r="O203" s="2204">
        <v>7234549.2400000002</v>
      </c>
      <c r="P203" s="3068"/>
      <c r="Q203" s="3211"/>
    </row>
    <row r="204" spans="2:18" s="3012" customFormat="1" ht="16.5" thickBot="1">
      <c r="B204" s="3071"/>
      <c r="C204" s="3028"/>
      <c r="D204" s="3027" t="s">
        <v>742</v>
      </c>
      <c r="E204" s="3029"/>
      <c r="F204" s="3029"/>
      <c r="G204" s="1619">
        <f>ROUND(SUM(G193:G203),2)</f>
        <v>1290264977.47</v>
      </c>
      <c r="H204" s="2174"/>
      <c r="I204" s="1619">
        <f>ROUND(SUM(I193:I203),2)</f>
        <v>1750432941.1900001</v>
      </c>
      <c r="J204" s="2174"/>
      <c r="K204" s="1619">
        <f>ROUND(SUM(K193:K203),2)</f>
        <v>1496881142.8099999</v>
      </c>
      <c r="L204" s="2596"/>
      <c r="M204" s="1231">
        <f>ROUND(SUM(M193:M203),2)</f>
        <v>-236667307.77000001</v>
      </c>
      <c r="N204" s="2596"/>
      <c r="O204" s="1619">
        <f>ROUND(SUM(O193:O203),2)</f>
        <v>1260213835.04</v>
      </c>
      <c r="P204" s="3063" t="s">
        <v>114</v>
      </c>
      <c r="Q204" s="3211"/>
      <c r="R204" s="3212"/>
    </row>
    <row r="205" spans="2:18" s="3012" customFormat="1" ht="16.5" thickTop="1">
      <c r="B205" s="3043"/>
      <c r="C205" s="3028"/>
      <c r="D205" s="3041"/>
      <c r="E205" s="3029"/>
      <c r="F205" s="3029"/>
      <c r="G205" s="1230"/>
      <c r="H205" s="3677"/>
      <c r="I205" s="3072"/>
      <c r="J205" s="3677"/>
      <c r="K205" s="3072"/>
      <c r="L205" s="3677"/>
      <c r="M205" s="1230"/>
      <c r="N205" s="3677"/>
      <c r="O205" s="3072"/>
      <c r="P205" s="3214"/>
      <c r="Q205" s="3211"/>
      <c r="R205" s="3212"/>
    </row>
    <row r="206" spans="2:18" s="3012" customFormat="1" ht="15.75">
      <c r="B206" s="3061"/>
      <c r="C206" s="3028"/>
      <c r="D206" s="3015" t="s">
        <v>743</v>
      </c>
      <c r="E206" s="3029"/>
      <c r="F206" s="3029"/>
      <c r="G206" s="1229"/>
      <c r="H206" s="3051"/>
      <c r="I206" s="2204"/>
      <c r="J206" s="3051"/>
      <c r="K206" s="2204"/>
      <c r="L206" s="3051"/>
      <c r="M206" s="1230"/>
      <c r="N206" s="1518"/>
      <c r="O206" s="2204"/>
      <c r="P206" s="3073"/>
      <c r="Q206" s="3025"/>
    </row>
    <row r="207" spans="2:18" s="3012" customFormat="1" ht="15.75">
      <c r="B207" s="3038">
        <v>60201</v>
      </c>
      <c r="C207" s="3014"/>
      <c r="D207" s="3035" t="s">
        <v>744</v>
      </c>
      <c r="E207" s="3029"/>
      <c r="F207" s="3029"/>
      <c r="G207" s="1229">
        <v>0</v>
      </c>
      <c r="H207" s="1229"/>
      <c r="I207" s="1229">
        <v>0</v>
      </c>
      <c r="J207" s="1229"/>
      <c r="K207" s="1229">
        <v>0</v>
      </c>
      <c r="L207" s="1229"/>
      <c r="M207" s="1229">
        <f>ROUND(SUM(O207)-SUM(K207),2)</f>
        <v>0</v>
      </c>
      <c r="N207" s="1229"/>
      <c r="O207" s="1229">
        <v>0</v>
      </c>
      <c r="P207" s="3073"/>
      <c r="Q207" s="3025"/>
    </row>
    <row r="208" spans="2:18" s="3012" customFormat="1" ht="15.75">
      <c r="B208" s="3020">
        <v>60901</v>
      </c>
      <c r="C208" s="3034"/>
      <c r="D208" s="3055" t="s">
        <v>981</v>
      </c>
      <c r="E208" s="3036"/>
      <c r="F208" s="3036"/>
      <c r="G208" s="1229">
        <v>0</v>
      </c>
      <c r="H208" s="1229"/>
      <c r="I208" s="1229">
        <v>0</v>
      </c>
      <c r="J208" s="1229"/>
      <c r="K208" s="1229">
        <v>0</v>
      </c>
      <c r="L208" s="1229"/>
      <c r="M208" s="1229">
        <f>ROUND(SUM(O208)-SUM(K208),2)</f>
        <v>0</v>
      </c>
      <c r="N208" s="1229"/>
      <c r="O208" s="1229">
        <v>0</v>
      </c>
      <c r="P208" s="3073"/>
      <c r="Q208" s="3025"/>
    </row>
    <row r="209" spans="2:17" s="3012" customFormat="1" ht="16.5" thickBot="1">
      <c r="B209" s="3060"/>
      <c r="C209" s="3014"/>
      <c r="D209" s="3015" t="s">
        <v>745</v>
      </c>
      <c r="E209" s="3029"/>
      <c r="F209" s="3029"/>
      <c r="G209" s="1619">
        <f>ROUND(SUM(G207:G208),2)</f>
        <v>0</v>
      </c>
      <c r="H209" s="1500"/>
      <c r="I209" s="1622">
        <f>ROUND(SUM(I207:I208),2)</f>
        <v>0</v>
      </c>
      <c r="J209" s="1500"/>
      <c r="K209" s="1622">
        <f>ROUND(SUM(K207:K208),2)</f>
        <v>0</v>
      </c>
      <c r="L209" s="1500"/>
      <c r="M209" s="1231">
        <f>ROUND(SUM(M207:M208),2)</f>
        <v>0</v>
      </c>
      <c r="N209" s="1500"/>
      <c r="O209" s="1622">
        <f>ROUND(SUM(O207:O208),2)</f>
        <v>0</v>
      </c>
      <c r="P209" s="3032"/>
      <c r="Q209" s="3025"/>
    </row>
    <row r="210" spans="2:17" s="3012" customFormat="1" ht="16.5" thickTop="1">
      <c r="B210" s="3060"/>
      <c r="C210" s="3074"/>
      <c r="D210" s="3074"/>
      <c r="E210" s="3075"/>
      <c r="F210" s="3075"/>
      <c r="G210" s="1229"/>
      <c r="H210" s="3051"/>
      <c r="I210" s="2204"/>
      <c r="J210" s="3051"/>
      <c r="K210" s="2204"/>
      <c r="L210" s="3051"/>
      <c r="M210" s="1229"/>
      <c r="N210" s="3051"/>
      <c r="O210" s="2204"/>
      <c r="P210" s="3026"/>
      <c r="Q210" s="3025"/>
    </row>
    <row r="211" spans="2:17" s="3012" customFormat="1" ht="15.75">
      <c r="B211" s="3060"/>
      <c r="C211" s="3044"/>
      <c r="D211" s="3015" t="s">
        <v>746</v>
      </c>
      <c r="E211" s="3050"/>
      <c r="F211" s="3050"/>
      <c r="G211" s="1229"/>
      <c r="H211" s="3051"/>
      <c r="I211" s="2204"/>
      <c r="J211" s="3051"/>
      <c r="K211" s="2204"/>
      <c r="L211" s="3051"/>
      <c r="M211" s="1232"/>
      <c r="N211" s="3076"/>
      <c r="O211" s="2204"/>
      <c r="P211" s="3064"/>
      <c r="Q211" s="3025"/>
    </row>
    <row r="212" spans="2:17" s="3012" customFormat="1" ht="15.75">
      <c r="B212" s="3020">
        <v>50318</v>
      </c>
      <c r="C212" s="3045"/>
      <c r="D212" s="3057" t="s">
        <v>747</v>
      </c>
      <c r="E212" s="3019"/>
      <c r="F212" s="3019"/>
      <c r="G212" s="1229">
        <v>345221.79</v>
      </c>
      <c r="H212" s="1229"/>
      <c r="I212" s="1229">
        <v>347999.18</v>
      </c>
      <c r="J212" s="1229"/>
      <c r="K212" s="1229">
        <v>347191.44</v>
      </c>
      <c r="L212" s="1229"/>
      <c r="M212" s="1229">
        <f>ROUND(SUM(O212)-SUM(K212),2)</f>
        <v>33932.47</v>
      </c>
      <c r="N212" s="1229"/>
      <c r="O212" s="1229">
        <v>381123.91</v>
      </c>
      <c r="P212" s="3073"/>
      <c r="Q212" s="3025"/>
    </row>
    <row r="213" spans="2:17" s="3012" customFormat="1" ht="15.75">
      <c r="B213" s="3020">
        <v>50327</v>
      </c>
      <c r="C213" s="3045"/>
      <c r="D213" s="3057" t="s">
        <v>1280</v>
      </c>
      <c r="E213" s="3019"/>
      <c r="F213" s="3019"/>
      <c r="G213" s="1229">
        <v>304988.44</v>
      </c>
      <c r="H213" s="1229"/>
      <c r="I213" s="1229">
        <v>296041.12</v>
      </c>
      <c r="J213" s="1229"/>
      <c r="K213" s="1229">
        <v>306381.38</v>
      </c>
      <c r="L213" s="1229"/>
      <c r="M213" s="1229">
        <f>ROUND(SUM(O213)-SUM(K213),2)</f>
        <v>-8596.59</v>
      </c>
      <c r="N213" s="1229"/>
      <c r="O213" s="1229">
        <v>297784.78999999998</v>
      </c>
      <c r="P213" s="3073"/>
      <c r="Q213" s="3025"/>
    </row>
    <row r="214" spans="2:17" s="3012" customFormat="1" ht="16.5" thickBot="1">
      <c r="B214" s="3077"/>
      <c r="C214" s="3014"/>
      <c r="D214" s="3027" t="s">
        <v>748</v>
      </c>
      <c r="E214" s="3016"/>
      <c r="F214" s="3016"/>
      <c r="G214" s="1619">
        <f>ROUND(SUM(G212:G213),2)</f>
        <v>650210.23</v>
      </c>
      <c r="H214" s="1500"/>
      <c r="I214" s="3078">
        <f>ROUND(SUM(I212:I213),2)</f>
        <v>644040.30000000005</v>
      </c>
      <c r="J214" s="1500"/>
      <c r="K214" s="3078">
        <f>ROUND(SUM(K212:K213),2)</f>
        <v>653572.81999999995</v>
      </c>
      <c r="L214" s="1500"/>
      <c r="M214" s="1519">
        <f>ROUND(SUM(M212:M213),2)</f>
        <v>25335.88</v>
      </c>
      <c r="N214" s="1500"/>
      <c r="O214" s="3078">
        <f>ROUND(SUM(O212:O213),2)</f>
        <v>678908.7</v>
      </c>
      <c r="P214" s="3048"/>
      <c r="Q214" s="3025"/>
    </row>
    <row r="215" spans="2:17" s="3012" customFormat="1" ht="16.5" thickTop="1">
      <c r="B215" s="3045"/>
      <c r="C215" s="3045"/>
      <c r="D215" s="3079"/>
      <c r="E215" s="3019"/>
      <c r="F215" s="3019"/>
      <c r="G215" s="1520"/>
      <c r="H215" s="1520"/>
      <c r="I215" s="3080"/>
      <c r="J215" s="1520"/>
      <c r="K215" s="3080"/>
      <c r="L215" s="1520"/>
      <c r="M215" s="1520"/>
      <c r="N215" s="1520"/>
      <c r="O215" s="3080"/>
      <c r="P215" s="3071"/>
      <c r="Q215" s="3025"/>
    </row>
    <row r="216" spans="2:17" s="3012" customFormat="1" ht="15.75">
      <c r="B216" s="3013"/>
      <c r="C216" s="3014"/>
      <c r="D216" s="3015" t="s">
        <v>222</v>
      </c>
      <c r="E216" s="3016"/>
      <c r="F216" s="3016"/>
      <c r="G216" s="3051"/>
      <c r="H216" s="3051"/>
      <c r="I216" s="3052"/>
      <c r="J216" s="3051"/>
      <c r="K216" s="3052"/>
      <c r="L216" s="3051"/>
      <c r="M216" s="1518"/>
      <c r="N216" s="1518"/>
      <c r="O216" s="3052"/>
      <c r="P216" s="3019"/>
      <c r="Q216" s="3025"/>
    </row>
    <row r="217" spans="2:17" s="3012" customFormat="1" ht="15.75">
      <c r="B217" s="3020">
        <v>55001</v>
      </c>
      <c r="C217" s="3045"/>
      <c r="D217" s="3057" t="s">
        <v>749</v>
      </c>
      <c r="E217" s="3019"/>
      <c r="F217" s="3019"/>
      <c r="G217" s="1229">
        <v>0</v>
      </c>
      <c r="H217" s="1229"/>
      <c r="I217" s="1229">
        <v>0</v>
      </c>
      <c r="J217" s="1229"/>
      <c r="K217" s="1229">
        <v>0</v>
      </c>
      <c r="L217" s="1229"/>
      <c r="M217" s="1229">
        <f t="shared" ref="M217:M259" si="14">ROUND(SUM(O217)-SUM(K217),2)</f>
        <v>0</v>
      </c>
      <c r="N217" s="1229"/>
      <c r="O217" s="1229">
        <v>0</v>
      </c>
      <c r="P217" s="3042"/>
      <c r="Q217" s="3025"/>
    </row>
    <row r="218" spans="2:17" s="3012" customFormat="1" ht="15.75">
      <c r="B218" s="3020">
        <v>55002</v>
      </c>
      <c r="C218" s="3034"/>
      <c r="D218" s="3055" t="s">
        <v>750</v>
      </c>
      <c r="E218" s="3036"/>
      <c r="F218" s="3036"/>
      <c r="G218" s="1229">
        <v>0</v>
      </c>
      <c r="H218" s="1229"/>
      <c r="I218" s="1229">
        <v>0</v>
      </c>
      <c r="J218" s="1229"/>
      <c r="K218" s="1229">
        <v>0</v>
      </c>
      <c r="L218" s="1229"/>
      <c r="M218" s="1229">
        <f t="shared" si="14"/>
        <v>0</v>
      </c>
      <c r="N218" s="1229"/>
      <c r="O218" s="1229">
        <v>0</v>
      </c>
      <c r="P218" s="3032"/>
      <c r="Q218" s="3025"/>
    </row>
    <row r="219" spans="2:17" s="3012" customFormat="1" ht="15.75">
      <c r="B219" s="3020">
        <v>55003</v>
      </c>
      <c r="C219" s="3034"/>
      <c r="D219" s="3057" t="s">
        <v>751</v>
      </c>
      <c r="E219" s="3036"/>
      <c r="F219" s="3036"/>
      <c r="G219" s="1229">
        <v>1324819.02</v>
      </c>
      <c r="H219" s="1229"/>
      <c r="I219" s="1229">
        <v>1337430.77</v>
      </c>
      <c r="J219" s="1229"/>
      <c r="K219" s="1229">
        <v>1219006.1000000001</v>
      </c>
      <c r="L219" s="1229"/>
      <c r="M219" s="1229">
        <f t="shared" si="14"/>
        <v>68484.320000000007</v>
      </c>
      <c r="N219" s="1229"/>
      <c r="O219" s="1229">
        <v>1287490.42</v>
      </c>
      <c r="P219" s="3032"/>
      <c r="Q219" s="3025"/>
    </row>
    <row r="220" spans="2:17" s="3012" customFormat="1" ht="15.75">
      <c r="B220" s="3020">
        <v>55004</v>
      </c>
      <c r="C220" s="3056"/>
      <c r="D220" s="3081" t="s">
        <v>752</v>
      </c>
      <c r="E220" s="3041"/>
      <c r="F220" s="3041"/>
      <c r="G220" s="1229">
        <v>0</v>
      </c>
      <c r="H220" s="1229"/>
      <c r="I220" s="1229">
        <v>0</v>
      </c>
      <c r="J220" s="1229"/>
      <c r="K220" s="1229">
        <v>0</v>
      </c>
      <c r="L220" s="1229"/>
      <c r="M220" s="1229">
        <f t="shared" si="14"/>
        <v>0</v>
      </c>
      <c r="N220" s="1229"/>
      <c r="O220" s="1229">
        <v>0</v>
      </c>
      <c r="P220" s="3032"/>
      <c r="Q220" s="3025"/>
    </row>
    <row r="221" spans="2:17" s="3012" customFormat="1" ht="15.75">
      <c r="B221" s="3020">
        <v>55005</v>
      </c>
      <c r="C221" s="3034"/>
      <c r="D221" s="3057" t="s">
        <v>753</v>
      </c>
      <c r="E221" s="3036"/>
      <c r="F221" s="3036"/>
      <c r="G221" s="1229">
        <v>0</v>
      </c>
      <c r="H221" s="1229"/>
      <c r="I221" s="1229">
        <v>0</v>
      </c>
      <c r="J221" s="1229"/>
      <c r="K221" s="1229">
        <v>0</v>
      </c>
      <c r="L221" s="1229"/>
      <c r="M221" s="1229">
        <f t="shared" si="14"/>
        <v>0</v>
      </c>
      <c r="N221" s="1229"/>
      <c r="O221" s="1229">
        <v>0</v>
      </c>
      <c r="P221" s="3032"/>
      <c r="Q221" s="3025"/>
    </row>
    <row r="222" spans="2:17" s="3012" customFormat="1" ht="15.75">
      <c r="B222" s="3020">
        <v>55006</v>
      </c>
      <c r="C222" s="3056"/>
      <c r="D222" s="3057" t="s">
        <v>754</v>
      </c>
      <c r="E222" s="3041"/>
      <c r="F222" s="3041"/>
      <c r="G222" s="1229">
        <v>0</v>
      </c>
      <c r="H222" s="1229"/>
      <c r="I222" s="1229">
        <v>0</v>
      </c>
      <c r="J222" s="1229"/>
      <c r="K222" s="1229">
        <v>0</v>
      </c>
      <c r="L222" s="1229"/>
      <c r="M222" s="1229">
        <f t="shared" si="14"/>
        <v>0</v>
      </c>
      <c r="N222" s="1229"/>
      <c r="O222" s="1229">
        <v>0</v>
      </c>
      <c r="P222" s="3032"/>
      <c r="Q222" s="3025"/>
    </row>
    <row r="223" spans="2:17" s="3012" customFormat="1" ht="15.75">
      <c r="B223" s="3020">
        <v>55007</v>
      </c>
      <c r="C223" s="3053"/>
      <c r="D223" s="3021" t="s">
        <v>755</v>
      </c>
      <c r="E223" s="3054"/>
      <c r="F223" s="3054"/>
      <c r="G223" s="1229">
        <v>3516513.3</v>
      </c>
      <c r="H223" s="1229"/>
      <c r="I223" s="1229">
        <v>3517515.48</v>
      </c>
      <c r="J223" s="1229"/>
      <c r="K223" s="1229">
        <v>3710936.11</v>
      </c>
      <c r="L223" s="1229"/>
      <c r="M223" s="1229">
        <f t="shared" si="14"/>
        <v>244053.11</v>
      </c>
      <c r="N223" s="1229"/>
      <c r="O223" s="1229">
        <v>3954989.22</v>
      </c>
      <c r="P223" s="3042"/>
      <c r="Q223" s="3025"/>
    </row>
    <row r="224" spans="2:17" s="3012" customFormat="1" ht="15.75">
      <c r="B224" s="3020">
        <v>55008</v>
      </c>
      <c r="C224" s="3034"/>
      <c r="D224" s="3059" t="s">
        <v>756</v>
      </c>
      <c r="E224" s="3036"/>
      <c r="F224" s="3036"/>
      <c r="G224" s="1229">
        <v>12588557.359999999</v>
      </c>
      <c r="H224" s="1229"/>
      <c r="I224" s="1229">
        <v>13148748.300000001</v>
      </c>
      <c r="J224" s="1229"/>
      <c r="K224" s="1229">
        <v>456186.080000002</v>
      </c>
      <c r="L224" s="1229"/>
      <c r="M224" s="1229">
        <f t="shared" si="14"/>
        <v>8511520.2799999993</v>
      </c>
      <c r="N224" s="1229"/>
      <c r="O224" s="1229">
        <v>8967706.3599999994</v>
      </c>
      <c r="P224" s="3048"/>
      <c r="Q224" s="3025"/>
    </row>
    <row r="225" spans="2:17" s="3012" customFormat="1" ht="15.75">
      <c r="B225" s="2956">
        <v>55009</v>
      </c>
      <c r="C225" s="3053"/>
      <c r="D225" s="3021" t="s">
        <v>757</v>
      </c>
      <c r="E225" s="3054"/>
      <c r="F225" s="3054"/>
      <c r="G225" s="1229">
        <v>0</v>
      </c>
      <c r="H225" s="1229"/>
      <c r="I225" s="1229">
        <v>0</v>
      </c>
      <c r="J225" s="1229"/>
      <c r="K225" s="1229">
        <v>0</v>
      </c>
      <c r="L225" s="1229"/>
      <c r="M225" s="1229">
        <f t="shared" si="14"/>
        <v>0</v>
      </c>
      <c r="N225" s="1229"/>
      <c r="O225" s="1229">
        <v>0</v>
      </c>
      <c r="P225" s="3019"/>
      <c r="Q225" s="3025"/>
    </row>
    <row r="226" spans="2:17" s="3012" customFormat="1" ht="15.75">
      <c r="B226" s="2956">
        <v>55010</v>
      </c>
      <c r="C226" s="3034"/>
      <c r="D226" s="3057" t="s">
        <v>982</v>
      </c>
      <c r="E226" s="3036"/>
      <c r="F226" s="3036"/>
      <c r="G226" s="1229">
        <v>12271049.050000001</v>
      </c>
      <c r="H226" s="1229"/>
      <c r="I226" s="1229">
        <v>16224958.73</v>
      </c>
      <c r="J226" s="1229"/>
      <c r="K226" s="1229">
        <v>13638101.92</v>
      </c>
      <c r="L226" s="1229"/>
      <c r="M226" s="1229">
        <f t="shared" si="14"/>
        <v>3096810.19</v>
      </c>
      <c r="N226" s="1229"/>
      <c r="O226" s="1229">
        <v>16734912.109999999</v>
      </c>
      <c r="P226" s="3019"/>
      <c r="Q226" s="3025"/>
    </row>
    <row r="227" spans="2:17" s="3012" customFormat="1" ht="15.75">
      <c r="B227" s="3020">
        <v>55011</v>
      </c>
      <c r="C227" s="3053"/>
      <c r="D227" s="3021" t="s">
        <v>758</v>
      </c>
      <c r="E227" s="3054"/>
      <c r="F227" s="3054"/>
      <c r="G227" s="1229">
        <v>0</v>
      </c>
      <c r="H227" s="1229"/>
      <c r="I227" s="1229">
        <v>0</v>
      </c>
      <c r="J227" s="1229"/>
      <c r="K227" s="1229">
        <v>627294.42000000004</v>
      </c>
      <c r="L227" s="1229"/>
      <c r="M227" s="1229">
        <f t="shared" si="14"/>
        <v>-627294.42000000004</v>
      </c>
      <c r="N227" s="1229"/>
      <c r="O227" s="1229">
        <v>0</v>
      </c>
      <c r="P227" s="3032"/>
      <c r="Q227" s="3025"/>
    </row>
    <row r="228" spans="2:17" s="3012" customFormat="1" ht="15.75">
      <c r="B228" s="3020">
        <v>55012</v>
      </c>
      <c r="C228" s="3034"/>
      <c r="D228" s="3035" t="s">
        <v>759</v>
      </c>
      <c r="E228" s="3036"/>
      <c r="F228" s="3036"/>
      <c r="G228" s="1229">
        <v>157991.29999999999</v>
      </c>
      <c r="H228" s="1229"/>
      <c r="I228" s="1229">
        <v>193452.3</v>
      </c>
      <c r="J228" s="1229"/>
      <c r="K228" s="1229">
        <v>191527.8</v>
      </c>
      <c r="L228" s="1229"/>
      <c r="M228" s="1229">
        <f t="shared" si="14"/>
        <v>43738</v>
      </c>
      <c r="N228" s="1229"/>
      <c r="O228" s="1229">
        <v>235265.8</v>
      </c>
      <c r="P228" s="3032"/>
      <c r="Q228" s="3025"/>
    </row>
    <row r="229" spans="2:17" s="3012" customFormat="1" ht="15.75">
      <c r="B229" s="3020">
        <v>55013</v>
      </c>
      <c r="C229" s="3034"/>
      <c r="D229" s="3055" t="s">
        <v>760</v>
      </c>
      <c r="E229" s="3036"/>
      <c r="F229" s="3036"/>
      <c r="G229" s="1229">
        <v>0</v>
      </c>
      <c r="H229" s="1229"/>
      <c r="I229" s="1229">
        <v>0</v>
      </c>
      <c r="J229" s="1229"/>
      <c r="K229" s="1229">
        <v>0</v>
      </c>
      <c r="L229" s="1229"/>
      <c r="M229" s="1229">
        <f t="shared" si="14"/>
        <v>0</v>
      </c>
      <c r="N229" s="1229"/>
      <c r="O229" s="1229">
        <v>0</v>
      </c>
      <c r="P229" s="3032"/>
      <c r="Q229" s="3025"/>
    </row>
    <row r="230" spans="2:17" s="3012" customFormat="1" ht="15.75">
      <c r="B230" s="3020">
        <v>55014</v>
      </c>
      <c r="C230" s="3034"/>
      <c r="D230" s="3035" t="s">
        <v>761</v>
      </c>
      <c r="E230" s="3036"/>
      <c r="F230" s="3036"/>
      <c r="G230" s="1229">
        <v>0</v>
      </c>
      <c r="H230" s="1229"/>
      <c r="I230" s="1229">
        <v>0</v>
      </c>
      <c r="J230" s="1229"/>
      <c r="K230" s="1229">
        <v>0</v>
      </c>
      <c r="L230" s="1229"/>
      <c r="M230" s="1229">
        <f t="shared" si="14"/>
        <v>0</v>
      </c>
      <c r="N230" s="1229"/>
      <c r="O230" s="1229">
        <v>0</v>
      </c>
      <c r="P230" s="3032"/>
      <c r="Q230" s="3025"/>
    </row>
    <row r="231" spans="2:17" s="3012" customFormat="1" ht="15.75">
      <c r="B231" s="3020">
        <v>55015</v>
      </c>
      <c r="C231" s="3034"/>
      <c r="D231" s="3055" t="s">
        <v>762</v>
      </c>
      <c r="E231" s="3036"/>
      <c r="F231" s="3036"/>
      <c r="G231" s="1229">
        <v>0</v>
      </c>
      <c r="H231" s="1229"/>
      <c r="I231" s="1229">
        <v>0</v>
      </c>
      <c r="J231" s="1229"/>
      <c r="K231" s="1229">
        <v>0</v>
      </c>
      <c r="L231" s="1229"/>
      <c r="M231" s="1229">
        <f t="shared" si="14"/>
        <v>0</v>
      </c>
      <c r="N231" s="1229"/>
      <c r="O231" s="1229">
        <v>0</v>
      </c>
      <c r="P231" s="3032"/>
      <c r="Q231" s="3025"/>
    </row>
    <row r="232" spans="2:17" s="3012" customFormat="1" ht="15.75">
      <c r="B232" s="3020">
        <v>55016</v>
      </c>
      <c r="C232" s="3034"/>
      <c r="D232" s="3055" t="s">
        <v>763</v>
      </c>
      <c r="E232" s="3036"/>
      <c r="F232" s="3036"/>
      <c r="G232" s="1229">
        <v>1565919.79</v>
      </c>
      <c r="H232" s="1229"/>
      <c r="I232" s="1229">
        <v>1628566.47</v>
      </c>
      <c r="J232" s="1229"/>
      <c r="K232" s="1229">
        <v>1237731.03</v>
      </c>
      <c r="L232" s="1229"/>
      <c r="M232" s="1229">
        <f t="shared" si="14"/>
        <v>45070.38</v>
      </c>
      <c r="N232" s="1229"/>
      <c r="O232" s="1229">
        <v>1282801.4099999999</v>
      </c>
      <c r="P232" s="3032"/>
      <c r="Q232" s="3025"/>
    </row>
    <row r="233" spans="2:17" s="3012" customFormat="1" ht="15.75">
      <c r="B233" s="3020">
        <v>55017</v>
      </c>
      <c r="C233" s="3034"/>
      <c r="D233" s="3055" t="s">
        <v>764</v>
      </c>
      <c r="E233" s="3036"/>
      <c r="F233" s="3036"/>
      <c r="G233" s="1229">
        <v>248638.45</v>
      </c>
      <c r="H233" s="1229"/>
      <c r="I233" s="1229">
        <v>271861.11</v>
      </c>
      <c r="J233" s="1229"/>
      <c r="K233" s="1229">
        <v>458480.02</v>
      </c>
      <c r="L233" s="1229"/>
      <c r="M233" s="1229">
        <f t="shared" si="14"/>
        <v>117948.84</v>
      </c>
      <c r="N233" s="1229"/>
      <c r="O233" s="1229">
        <v>576428.86</v>
      </c>
      <c r="P233" s="3032"/>
      <c r="Q233" s="3025"/>
    </row>
    <row r="234" spans="2:17" s="3012" customFormat="1" ht="15.75">
      <c r="B234" s="3020">
        <v>55018</v>
      </c>
      <c r="C234" s="3034"/>
      <c r="D234" s="3055" t="s">
        <v>765</v>
      </c>
      <c r="E234" s="3036"/>
      <c r="F234" s="3036"/>
      <c r="G234" s="1229">
        <v>3954819.15</v>
      </c>
      <c r="H234" s="1229"/>
      <c r="I234" s="1229">
        <v>4406719.0599999996</v>
      </c>
      <c r="J234" s="1229"/>
      <c r="K234" s="1229">
        <v>2505794.5499999998</v>
      </c>
      <c r="L234" s="1229"/>
      <c r="M234" s="1229">
        <f t="shared" si="14"/>
        <v>237673.23</v>
      </c>
      <c r="N234" s="1229"/>
      <c r="O234" s="1229">
        <v>2743467.78</v>
      </c>
      <c r="P234" s="3032"/>
      <c r="Q234" s="3025"/>
    </row>
    <row r="235" spans="2:17" s="3012" customFormat="1" ht="15.75">
      <c r="B235" s="3020">
        <v>55019</v>
      </c>
      <c r="C235" s="3034"/>
      <c r="D235" s="3055" t="s">
        <v>766</v>
      </c>
      <c r="E235" s="3036"/>
      <c r="F235" s="3036"/>
      <c r="G235" s="1229">
        <v>0</v>
      </c>
      <c r="H235" s="1229"/>
      <c r="I235" s="1229">
        <v>0</v>
      </c>
      <c r="J235" s="1229"/>
      <c r="K235" s="1229">
        <v>0</v>
      </c>
      <c r="L235" s="1229"/>
      <c r="M235" s="1229">
        <f t="shared" si="14"/>
        <v>0</v>
      </c>
      <c r="N235" s="1229"/>
      <c r="O235" s="1229">
        <v>0</v>
      </c>
      <c r="P235" s="3032"/>
      <c r="Q235" s="3025"/>
    </row>
    <row r="236" spans="2:17" s="3012" customFormat="1" ht="15.75">
      <c r="B236" s="3020">
        <v>55020</v>
      </c>
      <c r="C236" s="3034"/>
      <c r="D236" s="3055" t="s">
        <v>767</v>
      </c>
      <c r="E236" s="3036"/>
      <c r="F236" s="3036"/>
      <c r="G236" s="1229">
        <v>61261079.710000001</v>
      </c>
      <c r="H236" s="1229"/>
      <c r="I236" s="1229">
        <v>63815776.939999998</v>
      </c>
      <c r="J236" s="1229"/>
      <c r="K236" s="1229">
        <v>59295302.159999996</v>
      </c>
      <c r="L236" s="1229"/>
      <c r="M236" s="1229">
        <f t="shared" si="14"/>
        <v>-5846863.5099999998</v>
      </c>
      <c r="N236" s="1229"/>
      <c r="O236" s="1229">
        <v>53448438.649999999</v>
      </c>
      <c r="P236" s="3032"/>
      <c r="Q236" s="3025"/>
    </row>
    <row r="237" spans="2:17" s="3012" customFormat="1" ht="15.75">
      <c r="B237" s="3020">
        <v>55021</v>
      </c>
      <c r="C237" s="3034"/>
      <c r="D237" s="3055" t="s">
        <v>768</v>
      </c>
      <c r="E237" s="3036"/>
      <c r="F237" s="3036"/>
      <c r="G237" s="1229">
        <v>6977640.3499999996</v>
      </c>
      <c r="H237" s="1229"/>
      <c r="I237" s="1229">
        <v>7273044.5999999996</v>
      </c>
      <c r="J237" s="1229"/>
      <c r="K237" s="1229">
        <v>7509318.1799999997</v>
      </c>
      <c r="L237" s="1229"/>
      <c r="M237" s="1229">
        <f t="shared" si="14"/>
        <v>236838.15</v>
      </c>
      <c r="N237" s="1229"/>
      <c r="O237" s="1229">
        <v>7746156.3300000001</v>
      </c>
      <c r="P237" s="3032"/>
      <c r="Q237" s="3025"/>
    </row>
    <row r="238" spans="2:17" s="3012" customFormat="1" ht="15.75">
      <c r="B238" s="3020">
        <v>55022</v>
      </c>
      <c r="C238" s="3034"/>
      <c r="D238" s="3035" t="s">
        <v>769</v>
      </c>
      <c r="E238" s="3036"/>
      <c r="F238" s="3036"/>
      <c r="G238" s="1229">
        <v>17918524.050000001</v>
      </c>
      <c r="H238" s="1229"/>
      <c r="I238" s="1229">
        <v>20106078.5</v>
      </c>
      <c r="J238" s="1229"/>
      <c r="K238" s="1229">
        <v>22237794.949999999</v>
      </c>
      <c r="L238" s="1229"/>
      <c r="M238" s="1229">
        <f t="shared" si="14"/>
        <v>2119228.81</v>
      </c>
      <c r="N238" s="1229"/>
      <c r="O238" s="1229">
        <v>24357023.760000002</v>
      </c>
      <c r="P238" s="3032"/>
      <c r="Q238" s="3025"/>
    </row>
    <row r="239" spans="2:17" s="3012" customFormat="1" ht="15.75">
      <c r="B239" s="3020">
        <v>55052</v>
      </c>
      <c r="C239" s="3034"/>
      <c r="D239" s="3035" t="s">
        <v>770</v>
      </c>
      <c r="E239" s="3036"/>
      <c r="F239" s="3036"/>
      <c r="G239" s="1229">
        <v>0</v>
      </c>
      <c r="H239" s="1229"/>
      <c r="I239" s="1229">
        <v>0</v>
      </c>
      <c r="J239" s="1229"/>
      <c r="K239" s="1229">
        <v>0</v>
      </c>
      <c r="L239" s="1229"/>
      <c r="M239" s="1229">
        <f t="shared" si="14"/>
        <v>0</v>
      </c>
      <c r="N239" s="1229"/>
      <c r="O239" s="1229">
        <v>0</v>
      </c>
      <c r="P239" s="3032"/>
      <c r="Q239" s="3025"/>
    </row>
    <row r="240" spans="2:17" s="3012" customFormat="1" ht="15.75">
      <c r="B240" s="3020">
        <v>55053</v>
      </c>
      <c r="C240" s="3034"/>
      <c r="D240" s="3055" t="s">
        <v>771</v>
      </c>
      <c r="E240" s="3036"/>
      <c r="F240" s="3036"/>
      <c r="G240" s="1229">
        <v>0</v>
      </c>
      <c r="H240" s="1229"/>
      <c r="I240" s="1229">
        <v>0</v>
      </c>
      <c r="J240" s="1229"/>
      <c r="K240" s="1229">
        <v>0</v>
      </c>
      <c r="L240" s="1229"/>
      <c r="M240" s="1229">
        <f t="shared" si="14"/>
        <v>0</v>
      </c>
      <c r="N240" s="1229"/>
      <c r="O240" s="1229">
        <v>0</v>
      </c>
      <c r="P240" s="3032"/>
      <c r="Q240" s="3025"/>
    </row>
    <row r="241" spans="2:17" s="3012" customFormat="1" ht="15.75">
      <c r="B241" s="3020">
        <v>55056</v>
      </c>
      <c r="C241" s="3034"/>
      <c r="D241" s="3055" t="s">
        <v>772</v>
      </c>
      <c r="E241" s="3036"/>
      <c r="F241" s="3036"/>
      <c r="G241" s="1229">
        <v>0</v>
      </c>
      <c r="H241" s="1229"/>
      <c r="I241" s="1229">
        <v>0</v>
      </c>
      <c r="J241" s="1229"/>
      <c r="K241" s="1229">
        <v>0</v>
      </c>
      <c r="L241" s="1229"/>
      <c r="M241" s="1229">
        <f t="shared" si="14"/>
        <v>0</v>
      </c>
      <c r="N241" s="1229"/>
      <c r="O241" s="1229">
        <v>0</v>
      </c>
      <c r="P241" s="3032"/>
      <c r="Q241" s="3025"/>
    </row>
    <row r="242" spans="2:17" s="3012" customFormat="1" ht="15.75">
      <c r="B242" s="3020">
        <v>55057</v>
      </c>
      <c r="C242" s="3034"/>
      <c r="D242" s="3055" t="s">
        <v>773</v>
      </c>
      <c r="E242" s="3036"/>
      <c r="F242" s="3036"/>
      <c r="G242" s="1229">
        <v>11046.39</v>
      </c>
      <c r="H242" s="1229"/>
      <c r="I242" s="1229">
        <v>488933.07</v>
      </c>
      <c r="J242" s="1229"/>
      <c r="K242" s="1229">
        <v>22148</v>
      </c>
      <c r="L242" s="1229"/>
      <c r="M242" s="1229">
        <f t="shared" si="14"/>
        <v>185544.6</v>
      </c>
      <c r="N242" s="1229"/>
      <c r="O242" s="1229">
        <v>207692.6</v>
      </c>
      <c r="P242" s="3032"/>
      <c r="Q242" s="3025"/>
    </row>
    <row r="243" spans="2:17" s="3012" customFormat="1" ht="15.75">
      <c r="B243" s="3020">
        <v>55058</v>
      </c>
      <c r="C243" s="3034"/>
      <c r="D243" s="3055" t="s">
        <v>774</v>
      </c>
      <c r="E243" s="3036"/>
      <c r="F243" s="3036"/>
      <c r="G243" s="1229">
        <v>1800873.45</v>
      </c>
      <c r="H243" s="1229"/>
      <c r="I243" s="1229">
        <v>2049970.42</v>
      </c>
      <c r="J243" s="1229"/>
      <c r="K243" s="1229">
        <v>2371227.91</v>
      </c>
      <c r="L243" s="1229"/>
      <c r="M243" s="1229">
        <f t="shared" si="14"/>
        <v>-359222.47</v>
      </c>
      <c r="N243" s="1229"/>
      <c r="O243" s="1229">
        <v>2012005.44</v>
      </c>
      <c r="P243" s="3032"/>
      <c r="Q243" s="3025"/>
    </row>
    <row r="244" spans="2:17" s="3012" customFormat="1" ht="15.75">
      <c r="B244" s="3020">
        <v>55059</v>
      </c>
      <c r="C244" s="3034"/>
      <c r="D244" s="3057" t="s">
        <v>1283</v>
      </c>
      <c r="E244" s="3036"/>
      <c r="F244" s="3036"/>
      <c r="G244" s="1229">
        <v>10958347.84</v>
      </c>
      <c r="H244" s="1229"/>
      <c r="I244" s="1229">
        <v>10770306.65</v>
      </c>
      <c r="J244" s="1229"/>
      <c r="K244" s="1229">
        <v>11300567.74</v>
      </c>
      <c r="L244" s="1229"/>
      <c r="M244" s="1229">
        <f t="shared" ref="M244" si="15">ROUND(SUM(O244)-SUM(K244),2)</f>
        <v>-124062.8</v>
      </c>
      <c r="N244" s="1229"/>
      <c r="O244" s="1229">
        <v>11176504.939999999</v>
      </c>
      <c r="P244" s="3032"/>
      <c r="Q244" s="3025"/>
    </row>
    <row r="245" spans="2:17" s="3012" customFormat="1" ht="15.75">
      <c r="B245" s="3020">
        <v>55060</v>
      </c>
      <c r="C245" s="3034"/>
      <c r="D245" s="3035" t="s">
        <v>775</v>
      </c>
      <c r="E245" s="3036"/>
      <c r="F245" s="3036"/>
      <c r="G245" s="1229">
        <v>3378751.17</v>
      </c>
      <c r="H245" s="1229"/>
      <c r="I245" s="1229">
        <v>841311.13</v>
      </c>
      <c r="J245" s="1229"/>
      <c r="K245" s="1229">
        <v>2323977.62</v>
      </c>
      <c r="L245" s="1229"/>
      <c r="M245" s="1229">
        <f t="shared" si="14"/>
        <v>-2323977.62</v>
      </c>
      <c r="N245" s="1229"/>
      <c r="O245" s="1229">
        <v>0</v>
      </c>
      <c r="P245" s="3032"/>
      <c r="Q245" s="3025"/>
    </row>
    <row r="246" spans="2:17" s="3012" customFormat="1" ht="15.75">
      <c r="B246" s="3020">
        <v>55061</v>
      </c>
      <c r="C246" s="3034"/>
      <c r="D246" s="3035" t="s">
        <v>776</v>
      </c>
      <c r="E246" s="3036"/>
      <c r="F246" s="3036"/>
      <c r="G246" s="1229">
        <v>2239828.23</v>
      </c>
      <c r="H246" s="1229"/>
      <c r="I246" s="1229">
        <v>2239828.23</v>
      </c>
      <c r="J246" s="1229"/>
      <c r="K246" s="1229">
        <v>2240424.54</v>
      </c>
      <c r="L246" s="1229"/>
      <c r="M246" s="1229">
        <f t="shared" si="14"/>
        <v>-3747.03</v>
      </c>
      <c r="N246" s="1229"/>
      <c r="O246" s="1229">
        <v>2236677.5099999998</v>
      </c>
      <c r="P246" s="3032"/>
      <c r="Q246" s="3025"/>
    </row>
    <row r="247" spans="2:17" s="3012" customFormat="1" ht="15.75">
      <c r="B247" s="3020">
        <v>55062</v>
      </c>
      <c r="C247" s="3034"/>
      <c r="D247" s="3055" t="s">
        <v>777</v>
      </c>
      <c r="E247" s="3036"/>
      <c r="F247" s="3036"/>
      <c r="G247" s="1229">
        <v>44947967.770000003</v>
      </c>
      <c r="H247" s="1229"/>
      <c r="I247" s="1229">
        <v>45074847.530000001</v>
      </c>
      <c r="J247" s="1229"/>
      <c r="K247" s="1229">
        <v>40374377.450000003</v>
      </c>
      <c r="L247" s="1229"/>
      <c r="M247" s="1229">
        <f t="shared" si="14"/>
        <v>0</v>
      </c>
      <c r="N247" s="1229"/>
      <c r="O247" s="1229">
        <v>40374377.450000003</v>
      </c>
      <c r="P247" s="3032"/>
      <c r="Q247" s="3025"/>
    </row>
    <row r="248" spans="2:17" s="3012" customFormat="1" ht="15.75">
      <c r="B248" s="3020">
        <v>55066</v>
      </c>
      <c r="C248" s="3034"/>
      <c r="D248" s="3055" t="s">
        <v>778</v>
      </c>
      <c r="E248" s="3036"/>
      <c r="F248" s="3036"/>
      <c r="G248" s="1229">
        <v>1261584.27</v>
      </c>
      <c r="H248" s="1229"/>
      <c r="I248" s="1229">
        <v>1261584.27</v>
      </c>
      <c r="J248" s="1229"/>
      <c r="K248" s="1229">
        <v>1261584.27</v>
      </c>
      <c r="L248" s="1229"/>
      <c r="M248" s="1229">
        <f t="shared" si="14"/>
        <v>0</v>
      </c>
      <c r="N248" s="1229"/>
      <c r="O248" s="1229">
        <v>1261584.27</v>
      </c>
      <c r="P248" s="3032"/>
      <c r="Q248" s="3025"/>
    </row>
    <row r="249" spans="2:17" s="3012" customFormat="1" ht="15.75">
      <c r="B249" s="3020">
        <v>55067</v>
      </c>
      <c r="C249" s="3034"/>
      <c r="D249" s="3055" t="s">
        <v>779</v>
      </c>
      <c r="E249" s="3036"/>
      <c r="F249" s="3036"/>
      <c r="G249" s="1229">
        <v>93592.92</v>
      </c>
      <c r="H249" s="1229"/>
      <c r="I249" s="1229">
        <v>120045.45</v>
      </c>
      <c r="J249" s="1229"/>
      <c r="K249" s="1229">
        <v>102200.65</v>
      </c>
      <c r="L249" s="1229"/>
      <c r="M249" s="1229">
        <f t="shared" si="14"/>
        <v>1513.39</v>
      </c>
      <c r="N249" s="1229"/>
      <c r="O249" s="1229">
        <v>103714.04</v>
      </c>
      <c r="P249" s="3032"/>
      <c r="Q249" s="3025"/>
    </row>
    <row r="250" spans="2:17" s="3012" customFormat="1" ht="15.75">
      <c r="B250" s="3020">
        <v>55069</v>
      </c>
      <c r="C250" s="3034"/>
      <c r="D250" s="3055" t="s">
        <v>780</v>
      </c>
      <c r="E250" s="3036"/>
      <c r="F250" s="3036"/>
      <c r="G250" s="1229">
        <v>53910003.380000003</v>
      </c>
      <c r="H250" s="1229"/>
      <c r="I250" s="1229">
        <v>51711438.229999997</v>
      </c>
      <c r="J250" s="1229"/>
      <c r="K250" s="1229">
        <v>50620780.060000002</v>
      </c>
      <c r="L250" s="1229"/>
      <c r="M250" s="1229">
        <f t="shared" si="14"/>
        <v>20085402.359999999</v>
      </c>
      <c r="N250" s="1229"/>
      <c r="O250" s="1229">
        <v>70706182.420000002</v>
      </c>
      <c r="P250" s="3032"/>
      <c r="Q250" s="3025"/>
    </row>
    <row r="251" spans="2:17" s="3012" customFormat="1" ht="15.75">
      <c r="B251" s="3060">
        <v>55071</v>
      </c>
      <c r="C251" s="3034"/>
      <c r="D251" s="3055" t="s">
        <v>959</v>
      </c>
      <c r="E251" s="3036"/>
      <c r="F251" s="3036"/>
      <c r="G251" s="1229">
        <v>638385.59</v>
      </c>
      <c r="H251" s="1229"/>
      <c r="I251" s="1229">
        <v>824767.45</v>
      </c>
      <c r="J251" s="1229"/>
      <c r="K251" s="1229">
        <v>408738.3</v>
      </c>
      <c r="L251" s="1229"/>
      <c r="M251" s="1229">
        <f t="shared" si="14"/>
        <v>-408738.3</v>
      </c>
      <c r="N251" s="1229"/>
      <c r="O251" s="1229">
        <v>0</v>
      </c>
      <c r="P251" s="3032"/>
      <c r="Q251" s="3025"/>
    </row>
    <row r="252" spans="2:17" s="3012" customFormat="1" ht="15.75">
      <c r="B252" s="3020">
        <v>55072</v>
      </c>
      <c r="C252" s="3034"/>
      <c r="D252" s="3055" t="s">
        <v>960</v>
      </c>
      <c r="E252" s="3036"/>
      <c r="F252" s="3036"/>
      <c r="G252" s="1229">
        <v>0</v>
      </c>
      <c r="H252" s="1229"/>
      <c r="I252" s="1229">
        <v>331482.26</v>
      </c>
      <c r="J252" s="1229"/>
      <c r="K252" s="1229">
        <v>1414190.0800000001</v>
      </c>
      <c r="L252" s="1229"/>
      <c r="M252" s="1229">
        <f t="shared" si="14"/>
        <v>-1414190.0800000001</v>
      </c>
      <c r="N252" s="1229"/>
      <c r="O252" s="1229">
        <v>0</v>
      </c>
      <c r="P252" s="3032"/>
      <c r="Q252" s="3025"/>
    </row>
    <row r="253" spans="2:17" s="3012" customFormat="1" ht="15.75">
      <c r="B253" s="3060">
        <v>55073</v>
      </c>
      <c r="C253" s="3034"/>
      <c r="D253" s="3055" t="s">
        <v>961</v>
      </c>
      <c r="E253" s="3036"/>
      <c r="F253" s="3036"/>
      <c r="G253" s="1229">
        <v>0</v>
      </c>
      <c r="H253" s="1229"/>
      <c r="I253" s="1229">
        <v>0</v>
      </c>
      <c r="J253" s="1229"/>
      <c r="K253" s="1229">
        <v>0</v>
      </c>
      <c r="L253" s="1229"/>
      <c r="M253" s="1229">
        <f t="shared" si="14"/>
        <v>0</v>
      </c>
      <c r="N253" s="1229"/>
      <c r="O253" s="1229">
        <v>0</v>
      </c>
      <c r="P253" s="3032"/>
      <c r="Q253" s="3025"/>
    </row>
    <row r="254" spans="2:17" s="3012" customFormat="1" ht="15.75">
      <c r="B254" s="3060">
        <v>55074</v>
      </c>
      <c r="C254" s="3034"/>
      <c r="D254" s="3055" t="s">
        <v>1320</v>
      </c>
      <c r="E254" s="3036"/>
      <c r="F254" s="3036"/>
      <c r="G254" s="1229">
        <v>0</v>
      </c>
      <c r="H254" s="1229"/>
      <c r="I254" s="1229">
        <v>0</v>
      </c>
      <c r="J254" s="1229"/>
      <c r="K254" s="1229">
        <v>0</v>
      </c>
      <c r="L254" s="1229"/>
      <c r="M254" s="1229">
        <f t="shared" ref="M254" si="16">ROUND(SUM(O254)-SUM(K254),2)</f>
        <v>0</v>
      </c>
      <c r="N254" s="1229"/>
      <c r="O254" s="1229">
        <v>0</v>
      </c>
      <c r="P254" s="3032"/>
      <c r="Q254" s="3025"/>
    </row>
    <row r="255" spans="2:17" s="3012" customFormat="1" ht="15.75">
      <c r="B255" s="3020">
        <v>55251</v>
      </c>
      <c r="C255" s="3034"/>
      <c r="D255" s="3035" t="s">
        <v>781</v>
      </c>
      <c r="E255" s="3036"/>
      <c r="F255" s="3036"/>
      <c r="G255" s="1229">
        <v>11826808.189999999</v>
      </c>
      <c r="H255" s="1229"/>
      <c r="I255" s="1229">
        <v>12046041.310000001</v>
      </c>
      <c r="J255" s="1229"/>
      <c r="K255" s="1229">
        <v>12297199.1</v>
      </c>
      <c r="L255" s="1229"/>
      <c r="M255" s="1229">
        <f t="shared" si="14"/>
        <v>-436042.63</v>
      </c>
      <c r="N255" s="1229"/>
      <c r="O255" s="1229">
        <v>11861156.470000001</v>
      </c>
      <c r="P255" s="3032"/>
      <c r="Q255" s="3025"/>
    </row>
    <row r="256" spans="2:17" s="3012" customFormat="1" ht="15.75">
      <c r="B256" s="3020">
        <v>55252</v>
      </c>
      <c r="C256" s="3034"/>
      <c r="D256" s="3055" t="s">
        <v>782</v>
      </c>
      <c r="E256" s="3036"/>
      <c r="F256" s="3036"/>
      <c r="G256" s="1229">
        <v>31505372.940000001</v>
      </c>
      <c r="H256" s="1229"/>
      <c r="I256" s="1229">
        <v>17975061.23</v>
      </c>
      <c r="J256" s="1229"/>
      <c r="K256" s="1229">
        <v>20648070.559999999</v>
      </c>
      <c r="L256" s="1229"/>
      <c r="M256" s="1229">
        <f t="shared" si="14"/>
        <v>3414703.81</v>
      </c>
      <c r="N256" s="1229"/>
      <c r="O256" s="1229">
        <v>24062774.370000001</v>
      </c>
      <c r="P256" s="3032"/>
      <c r="Q256" s="3025"/>
    </row>
    <row r="257" spans="2:17" s="3012" customFormat="1" ht="15.75">
      <c r="B257" s="3020">
        <v>55300</v>
      </c>
      <c r="C257" s="3034"/>
      <c r="D257" s="3035" t="s">
        <v>783</v>
      </c>
      <c r="E257" s="3036"/>
      <c r="F257" s="3036"/>
      <c r="G257" s="1229">
        <v>15884268.49</v>
      </c>
      <c r="H257" s="1229"/>
      <c r="I257" s="1229">
        <v>19276421.809999999</v>
      </c>
      <c r="J257" s="1229"/>
      <c r="K257" s="1229">
        <v>9074851.2699999996</v>
      </c>
      <c r="L257" s="1229"/>
      <c r="M257" s="1229">
        <f t="shared" si="14"/>
        <v>527506.47</v>
      </c>
      <c r="N257" s="1229"/>
      <c r="O257" s="1229">
        <v>9602357.7400000002</v>
      </c>
      <c r="P257" s="3032"/>
      <c r="Q257" s="3025"/>
    </row>
    <row r="258" spans="2:17" s="3012" customFormat="1" ht="15.75">
      <c r="B258" s="3020">
        <v>55301</v>
      </c>
      <c r="C258" s="3034"/>
      <c r="D258" s="3035" t="s">
        <v>784</v>
      </c>
      <c r="E258" s="3036"/>
      <c r="F258" s="3036"/>
      <c r="G258" s="1229">
        <v>1363101.4</v>
      </c>
      <c r="H258" s="1229"/>
      <c r="I258" s="1229">
        <v>1472850.68</v>
      </c>
      <c r="J258" s="1229"/>
      <c r="K258" s="1229">
        <v>1604672.5</v>
      </c>
      <c r="L258" s="1229"/>
      <c r="M258" s="1229">
        <f t="shared" si="14"/>
        <v>109749.28</v>
      </c>
      <c r="N258" s="1229"/>
      <c r="O258" s="1229">
        <v>1714421.78</v>
      </c>
      <c r="P258" s="3032"/>
      <c r="Q258" s="3025"/>
    </row>
    <row r="259" spans="2:17" s="3012" customFormat="1" ht="15.75">
      <c r="B259" s="3020">
        <v>55350</v>
      </c>
      <c r="C259" s="3045"/>
      <c r="D259" s="3035" t="s">
        <v>785</v>
      </c>
      <c r="E259" s="3019"/>
      <c r="F259" s="3019"/>
      <c r="G259" s="1229">
        <v>33974055.380000003</v>
      </c>
      <c r="H259" s="1229"/>
      <c r="I259" s="1229">
        <v>35040896.93</v>
      </c>
      <c r="J259" s="1229"/>
      <c r="K259" s="1229">
        <v>36953626.600000001</v>
      </c>
      <c r="L259" s="1229"/>
      <c r="M259" s="1229">
        <f t="shared" si="14"/>
        <v>2405422.13</v>
      </c>
      <c r="N259" s="1229"/>
      <c r="O259" s="1229">
        <v>39359048.729999997</v>
      </c>
      <c r="P259" s="3032"/>
      <c r="Q259" s="3025"/>
    </row>
    <row r="260" spans="2:17" s="3012" customFormat="1" ht="16.5" thickBot="1">
      <c r="B260" s="3082"/>
      <c r="C260" s="3014"/>
      <c r="D260" s="3015" t="s">
        <v>786</v>
      </c>
      <c r="E260" s="3016"/>
      <c r="F260" s="3016"/>
      <c r="G260" s="1619">
        <f>ROUND(SUM(G217:G259),2)</f>
        <v>335579538.94</v>
      </c>
      <c r="H260" s="1500"/>
      <c r="I260" s="1619">
        <f>ROUND(SUM(I217:I259),2)</f>
        <v>333449938.91000003</v>
      </c>
      <c r="J260" s="1500"/>
      <c r="K260" s="1619">
        <f>ROUND(SUM(K217:K259),2)</f>
        <v>306106109.97000003</v>
      </c>
      <c r="L260" s="1500"/>
      <c r="M260" s="1231">
        <f>ROUND(SUM(M217:M259),2)</f>
        <v>29907068.489999998</v>
      </c>
      <c r="N260" s="1500"/>
      <c r="O260" s="1619">
        <f>ROUND(SUM(O217:O259),2)</f>
        <v>336013178.45999998</v>
      </c>
      <c r="P260" s="3032"/>
      <c r="Q260" s="3025"/>
    </row>
    <row r="261" spans="2:17" s="3012" customFormat="1" ht="16.5" thickTop="1">
      <c r="B261" s="3061"/>
      <c r="C261" s="3045"/>
      <c r="D261" s="3083"/>
      <c r="E261" s="3019"/>
      <c r="F261" s="3019"/>
      <c r="G261" s="1229"/>
      <c r="H261" s="3051"/>
      <c r="I261" s="1229"/>
      <c r="J261" s="3051"/>
      <c r="K261" s="1229"/>
      <c r="L261" s="3051"/>
      <c r="M261" s="1229"/>
      <c r="N261" s="3051"/>
      <c r="O261" s="1229"/>
      <c r="P261" s="3032"/>
      <c r="Q261" s="3025"/>
    </row>
    <row r="262" spans="2:17" s="3012" customFormat="1" ht="16.5" thickBot="1">
      <c r="B262" s="3061"/>
      <c r="C262" s="3045"/>
      <c r="D262" s="3083"/>
      <c r="E262" s="3019"/>
      <c r="F262" s="3019"/>
      <c r="G262" s="1229"/>
      <c r="H262" s="3051"/>
      <c r="I262" s="1229"/>
      <c r="J262" s="3051"/>
      <c r="K262" s="1229"/>
      <c r="L262" s="3051"/>
      <c r="M262" s="1229"/>
      <c r="N262" s="3051"/>
      <c r="O262" s="1229"/>
      <c r="P262" s="3032"/>
      <c r="Q262" s="3025"/>
    </row>
    <row r="263" spans="2:17" s="3012" customFormat="1" ht="16.5" thickBot="1">
      <c r="B263" s="3082"/>
      <c r="C263" s="3084"/>
      <c r="D263" s="3085" t="s">
        <v>787</v>
      </c>
      <c r="E263" s="3016"/>
      <c r="F263" s="3086"/>
      <c r="G263" s="1620">
        <f>ROUND(SUM(G11+G102+G190+G204+G209+G214+G260),2)</f>
        <v>4519715642.4499998</v>
      </c>
      <c r="H263" s="1502"/>
      <c r="I263" s="1620">
        <f>ROUND(SUM(I11+I102+I190+I204+I209+I214+I260),2)</f>
        <v>5245450059.3900003</v>
      </c>
      <c r="J263" s="1502"/>
      <c r="K263" s="1620">
        <f>ROUND(SUM(K11+K102+K190+K204+K209+K214+K260),2)</f>
        <v>4550279312.2399998</v>
      </c>
      <c r="L263" s="1502"/>
      <c r="M263" s="1501">
        <f>ROUND(SUM(M11+M102+M190+M204+M209+M214+M260),2)</f>
        <v>-624402067.32000005</v>
      </c>
      <c r="N263" s="1502"/>
      <c r="O263" s="1620">
        <f>ROUND(SUM(O11+O102+O190+O204+O209+O214+O260),2)</f>
        <v>3925877244.9200001</v>
      </c>
      <c r="P263" s="3032"/>
      <c r="Q263" s="3025"/>
    </row>
    <row r="264" spans="2:17" s="3012" customFormat="1" ht="15.75">
      <c r="B264" s="3061"/>
      <c r="C264" s="3045"/>
      <c r="D264" s="3083"/>
      <c r="E264" s="3019"/>
      <c r="F264" s="3019"/>
      <c r="G264" s="2583"/>
      <c r="H264" s="1518"/>
      <c r="I264" s="1230"/>
      <c r="J264" s="1518"/>
      <c r="K264" s="1230"/>
      <c r="L264" s="1518"/>
      <c r="M264" s="1233"/>
      <c r="N264" s="3045"/>
      <c r="O264" s="1233"/>
      <c r="P264" s="3032"/>
    </row>
    <row r="265" spans="2:17" s="3012" customFormat="1" ht="15.75">
      <c r="B265" s="3087" t="s">
        <v>865</v>
      </c>
      <c r="C265" s="2211" t="s">
        <v>1404</v>
      </c>
      <c r="D265" s="3088"/>
      <c r="E265" s="3089"/>
      <c r="F265" s="3089"/>
      <c r="G265" s="1230"/>
      <c r="H265" s="3090"/>
      <c r="I265" s="1234"/>
      <c r="J265" s="3091"/>
      <c r="K265" s="1234"/>
      <c r="L265" s="3092"/>
      <c r="M265" s="1234"/>
      <c r="N265" s="3092"/>
      <c r="O265" s="1234"/>
      <c r="P265" s="3032"/>
    </row>
    <row r="266" spans="2:17" s="3012" customFormat="1" ht="15.75">
      <c r="B266" s="3093"/>
      <c r="C266" s="820" t="s">
        <v>788</v>
      </c>
      <c r="D266" s="3094"/>
      <c r="E266" s="820"/>
      <c r="F266" s="820"/>
      <c r="G266" s="1234"/>
      <c r="H266" s="3095"/>
      <c r="I266" s="1234"/>
      <c r="J266" s="3092"/>
      <c r="K266" s="1234"/>
      <c r="L266" s="3092"/>
      <c r="M266" s="1234"/>
      <c r="N266" s="3092"/>
      <c r="O266" s="1234"/>
      <c r="P266" s="3032"/>
    </row>
    <row r="267" spans="2:17" s="3012" customFormat="1" ht="15.75">
      <c r="B267" s="3093"/>
      <c r="C267" s="820" t="s">
        <v>789</v>
      </c>
      <c r="D267" s="3096"/>
      <c r="E267" s="820"/>
      <c r="F267" s="820"/>
      <c r="G267" s="1234"/>
      <c r="H267" s="3095"/>
      <c r="I267" s="1235"/>
      <c r="J267" s="3097"/>
      <c r="K267" s="1235"/>
      <c r="L267" s="3097"/>
      <c r="M267" s="1235"/>
      <c r="N267" s="3097"/>
      <c r="O267" s="1235"/>
      <c r="P267" s="3032"/>
    </row>
    <row r="268" spans="2:17" s="3012" customFormat="1" ht="15.75">
      <c r="B268" s="3093"/>
      <c r="C268" s="820" t="s">
        <v>790</v>
      </c>
      <c r="D268" s="3096"/>
      <c r="E268" s="820"/>
      <c r="F268" s="820"/>
      <c r="G268" s="1235"/>
      <c r="H268" s="3095"/>
      <c r="I268" s="1235"/>
      <c r="J268" s="3097"/>
      <c r="K268" s="1235"/>
      <c r="L268" s="3097"/>
      <c r="M268" s="1235"/>
      <c r="N268" s="3097"/>
      <c r="O268" s="1235"/>
      <c r="P268" s="3032"/>
    </row>
    <row r="269" spans="2:17" s="3012" customFormat="1" ht="15.75">
      <c r="B269" s="3093"/>
      <c r="C269" s="820" t="s">
        <v>791</v>
      </c>
      <c r="D269" s="3096"/>
      <c r="E269" s="820"/>
      <c r="F269" s="820"/>
      <c r="G269" s="1235"/>
      <c r="H269" s="3095"/>
      <c r="I269" s="3098"/>
      <c r="J269" s="3099"/>
      <c r="K269" s="3098"/>
      <c r="L269" s="3099"/>
      <c r="M269" s="3098"/>
      <c r="N269" s="3099"/>
      <c r="O269" s="3098"/>
      <c r="P269" s="3032"/>
    </row>
    <row r="270" spans="2:17" s="3012" customFormat="1" ht="15.75">
      <c r="B270" s="3100"/>
      <c r="C270" s="820" t="s">
        <v>1270</v>
      </c>
      <c r="D270" s="3096"/>
      <c r="E270" s="820"/>
      <c r="F270" s="820"/>
      <c r="G270" s="3098"/>
      <c r="H270" s="3095"/>
      <c r="I270" s="3098"/>
      <c r="J270" s="3099"/>
      <c r="K270" s="3098"/>
      <c r="L270" s="3099"/>
      <c r="M270" s="3098"/>
      <c r="N270" s="3099"/>
      <c r="O270" s="3098"/>
      <c r="P270" s="3042"/>
    </row>
    <row r="271" spans="2:17" s="3012" customFormat="1" ht="15.75">
      <c r="B271" s="3100"/>
      <c r="C271" s="3095" t="s">
        <v>866</v>
      </c>
      <c r="D271" s="3101"/>
      <c r="E271" s="3095"/>
      <c r="F271" s="3095"/>
      <c r="G271" s="3098"/>
      <c r="H271" s="3095"/>
      <c r="I271" s="3098"/>
      <c r="J271" s="3099"/>
      <c r="K271" s="3098"/>
      <c r="L271" s="3099"/>
      <c r="M271" s="3098"/>
      <c r="N271" s="3099"/>
      <c r="O271" s="3098"/>
      <c r="P271" s="3032"/>
    </row>
    <row r="272" spans="2:17" s="3012" customFormat="1" ht="15.75">
      <c r="B272" s="3102" t="s">
        <v>114</v>
      </c>
      <c r="C272" s="3089" t="s">
        <v>1250</v>
      </c>
      <c r="D272" s="3088"/>
      <c r="E272" s="3095"/>
      <c r="F272" s="3095"/>
      <c r="G272" s="3098"/>
      <c r="H272" s="3095"/>
      <c r="I272" s="3103"/>
      <c r="J272" s="3104"/>
      <c r="K272" s="3103"/>
      <c r="L272" s="3105"/>
      <c r="M272" s="3106"/>
      <c r="N272" s="3107"/>
      <c r="O272" s="3103"/>
      <c r="P272" s="3019"/>
    </row>
    <row r="273" spans="2:16" s="3012" customFormat="1" ht="15.75">
      <c r="B273" s="3108"/>
      <c r="C273" s="3103" t="s">
        <v>1251</v>
      </c>
      <c r="D273" s="819"/>
      <c r="E273" s="3095"/>
      <c r="F273" s="3095"/>
      <c r="G273" s="3103"/>
      <c r="H273" s="3095"/>
      <c r="I273" s="3103"/>
      <c r="J273" s="3104"/>
      <c r="K273" s="3103"/>
      <c r="L273" s="3105"/>
      <c r="M273" s="3106"/>
      <c r="N273" s="3107"/>
      <c r="O273" s="3103"/>
      <c r="P273" s="3065"/>
    </row>
    <row r="274" spans="2:16" s="3012" customFormat="1" ht="15.75">
      <c r="B274" s="3109" t="s">
        <v>864</v>
      </c>
      <c r="C274" s="3100" t="s">
        <v>983</v>
      </c>
      <c r="D274" s="819"/>
      <c r="E274" s="3110"/>
      <c r="F274" s="1466"/>
      <c r="G274" s="3103"/>
      <c r="H274" s="822"/>
      <c r="I274" s="820"/>
      <c r="J274" s="823"/>
      <c r="K274" s="820"/>
      <c r="L274" s="822"/>
      <c r="M274" s="821"/>
      <c r="N274" s="824"/>
      <c r="O274" s="820"/>
      <c r="P274" s="3011"/>
    </row>
    <row r="275" spans="2:16" s="3012" customFormat="1" ht="15.75">
      <c r="B275" s="3111"/>
      <c r="C275" s="3112"/>
      <c r="D275" s="3013"/>
      <c r="E275" s="820"/>
      <c r="F275" s="820"/>
      <c r="G275" s="3103"/>
      <c r="H275" s="3013"/>
      <c r="I275" s="3013"/>
      <c r="J275" s="3013"/>
      <c r="K275" s="3013"/>
      <c r="L275" s="3013"/>
      <c r="M275" s="3013"/>
      <c r="N275" s="3013"/>
      <c r="O275" s="3013"/>
      <c r="P275" s="3095"/>
    </row>
    <row r="276" spans="2:16" s="3012" customFormat="1" ht="15.75">
      <c r="C276" s="3112"/>
      <c r="D276" s="3065"/>
      <c r="E276" s="3113"/>
      <c r="F276" s="3113"/>
      <c r="G276" s="3013"/>
      <c r="H276" s="3097"/>
      <c r="I276" s="3065"/>
      <c r="J276" s="3097"/>
      <c r="K276" s="3065"/>
      <c r="L276" s="3097"/>
      <c r="M276" s="3065"/>
      <c r="N276" s="3097"/>
      <c r="O276" s="3065"/>
      <c r="P276" s="3095"/>
    </row>
    <row r="277" spans="2:16" s="3012" customFormat="1" ht="15.75">
      <c r="C277" s="3112"/>
      <c r="D277" s="3065"/>
      <c r="E277" s="820"/>
      <c r="F277" s="820"/>
      <c r="G277" s="3114"/>
      <c r="H277" s="3114"/>
      <c r="I277" s="3114"/>
      <c r="J277" s="3114"/>
      <c r="K277" s="3114"/>
      <c r="L277" s="3114"/>
      <c r="M277" s="3114"/>
      <c r="N277" s="3114"/>
      <c r="O277" s="3114"/>
      <c r="P277" s="3095"/>
    </row>
    <row r="278" spans="2:16" s="3012" customFormat="1" ht="15.75">
      <c r="B278" s="3112"/>
      <c r="C278" s="3112"/>
      <c r="D278" s="3065"/>
      <c r="E278" s="820"/>
      <c r="F278" s="820"/>
      <c r="G278" s="3115"/>
      <c r="H278" s="3115"/>
      <c r="I278" s="3115"/>
      <c r="J278" s="3115"/>
      <c r="K278" s="3115"/>
      <c r="L278" s="3115"/>
      <c r="M278" s="3065"/>
      <c r="N278" s="3097"/>
      <c r="O278" s="3065"/>
      <c r="P278" s="3095"/>
    </row>
    <row r="279" spans="2:16" s="3012" customFormat="1" ht="15.75">
      <c r="B279" s="3112"/>
      <c r="C279" s="3112"/>
      <c r="D279" s="3065"/>
      <c r="E279" s="820"/>
      <c r="F279" s="820"/>
      <c r="G279" s="3115"/>
      <c r="H279" s="3115"/>
      <c r="I279" s="3115"/>
      <c r="J279" s="3115"/>
      <c r="K279" s="3115"/>
      <c r="L279" s="3115"/>
      <c r="M279" s="3065"/>
      <c r="N279" s="3097"/>
      <c r="O279" s="3065"/>
      <c r="P279" s="3095"/>
    </row>
    <row r="280" spans="2:16" s="3012" customFormat="1" ht="15.75">
      <c r="B280" s="3116"/>
      <c r="C280" s="3095"/>
      <c r="D280" s="3065"/>
      <c r="E280" s="820"/>
      <c r="F280" s="820"/>
      <c r="G280" s="3115"/>
      <c r="H280" s="3117"/>
      <c r="I280" s="3095"/>
      <c r="J280" s="3117"/>
      <c r="K280" s="3095"/>
      <c r="L280" s="3097"/>
      <c r="M280" s="3065"/>
      <c r="N280" s="3097"/>
      <c r="O280" s="3065"/>
      <c r="P280" s="3111"/>
    </row>
    <row r="281" spans="2:16" s="3012" customFormat="1" ht="15.75">
      <c r="B281" s="3118"/>
      <c r="C281" s="3095"/>
      <c r="D281" s="3065"/>
      <c r="E281" s="820"/>
      <c r="F281" s="820"/>
      <c r="G281" s="3095"/>
      <c r="H281" s="3117"/>
      <c r="I281" s="3095"/>
      <c r="J281" s="3117"/>
      <c r="K281" s="3095"/>
      <c r="L281" s="3097"/>
      <c r="M281" s="3065"/>
      <c r="N281" s="3097"/>
      <c r="O281" s="3065"/>
      <c r="P281" s="3111"/>
    </row>
    <row r="282" spans="2:16" s="3012" customFormat="1" ht="15.75">
      <c r="B282" s="3118"/>
      <c r="C282" s="3095"/>
      <c r="D282" s="3065"/>
      <c r="E282" s="820"/>
      <c r="F282" s="820"/>
      <c r="G282" s="3095"/>
      <c r="H282" s="3117"/>
      <c r="I282" s="3095"/>
      <c r="J282" s="3117"/>
      <c r="K282" s="3095"/>
      <c r="L282" s="3097"/>
      <c r="M282" s="819"/>
      <c r="N282" s="3092"/>
      <c r="O282" s="819"/>
      <c r="P282" s="3111"/>
    </row>
    <row r="283" spans="2:16" s="3012" customFormat="1" ht="15.75">
      <c r="B283" s="3111"/>
      <c r="C283" s="3095"/>
      <c r="D283" s="3065"/>
      <c r="E283" s="2583"/>
      <c r="F283" s="3117"/>
      <c r="G283" s="3095"/>
      <c r="H283" s="3117"/>
      <c r="I283" s="3095"/>
      <c r="J283" s="3117"/>
      <c r="K283" s="3095"/>
      <c r="L283" s="3092"/>
      <c r="M283" s="819"/>
      <c r="N283" s="3092"/>
      <c r="O283" s="819"/>
      <c r="P283" s="3111"/>
    </row>
    <row r="284" spans="2:16" s="3012" customFormat="1" ht="15.75">
      <c r="B284" s="3111"/>
      <c r="C284" s="3095"/>
      <c r="D284" s="3065"/>
      <c r="E284" s="2583"/>
      <c r="F284" s="3117"/>
      <c r="G284" s="3095"/>
      <c r="H284" s="3117"/>
      <c r="I284" s="3095"/>
      <c r="J284" s="3117"/>
      <c r="K284" s="3095"/>
      <c r="L284" s="3092"/>
      <c r="M284" s="3119"/>
      <c r="N284" s="3120"/>
      <c r="O284" s="3119"/>
      <c r="P284" s="3111"/>
    </row>
    <row r="285" spans="2:16" ht="15.75">
      <c r="B285" s="3111"/>
      <c r="C285" s="3095"/>
      <c r="D285" s="3065"/>
      <c r="E285" s="2583"/>
      <c r="F285" s="3117"/>
      <c r="G285" s="3095"/>
      <c r="H285" s="3117"/>
      <c r="I285" s="3095"/>
      <c r="J285" s="3117"/>
      <c r="K285" s="3095"/>
      <c r="L285" s="3092"/>
      <c r="M285" s="819"/>
      <c r="N285" s="3092"/>
      <c r="O285" s="819"/>
      <c r="P285" s="3111"/>
    </row>
    <row r="286" spans="2:16" ht="15.75">
      <c r="G286" s="3095"/>
    </row>
    <row r="291" spans="3:12" ht="15.75">
      <c r="C291" s="2981"/>
      <c r="D291" s="2980"/>
      <c r="E291" s="2981"/>
      <c r="F291" s="2982"/>
      <c r="H291" s="3124"/>
      <c r="I291" s="3125"/>
      <c r="J291" s="3124"/>
      <c r="K291" s="3125"/>
      <c r="L291" s="3124"/>
    </row>
    <row r="292" spans="3:12" ht="15.75">
      <c r="C292" s="2981"/>
      <c r="D292" s="2980"/>
      <c r="E292" s="2981"/>
      <c r="F292" s="2982"/>
      <c r="G292" s="3125"/>
      <c r="H292" s="3124"/>
      <c r="I292" s="3125"/>
      <c r="J292" s="3124"/>
      <c r="K292" s="3125"/>
      <c r="L292" s="3124"/>
    </row>
    <row r="293" spans="3:12" ht="15.75">
      <c r="C293" s="2981"/>
      <c r="D293" s="2980"/>
      <c r="E293" s="2981"/>
      <c r="F293" s="2982"/>
      <c r="G293" s="3125"/>
      <c r="H293" s="3124"/>
      <c r="I293" s="3125"/>
      <c r="J293" s="3124"/>
      <c r="K293" s="3125"/>
      <c r="L293" s="3124"/>
    </row>
    <row r="294" spans="3:12" ht="15.75">
      <c r="C294" s="2981"/>
      <c r="D294" s="2980"/>
      <c r="E294" s="2981"/>
      <c r="F294" s="2982"/>
      <c r="G294" s="3125"/>
      <c r="H294" s="3124"/>
      <c r="I294" s="3125"/>
      <c r="J294" s="3124"/>
      <c r="K294" s="3125"/>
      <c r="L294" s="3124"/>
    </row>
    <row r="295" spans="3:12" ht="15.75">
      <c r="C295" s="2981"/>
      <c r="D295" s="2980"/>
      <c r="E295" s="2981"/>
      <c r="F295" s="2982"/>
      <c r="G295" s="3125"/>
      <c r="H295" s="3124"/>
      <c r="I295" s="3125"/>
      <c r="J295" s="3124"/>
      <c r="K295" s="3125"/>
      <c r="L295" s="3124"/>
    </row>
    <row r="296" spans="3:12">
      <c r="G296" s="3125"/>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9 N209 L214 N214 L260 N260 L263 N263 L12:N13 L103:N104 L191:N192 L205:N206 L210:N211 L215:N216 L261:N26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zoomScaleNormal="60" workbookViewId="0"/>
  </sheetViews>
  <sheetFormatPr defaultColWidth="8.88671875" defaultRowHeight="12.75"/>
  <cols>
    <col min="1" max="1" width="54.88671875" style="489" customWidth="1"/>
    <col min="2" max="2" width="13.88671875" style="1600" customWidth="1"/>
    <col min="3" max="3" width="1.88671875" style="1600" customWidth="1"/>
    <col min="4" max="4" width="13.88671875" style="1600" customWidth="1"/>
    <col min="5" max="5" width="1.88671875" style="1599" customWidth="1"/>
    <col min="6" max="6" width="13.88671875" style="1600" customWidth="1"/>
    <col min="7" max="7" width="1.88671875" style="1599" customWidth="1"/>
    <col min="8" max="8" width="13.88671875" style="1600" customWidth="1"/>
    <col min="9" max="9" width="1.88671875" style="1599" customWidth="1"/>
    <col min="10" max="10" width="13.88671875" style="1600" customWidth="1"/>
    <col min="11" max="11" width="1.88671875" style="1600" customWidth="1"/>
    <col min="12" max="12" width="13.88671875" style="1600" customWidth="1"/>
    <col min="13" max="13" width="1.88671875" style="1599" customWidth="1"/>
    <col min="14" max="14" width="13.88671875" style="1600" customWidth="1"/>
    <col min="15" max="15" width="1.88671875" style="1599" customWidth="1"/>
    <col min="16" max="16" width="13.88671875" style="1600" customWidth="1"/>
    <col min="17" max="17" width="1.88671875" style="1599" customWidth="1"/>
    <col min="18" max="18" width="13.88671875" style="1600" customWidth="1"/>
    <col min="19" max="19" width="1.88671875" style="1599" customWidth="1"/>
    <col min="20" max="20" width="13.88671875" style="1600" customWidth="1"/>
    <col min="21" max="21" width="1.88671875" style="1599" customWidth="1"/>
    <col min="22" max="22" width="13.88671875" style="1600" customWidth="1"/>
    <col min="23" max="23" width="1.88671875" style="1599" customWidth="1"/>
    <col min="24" max="24" width="13.88671875" style="1600" customWidth="1"/>
    <col min="25" max="25" width="1.88671875" style="1599" customWidth="1"/>
    <col min="26" max="26" width="18.88671875" style="414" customWidth="1"/>
    <col min="27" max="27" width="1.5546875" style="489" customWidth="1"/>
    <col min="28" max="28" width="18.88671875" style="489" bestFit="1" customWidth="1"/>
    <col min="29" max="29" width="12.88671875" style="489" bestFit="1" customWidth="1"/>
    <col min="30" max="16384" width="8.88671875" style="489"/>
  </cols>
  <sheetData>
    <row r="1" spans="1:40" ht="15">
      <c r="A1" s="948" t="s">
        <v>979</v>
      </c>
      <c r="B1" s="1324"/>
      <c r="C1" s="1324"/>
      <c r="D1" s="1324"/>
      <c r="E1" s="1324"/>
      <c r="F1" s="1324"/>
      <c r="G1" s="1324"/>
      <c r="H1" s="1324"/>
      <c r="I1" s="1324"/>
      <c r="J1" s="1324"/>
      <c r="K1" s="1324"/>
      <c r="L1" s="1324"/>
      <c r="M1" s="1324"/>
      <c r="N1" s="1324"/>
      <c r="O1" s="1324"/>
      <c r="P1" s="1324"/>
      <c r="Q1" s="1324"/>
      <c r="R1" s="1324"/>
      <c r="S1" s="1324"/>
      <c r="T1" s="1324"/>
      <c r="U1" s="1324"/>
      <c r="V1" s="1324"/>
      <c r="W1" s="1324"/>
      <c r="X1" s="1324"/>
      <c r="Y1" s="1324"/>
      <c r="Z1" s="1324"/>
      <c r="AA1" s="1324"/>
      <c r="AB1" s="1324"/>
      <c r="AC1" s="1324"/>
      <c r="AD1" s="1324"/>
      <c r="AE1" s="1324"/>
      <c r="AF1" s="1324"/>
      <c r="AG1" s="1324"/>
    </row>
    <row r="2" spans="1:40" ht="15">
      <c r="A2" s="948"/>
      <c r="B2" s="1324"/>
      <c r="C2" s="1324"/>
      <c r="D2" s="1324"/>
      <c r="E2" s="1324"/>
      <c r="F2" s="1324"/>
      <c r="G2" s="1324"/>
      <c r="H2" s="1324"/>
      <c r="I2" s="1324"/>
      <c r="J2" s="1324"/>
      <c r="K2" s="1324"/>
      <c r="L2" s="1324"/>
      <c r="M2" s="1324"/>
      <c r="N2" s="1324"/>
      <c r="O2" s="1324"/>
      <c r="P2" s="1324"/>
      <c r="Q2" s="1324"/>
      <c r="R2" s="1324"/>
      <c r="S2" s="1324"/>
      <c r="T2" s="1324"/>
      <c r="U2" s="1324"/>
      <c r="V2" s="1324"/>
      <c r="W2" s="1324"/>
      <c r="X2" s="1324"/>
      <c r="Y2" s="1324"/>
      <c r="Z2" s="1324"/>
      <c r="AA2" s="1324"/>
      <c r="AB2" s="1324"/>
      <c r="AC2" s="1324"/>
      <c r="AD2" s="1324"/>
      <c r="AE2" s="1324"/>
      <c r="AF2" s="1324"/>
      <c r="AG2" s="1324"/>
    </row>
    <row r="3" spans="1:40" ht="24" customHeight="1">
      <c r="A3" s="826" t="s">
        <v>0</v>
      </c>
      <c r="B3" s="486"/>
      <c r="C3" s="486"/>
      <c r="D3" s="487"/>
      <c r="E3" s="488"/>
      <c r="F3" s="487"/>
      <c r="G3" s="488"/>
      <c r="H3" s="487"/>
      <c r="I3" s="488"/>
      <c r="K3" s="486"/>
      <c r="L3" s="413"/>
      <c r="M3" s="486"/>
      <c r="N3" s="487"/>
      <c r="O3" s="488"/>
      <c r="P3" s="487"/>
      <c r="Q3" s="488"/>
      <c r="R3" s="487"/>
      <c r="S3" s="488"/>
      <c r="T3" s="487"/>
      <c r="U3" s="488"/>
      <c r="V3" s="487"/>
      <c r="W3" s="488"/>
      <c r="X3" s="487"/>
      <c r="Y3" s="488"/>
      <c r="Z3" s="816" t="s">
        <v>572</v>
      </c>
      <c r="AA3" s="486"/>
      <c r="AC3" s="486"/>
      <c r="AE3" s="486"/>
    </row>
    <row r="4" spans="1:40" ht="16.5">
      <c r="A4" s="826" t="s">
        <v>1471</v>
      </c>
      <c r="B4" s="1325"/>
      <c r="C4" s="1325"/>
      <c r="D4" s="490"/>
      <c r="E4" s="488"/>
      <c r="F4" s="1325"/>
      <c r="G4" s="488"/>
      <c r="H4" s="1325"/>
      <c r="I4" s="488"/>
      <c r="J4" s="1325"/>
      <c r="K4" s="1325"/>
      <c r="L4" s="1325"/>
      <c r="M4" s="491"/>
      <c r="N4" s="1325"/>
      <c r="O4" s="488"/>
      <c r="P4" s="1325"/>
      <c r="Q4" s="488"/>
      <c r="R4" s="1325"/>
      <c r="S4" s="488"/>
      <c r="T4" s="1325"/>
      <c r="U4" s="488"/>
      <c r="V4" s="1325"/>
      <c r="W4" s="488"/>
      <c r="X4" s="1325"/>
      <c r="Y4" s="488"/>
      <c r="Z4" s="1326"/>
      <c r="AA4" s="492"/>
      <c r="AC4" s="486"/>
    </row>
    <row r="5" spans="1:40" ht="16.5">
      <c r="A5" s="827" t="s">
        <v>1186</v>
      </c>
      <c r="B5" s="1325"/>
      <c r="C5" s="1325"/>
      <c r="D5" s="1325"/>
      <c r="E5" s="488"/>
      <c r="F5" s="1325"/>
      <c r="G5" s="488"/>
      <c r="H5" s="1325"/>
      <c r="I5" s="488"/>
      <c r="J5" s="1325"/>
      <c r="K5" s="1325"/>
      <c r="L5" s="1325"/>
      <c r="M5" s="491"/>
      <c r="N5" s="1325"/>
      <c r="O5" s="488"/>
      <c r="P5" s="1325"/>
      <c r="Q5" s="488"/>
      <c r="R5" s="1325"/>
      <c r="S5" s="488"/>
      <c r="T5" s="1325"/>
      <c r="U5" s="488"/>
      <c r="V5" s="1325"/>
      <c r="W5" s="488"/>
      <c r="X5" s="1325"/>
      <c r="Y5" s="488"/>
      <c r="Z5" s="1326"/>
    </row>
    <row r="6" spans="1:40" ht="18" customHeight="1">
      <c r="A6" s="493" t="str">
        <f>'Cashflow Governmental'!A6</f>
        <v xml:space="preserve">FISCAL YEAR 2019-2020   </v>
      </c>
      <c r="B6" s="1325"/>
      <c r="C6" s="1325"/>
      <c r="D6" s="495"/>
      <c r="E6" s="488"/>
      <c r="F6" s="1325"/>
      <c r="G6" s="488"/>
      <c r="H6" s="1325"/>
      <c r="I6" s="488"/>
      <c r="J6" s="1325"/>
      <c r="K6" s="1325"/>
      <c r="L6" s="1325"/>
      <c r="M6" s="491"/>
      <c r="N6" s="1325"/>
      <c r="O6" s="488"/>
      <c r="P6" s="1325"/>
      <c r="Q6" s="488"/>
      <c r="R6" s="1325"/>
      <c r="S6" s="488"/>
      <c r="T6" s="1325"/>
      <c r="U6" s="488"/>
      <c r="V6" s="1325"/>
      <c r="W6" s="488"/>
      <c r="X6" s="1325"/>
      <c r="Y6" s="488"/>
      <c r="Z6" s="1326"/>
    </row>
    <row r="7" spans="1:40" ht="15" customHeight="1">
      <c r="A7" s="494"/>
      <c r="B7" s="1325"/>
      <c r="C7" s="1325"/>
      <c r="D7" s="1325"/>
      <c r="E7" s="488"/>
      <c r="F7" s="1325"/>
      <c r="G7" s="488"/>
      <c r="H7" s="1325"/>
      <c r="I7" s="488"/>
      <c r="J7" s="1325"/>
      <c r="K7" s="1325"/>
      <c r="L7" s="1325"/>
      <c r="M7" s="491"/>
      <c r="N7" s="1325"/>
      <c r="O7" s="488"/>
      <c r="P7" s="1325"/>
      <c r="Q7" s="488"/>
      <c r="R7" s="1327"/>
      <c r="S7" s="488"/>
      <c r="T7" s="1327"/>
      <c r="U7" s="488"/>
      <c r="V7" s="1327"/>
      <c r="W7" s="488"/>
      <c r="X7" s="1327"/>
      <c r="Y7" s="488"/>
      <c r="Z7" s="1326"/>
    </row>
    <row r="8" spans="1:40" ht="15.75">
      <c r="A8" s="485"/>
      <c r="B8" s="1325"/>
      <c r="C8" s="1325"/>
      <c r="D8" s="1325"/>
      <c r="E8" s="488"/>
      <c r="F8" s="1325"/>
      <c r="G8" s="488"/>
      <c r="H8" s="1325"/>
      <c r="I8" s="488"/>
      <c r="J8" s="1325"/>
      <c r="K8" s="1325"/>
      <c r="L8" s="1325"/>
      <c r="M8" s="488"/>
      <c r="N8" s="1325"/>
      <c r="O8" s="488"/>
      <c r="P8" s="1325"/>
      <c r="Q8" s="488"/>
      <c r="R8" s="1325"/>
      <c r="S8" s="488"/>
      <c r="T8" s="1325"/>
      <c r="U8" s="488"/>
      <c r="V8" s="1325"/>
      <c r="W8" s="488"/>
      <c r="X8" s="1325"/>
      <c r="Y8" s="488"/>
      <c r="Z8" s="496"/>
      <c r="AA8" s="497"/>
    </row>
    <row r="9" spans="1:40" ht="15" customHeight="1">
      <c r="A9" s="1328"/>
      <c r="B9" s="920" t="str">
        <f>'Cashflow Governmental'!C13</f>
        <v>2019</v>
      </c>
      <c r="C9" s="498"/>
      <c r="D9" s="498"/>
      <c r="E9" s="491"/>
      <c r="F9" s="498"/>
      <c r="G9" s="491"/>
      <c r="H9" s="498"/>
      <c r="I9" s="491"/>
      <c r="J9" s="498"/>
      <c r="K9" s="498"/>
      <c r="L9" s="499"/>
      <c r="M9" s="491"/>
      <c r="N9" s="499"/>
      <c r="O9" s="491"/>
      <c r="P9" s="499"/>
      <c r="Q9" s="491"/>
      <c r="R9" s="499"/>
      <c r="S9" s="491"/>
      <c r="T9" s="920" t="str">
        <f>'Cashflow Governmental'!U13</f>
        <v>2020</v>
      </c>
      <c r="U9" s="491"/>
      <c r="V9" s="499"/>
      <c r="W9" s="491"/>
      <c r="X9" s="499"/>
      <c r="Y9" s="491"/>
      <c r="Z9" s="500" t="s">
        <v>1601</v>
      </c>
      <c r="AA9" s="500"/>
    </row>
    <row r="10" spans="1:40" ht="15" customHeight="1">
      <c r="A10" s="1328"/>
      <c r="B10" s="501" t="s">
        <v>125</v>
      </c>
      <c r="C10" s="502"/>
      <c r="D10" s="499" t="s">
        <v>126</v>
      </c>
      <c r="E10" s="491"/>
      <c r="F10" s="499" t="s">
        <v>127</v>
      </c>
      <c r="G10" s="491"/>
      <c r="H10" s="499" t="s">
        <v>128</v>
      </c>
      <c r="I10" s="491"/>
      <c r="J10" s="499" t="s">
        <v>129</v>
      </c>
      <c r="K10" s="503"/>
      <c r="L10" s="499" t="s">
        <v>144</v>
      </c>
      <c r="M10" s="491"/>
      <c r="N10" s="499" t="s">
        <v>145</v>
      </c>
      <c r="O10" s="491"/>
      <c r="P10" s="499" t="s">
        <v>132</v>
      </c>
      <c r="Q10" s="491"/>
      <c r="R10" s="499" t="s">
        <v>133</v>
      </c>
      <c r="S10" s="491"/>
      <c r="T10" s="499" t="s">
        <v>134</v>
      </c>
      <c r="U10" s="491"/>
      <c r="V10" s="499" t="s">
        <v>135</v>
      </c>
      <c r="W10" s="491"/>
      <c r="X10" s="499" t="s">
        <v>186</v>
      </c>
      <c r="Y10" s="491"/>
      <c r="Z10" s="504" t="s">
        <v>1598</v>
      </c>
      <c r="AA10" s="504"/>
    </row>
    <row r="11" spans="1:40" ht="15" customHeight="1">
      <c r="A11" s="1328"/>
      <c r="B11" s="1613" t="s">
        <v>15</v>
      </c>
      <c r="C11" s="1329"/>
      <c r="D11" s="1613" t="s">
        <v>15</v>
      </c>
      <c r="E11" s="1330"/>
      <c r="F11" s="1613" t="s">
        <v>15</v>
      </c>
      <c r="G11" s="1330"/>
      <c r="H11" s="1613" t="s">
        <v>15</v>
      </c>
      <c r="I11" s="1330"/>
      <c r="J11" s="1613" t="s">
        <v>15</v>
      </c>
      <c r="K11" s="503"/>
      <c r="L11" s="1613" t="s">
        <v>15</v>
      </c>
      <c r="M11" s="1330"/>
      <c r="N11" s="1613" t="s">
        <v>15</v>
      </c>
      <c r="O11" s="1330"/>
      <c r="P11" s="1613" t="s">
        <v>15</v>
      </c>
      <c r="Q11" s="1330"/>
      <c r="R11" s="1613" t="s">
        <v>15</v>
      </c>
      <c r="S11" s="1330"/>
      <c r="T11" s="1613" t="s">
        <v>15</v>
      </c>
      <c r="U11" s="1330"/>
      <c r="V11" s="1613" t="s">
        <v>15</v>
      </c>
      <c r="W11" s="1330"/>
      <c r="X11" s="1613" t="s">
        <v>15</v>
      </c>
      <c r="Y11" s="1330"/>
      <c r="Z11" s="1612" t="s">
        <v>15</v>
      </c>
      <c r="AB11" s="505"/>
      <c r="AC11" s="505"/>
      <c r="AD11" s="505"/>
      <c r="AE11" s="505"/>
      <c r="AF11" s="505"/>
      <c r="AG11" s="505"/>
      <c r="AH11" s="505"/>
      <c r="AI11" s="505"/>
      <c r="AJ11" s="505"/>
      <c r="AK11" s="505"/>
      <c r="AL11" s="505"/>
      <c r="AM11" s="505"/>
      <c r="AN11" s="505"/>
    </row>
    <row r="12" spans="1:40" s="510" customFormat="1" ht="15" customHeight="1">
      <c r="A12" s="828" t="s">
        <v>474</v>
      </c>
      <c r="B12" s="519">
        <v>16298833</v>
      </c>
      <c r="C12" s="507"/>
      <c r="D12" s="506">
        <f>B44</f>
        <v>228595088</v>
      </c>
      <c r="E12" s="1331"/>
      <c r="F12" s="506">
        <f>D44</f>
        <v>67983418</v>
      </c>
      <c r="G12" s="1331"/>
      <c r="H12" s="506">
        <f>F44</f>
        <v>126634302</v>
      </c>
      <c r="I12" s="1331"/>
      <c r="J12" s="506">
        <f>H44</f>
        <v>99294725</v>
      </c>
      <c r="K12" s="508"/>
      <c r="L12" s="506">
        <f>J44</f>
        <v>98280268</v>
      </c>
      <c r="M12" s="509"/>
      <c r="N12" s="506">
        <f>L44</f>
        <v>131509913</v>
      </c>
      <c r="O12" s="506"/>
      <c r="P12" s="506">
        <f>N44</f>
        <v>78080573</v>
      </c>
      <c r="Q12" s="506"/>
      <c r="R12" s="506">
        <f>P44</f>
        <v>39558861</v>
      </c>
      <c r="S12" s="506"/>
      <c r="T12" s="506">
        <f>R44</f>
        <v>42917918</v>
      </c>
      <c r="U12" s="506"/>
      <c r="V12" s="506">
        <f>T44</f>
        <v>58304153</v>
      </c>
      <c r="W12" s="506"/>
      <c r="X12" s="506"/>
      <c r="Y12" s="506"/>
      <c r="Z12" s="506">
        <f>+B12</f>
        <v>16298833</v>
      </c>
    </row>
    <row r="13" spans="1:40" ht="15" customHeight="1">
      <c r="A13" s="1332"/>
      <c r="B13" s="1333"/>
      <c r="C13" s="1334"/>
      <c r="D13" s="1333"/>
      <c r="E13" s="1333"/>
      <c r="F13" s="1333"/>
      <c r="G13" s="1333"/>
      <c r="H13" s="1333"/>
      <c r="I13" s="1333"/>
      <c r="J13" s="1333"/>
      <c r="K13" s="503"/>
      <c r="L13" s="1333"/>
      <c r="M13" s="1333"/>
      <c r="N13" s="1333"/>
      <c r="O13" s="1333"/>
      <c r="P13" s="1333"/>
      <c r="Q13" s="1333"/>
      <c r="R13" s="1333"/>
      <c r="S13" s="1333"/>
      <c r="T13" s="1333"/>
      <c r="U13" s="1333"/>
      <c r="V13" s="1333"/>
      <c r="W13" s="1333"/>
      <c r="X13" s="1333"/>
      <c r="Y13" s="1333"/>
      <c r="Z13" s="1335"/>
    </row>
    <row r="14" spans="1:40" ht="15" customHeight="1">
      <c r="A14" s="511" t="s">
        <v>14</v>
      </c>
      <c r="B14" s="1333"/>
      <c r="C14" s="1334"/>
      <c r="D14" s="1333"/>
      <c r="E14" s="1333"/>
      <c r="F14" s="1333"/>
      <c r="G14" s="1333"/>
      <c r="H14" s="1333"/>
      <c r="I14" s="1333"/>
      <c r="J14" s="1333"/>
      <c r="K14" s="1333"/>
      <c r="L14" s="1333"/>
      <c r="M14" s="1333"/>
      <c r="N14" s="1333"/>
      <c r="O14" s="1333"/>
      <c r="P14" s="1333"/>
      <c r="Q14" s="1333"/>
      <c r="R14" s="1333"/>
      <c r="S14" s="1333"/>
      <c r="T14" s="1333"/>
      <c r="U14" s="1333"/>
      <c r="V14" s="1333"/>
      <c r="W14" s="1333"/>
      <c r="X14" s="1333"/>
      <c r="Y14" s="1333"/>
      <c r="Z14" s="1335"/>
      <c r="AC14" s="1910"/>
    </row>
    <row r="15" spans="1:40" ht="15" customHeight="1">
      <c r="A15" s="829" t="s">
        <v>1243</v>
      </c>
      <c r="B15" s="1341">
        <v>250000000</v>
      </c>
      <c r="C15" s="1342"/>
      <c r="D15" s="1341">
        <v>0</v>
      </c>
      <c r="E15" s="1341"/>
      <c r="F15" s="1341">
        <v>200000000</v>
      </c>
      <c r="G15" s="1336"/>
      <c r="H15" s="1341">
        <v>50000000</v>
      </c>
      <c r="I15" s="1336"/>
      <c r="J15" s="1910">
        <v>70000000</v>
      </c>
      <c r="K15" s="1336"/>
      <c r="L15" s="1341">
        <v>100000000</v>
      </c>
      <c r="M15" s="1333"/>
      <c r="N15" s="1341">
        <v>100000000</v>
      </c>
      <c r="O15" s="1336"/>
      <c r="P15" s="1341">
        <v>70000000</v>
      </c>
      <c r="Q15" s="1336"/>
      <c r="R15" s="1341">
        <v>170000000</v>
      </c>
      <c r="S15" s="1336"/>
      <c r="T15" s="1341">
        <v>100000000</v>
      </c>
      <c r="U15" s="1336"/>
      <c r="V15" s="1341">
        <v>50000000</v>
      </c>
      <c r="W15" s="1336"/>
      <c r="X15" s="1341"/>
      <c r="Y15" s="1336"/>
      <c r="Z15" s="1338">
        <f>SUM(B15:X15)</f>
        <v>1160000000</v>
      </c>
    </row>
    <row r="16" spans="1:40" s="510" customFormat="1" ht="22.5" customHeight="1">
      <c r="A16" s="511" t="s">
        <v>151</v>
      </c>
      <c r="B16" s="1611">
        <f>ROUND(SUM(B15:B15),0)</f>
        <v>250000000</v>
      </c>
      <c r="C16" s="512"/>
      <c r="D16" s="1611">
        <f>ROUND(SUM(D15:D15),0)</f>
        <v>0</v>
      </c>
      <c r="E16" s="513"/>
      <c r="F16" s="1611">
        <f>ROUND(SUM(F15:F15),0)</f>
        <v>200000000</v>
      </c>
      <c r="G16" s="513"/>
      <c r="H16" s="1611">
        <f>ROUND(SUM(H15:H15),0)</f>
        <v>50000000</v>
      </c>
      <c r="I16" s="513"/>
      <c r="J16" s="1611">
        <f>ROUND(SUM(J15:J15),0)</f>
        <v>70000000</v>
      </c>
      <c r="K16" s="515"/>
      <c r="L16" s="1611">
        <f>ROUND(SUM(L15:L15),0)</f>
        <v>100000000</v>
      </c>
      <c r="M16" s="509"/>
      <c r="N16" s="1611">
        <f>ROUND(SUM(N15:N15),0)</f>
        <v>100000000</v>
      </c>
      <c r="O16" s="513"/>
      <c r="P16" s="1611">
        <f>ROUND(SUM(P15:P15),0)</f>
        <v>70000000</v>
      </c>
      <c r="Q16" s="513"/>
      <c r="R16" s="1611">
        <f>ROUND(SUM(R15:R15),0)</f>
        <v>170000000</v>
      </c>
      <c r="S16" s="513"/>
      <c r="T16" s="1611">
        <f>ROUND(SUM(T15:T15),0)</f>
        <v>100000000</v>
      </c>
      <c r="U16" s="513"/>
      <c r="V16" s="1611">
        <f>ROUND(SUM(V15:V15),0)</f>
        <v>50000000</v>
      </c>
      <c r="W16" s="513"/>
      <c r="X16" s="1611">
        <f>ROUND(SUM(X15:X15),0)</f>
        <v>0</v>
      </c>
      <c r="Y16" s="513"/>
      <c r="Z16" s="1611">
        <f>ROUND(SUM(Z15:Z15),0)</f>
        <v>1160000000</v>
      </c>
      <c r="AB16" s="415"/>
    </row>
    <row r="17" spans="1:28" ht="15" customHeight="1">
      <c r="A17" s="1332"/>
      <c r="B17" s="1336"/>
      <c r="C17" s="1337"/>
      <c r="D17" s="1336"/>
      <c r="E17" s="1336"/>
      <c r="F17" s="1336"/>
      <c r="G17" s="1336"/>
      <c r="H17" s="1336"/>
      <c r="I17" s="1336"/>
      <c r="J17" s="1336"/>
      <c r="K17" s="1336"/>
      <c r="L17" s="1336"/>
      <c r="M17" s="1333"/>
      <c r="N17" s="1336"/>
      <c r="O17" s="1336"/>
      <c r="P17" s="1336"/>
      <c r="Q17" s="1336"/>
      <c r="R17" s="1336"/>
      <c r="S17" s="1336"/>
      <c r="T17" s="1336"/>
      <c r="U17" s="1336"/>
      <c r="V17" s="1336"/>
      <c r="W17" s="1336"/>
      <c r="X17" s="1336"/>
      <c r="Y17" s="1336"/>
      <c r="Z17" s="1340"/>
    </row>
    <row r="18" spans="1:28" ht="15" customHeight="1">
      <c r="A18" s="511" t="s">
        <v>23</v>
      </c>
      <c r="B18" s="1336"/>
      <c r="C18" s="1337"/>
      <c r="D18" s="1336"/>
      <c r="E18" s="1336"/>
      <c r="F18" s="1336"/>
      <c r="G18" s="1336"/>
      <c r="H18" s="1336"/>
      <c r="I18" s="1336"/>
      <c r="J18" s="1336"/>
      <c r="K18" s="1336"/>
      <c r="L18" s="1341"/>
      <c r="M18" s="1343"/>
      <c r="N18" s="1341"/>
      <c r="O18" s="1336"/>
      <c r="P18" s="1336"/>
      <c r="Q18" s="1336"/>
      <c r="R18" s="1336"/>
      <c r="S18" s="1336"/>
      <c r="T18" s="1336"/>
      <c r="U18" s="1336"/>
      <c r="V18" s="1336"/>
      <c r="W18" s="1336"/>
      <c r="X18" s="1336"/>
      <c r="Y18" s="1336"/>
      <c r="Z18" s="1338"/>
    </row>
    <row r="19" spans="1:28" ht="15" customHeight="1">
      <c r="A19" s="829" t="s">
        <v>1290</v>
      </c>
      <c r="B19" s="1336">
        <v>0</v>
      </c>
      <c r="C19" s="1337"/>
      <c r="D19" s="1336">
        <v>1460000</v>
      </c>
      <c r="E19" s="1336"/>
      <c r="F19" s="1336">
        <v>18258090</v>
      </c>
      <c r="G19" s="1336"/>
      <c r="H19" s="1336">
        <v>0</v>
      </c>
      <c r="I19" s="1336"/>
      <c r="J19" s="1336">
        <v>1574403</v>
      </c>
      <c r="K19" s="1336"/>
      <c r="L19" s="1341">
        <v>25407411</v>
      </c>
      <c r="M19" s="1343"/>
      <c r="N19" s="1341">
        <v>1811458</v>
      </c>
      <c r="O19" s="1336"/>
      <c r="P19" s="1336">
        <v>78558285</v>
      </c>
      <c r="Q19" s="1336"/>
      <c r="R19" s="1336">
        <v>1076930</v>
      </c>
      <c r="S19" s="1336"/>
      <c r="T19" s="1336">
        <v>37388423</v>
      </c>
      <c r="U19" s="1336"/>
      <c r="V19" s="1336">
        <v>0</v>
      </c>
      <c r="W19" s="1336"/>
      <c r="X19" s="1336"/>
      <c r="Y19" s="1336"/>
      <c r="Z19" s="1338">
        <f>ROUND(SUM(B19:X19),0)</f>
        <v>165535000</v>
      </c>
    </row>
    <row r="20" spans="1:28" ht="15" customHeight="1">
      <c r="A20" s="829" t="s">
        <v>1242</v>
      </c>
      <c r="B20" s="1341">
        <v>1906857</v>
      </c>
      <c r="C20" s="1342"/>
      <c r="D20" s="1341">
        <v>22713440</v>
      </c>
      <c r="E20" s="1341"/>
      <c r="F20" s="1341">
        <v>5454209</v>
      </c>
      <c r="G20" s="1341"/>
      <c r="H20" s="1341">
        <v>12367387</v>
      </c>
      <c r="I20" s="1341"/>
      <c r="J20" s="1341">
        <v>1905302</v>
      </c>
      <c r="K20" s="1341"/>
      <c r="L20" s="1341">
        <v>6084561</v>
      </c>
      <c r="M20" s="1343"/>
      <c r="N20" s="1341">
        <v>13381336</v>
      </c>
      <c r="O20" s="1341"/>
      <c r="P20" s="1341">
        <v>770343</v>
      </c>
      <c r="Q20" s="1341"/>
      <c r="R20" s="1341">
        <v>6031925</v>
      </c>
      <c r="S20" s="1341"/>
      <c r="T20" s="1341">
        <v>12338912</v>
      </c>
      <c r="U20" s="1341"/>
      <c r="V20" s="1341">
        <v>2274816</v>
      </c>
      <c r="W20" s="1341"/>
      <c r="X20" s="1341"/>
      <c r="Y20" s="1341"/>
      <c r="Z20" s="1338">
        <f>ROUND(SUM(B20:X20),0)</f>
        <v>85229088</v>
      </c>
    </row>
    <row r="21" spans="1:28" ht="15" customHeight="1">
      <c r="A21" s="829" t="s">
        <v>1321</v>
      </c>
      <c r="B21" s="1341">
        <v>0</v>
      </c>
      <c r="C21" s="1342"/>
      <c r="D21" s="1341">
        <v>0</v>
      </c>
      <c r="E21" s="1341"/>
      <c r="F21" s="1341">
        <v>518406</v>
      </c>
      <c r="G21" s="1341"/>
      <c r="H21" s="1341">
        <v>151311</v>
      </c>
      <c r="I21" s="1341"/>
      <c r="J21" s="1341">
        <v>161511</v>
      </c>
      <c r="K21" s="1341"/>
      <c r="L21" s="1341">
        <v>63445</v>
      </c>
      <c r="M21" s="1343"/>
      <c r="N21" s="1341">
        <v>192519</v>
      </c>
      <c r="O21" s="1341"/>
      <c r="P21" s="1341">
        <v>377686</v>
      </c>
      <c r="Q21" s="1341"/>
      <c r="R21" s="1341">
        <v>1548901</v>
      </c>
      <c r="S21" s="1341"/>
      <c r="T21" s="1341">
        <v>82082</v>
      </c>
      <c r="U21" s="1341"/>
      <c r="V21" s="1341">
        <v>-2734534</v>
      </c>
      <c r="W21" s="1341"/>
      <c r="X21" s="1341"/>
      <c r="Y21" s="1341"/>
      <c r="Z21" s="1338">
        <f t="shared" ref="Z21:Z35" si="0">ROUND(SUM(B21:X21),0)</f>
        <v>361327</v>
      </c>
      <c r="AB21" s="3564"/>
    </row>
    <row r="22" spans="1:28" ht="15" customHeight="1">
      <c r="A22" s="829" t="s">
        <v>1487</v>
      </c>
      <c r="B22" s="1341">
        <v>1376741</v>
      </c>
      <c r="C22" s="1342"/>
      <c r="D22" s="1341">
        <v>66909227</v>
      </c>
      <c r="E22" s="1341"/>
      <c r="F22" s="1341">
        <v>2205139</v>
      </c>
      <c r="G22" s="1341"/>
      <c r="H22" s="1341">
        <v>5379040</v>
      </c>
      <c r="I22" s="1341"/>
      <c r="J22" s="1341">
        <v>1033482</v>
      </c>
      <c r="K22" s="1341"/>
      <c r="L22" s="1341">
        <v>2853386</v>
      </c>
      <c r="M22" s="1343"/>
      <c r="N22" s="1341">
        <v>2108372</v>
      </c>
      <c r="O22" s="1341"/>
      <c r="P22" s="1341">
        <v>-26657805</v>
      </c>
      <c r="Q22" s="1341"/>
      <c r="R22" s="1341">
        <v>-25673320</v>
      </c>
      <c r="S22" s="1341"/>
      <c r="T22" s="1341">
        <v>4096771</v>
      </c>
      <c r="U22" s="1341"/>
      <c r="V22" s="1341">
        <v>1360776</v>
      </c>
      <c r="W22" s="1341"/>
      <c r="X22" s="1341"/>
      <c r="Y22" s="1341"/>
      <c r="Z22" s="1338">
        <f>ROUND(SUM(B22:X22),0)</f>
        <v>34991809</v>
      </c>
    </row>
    <row r="23" spans="1:28" ht="15" customHeight="1">
      <c r="A23" s="829" t="s">
        <v>1298</v>
      </c>
      <c r="B23" s="1341">
        <v>1174678</v>
      </c>
      <c r="C23" s="1342"/>
      <c r="D23" s="1341">
        <v>643317</v>
      </c>
      <c r="E23" s="1341"/>
      <c r="F23" s="1341">
        <v>1630974</v>
      </c>
      <c r="G23" s="1341"/>
      <c r="H23" s="1341">
        <v>1884546</v>
      </c>
      <c r="I23" s="1341"/>
      <c r="J23" s="1341">
        <v>638637</v>
      </c>
      <c r="K23" s="1341"/>
      <c r="L23" s="1341">
        <v>2373357</v>
      </c>
      <c r="M23" s="1343"/>
      <c r="N23" s="1341">
        <v>1747976</v>
      </c>
      <c r="O23" s="1341"/>
      <c r="P23" s="1341">
        <v>998069</v>
      </c>
      <c r="Q23" s="1341"/>
      <c r="R23" s="1341">
        <v>4022033</v>
      </c>
      <c r="S23" s="1341"/>
      <c r="T23" s="1341">
        <v>6403014</v>
      </c>
      <c r="U23" s="1341"/>
      <c r="V23" s="1341">
        <v>1339357</v>
      </c>
      <c r="W23" s="1341"/>
      <c r="X23" s="1341"/>
      <c r="Y23" s="1341"/>
      <c r="Z23" s="1338">
        <f t="shared" si="0"/>
        <v>22855958</v>
      </c>
    </row>
    <row r="24" spans="1:28" ht="15" customHeight="1">
      <c r="A24" s="829" t="s">
        <v>1343</v>
      </c>
      <c r="B24" s="1341">
        <v>0</v>
      </c>
      <c r="C24" s="1342"/>
      <c r="D24" s="1341">
        <v>0</v>
      </c>
      <c r="E24" s="1341"/>
      <c r="F24" s="1341">
        <v>0</v>
      </c>
      <c r="G24" s="1341"/>
      <c r="H24" s="1341">
        <v>0</v>
      </c>
      <c r="I24" s="1341"/>
      <c r="J24" s="1341">
        <v>0</v>
      </c>
      <c r="K24" s="1341"/>
      <c r="L24" s="1341">
        <v>0</v>
      </c>
      <c r="M24" s="1343"/>
      <c r="N24" s="1341">
        <v>0</v>
      </c>
      <c r="O24" s="1341"/>
      <c r="P24" s="1341">
        <v>0</v>
      </c>
      <c r="Q24" s="1341"/>
      <c r="R24" s="1341">
        <v>0</v>
      </c>
      <c r="S24" s="1341"/>
      <c r="T24" s="1341">
        <v>0</v>
      </c>
      <c r="U24" s="1341"/>
      <c r="V24" s="1341">
        <v>0</v>
      </c>
      <c r="W24" s="1341"/>
      <c r="X24" s="1341"/>
      <c r="Y24" s="1341"/>
      <c r="Z24" s="1338">
        <f>ROUND(SUM(B24:X24),0)</f>
        <v>0</v>
      </c>
    </row>
    <row r="25" spans="1:28" ht="15" customHeight="1">
      <c r="A25" s="829" t="s">
        <v>1241</v>
      </c>
      <c r="B25" s="1341">
        <v>0</v>
      </c>
      <c r="C25" s="1342"/>
      <c r="D25" s="1341">
        <v>298303</v>
      </c>
      <c r="E25" s="1341"/>
      <c r="F25" s="1341">
        <v>597554</v>
      </c>
      <c r="G25" s="1341"/>
      <c r="H25" s="1341">
        <v>604723</v>
      </c>
      <c r="I25" s="1341"/>
      <c r="J25" s="1341">
        <v>62372</v>
      </c>
      <c r="K25" s="1341"/>
      <c r="L25" s="1341">
        <v>3874</v>
      </c>
      <c r="M25" s="1343"/>
      <c r="N25" s="1341">
        <v>215679</v>
      </c>
      <c r="O25" s="1341"/>
      <c r="P25" s="1341">
        <v>0</v>
      </c>
      <c r="Q25" s="1341"/>
      <c r="R25" s="1341">
        <v>771428</v>
      </c>
      <c r="S25" s="1341"/>
      <c r="T25" s="1341">
        <v>844697</v>
      </c>
      <c r="U25" s="1341"/>
      <c r="V25" s="1341">
        <v>334961</v>
      </c>
      <c r="W25" s="1341"/>
      <c r="X25" s="1341"/>
      <c r="Y25" s="1341"/>
      <c r="Z25" s="1338">
        <f t="shared" si="0"/>
        <v>3733591</v>
      </c>
    </row>
    <row r="26" spans="1:28" ht="15" customHeight="1">
      <c r="A26" s="829" t="s">
        <v>1313</v>
      </c>
      <c r="B26" s="1341">
        <v>0</v>
      </c>
      <c r="C26" s="1342"/>
      <c r="D26" s="1341">
        <v>0</v>
      </c>
      <c r="E26" s="1341"/>
      <c r="F26" s="1341">
        <v>87959899</v>
      </c>
      <c r="G26" s="1341"/>
      <c r="H26" s="1341">
        <v>0</v>
      </c>
      <c r="I26" s="1341"/>
      <c r="J26" s="1341">
        <v>0</v>
      </c>
      <c r="K26" s="1341"/>
      <c r="L26" s="1341">
        <v>0</v>
      </c>
      <c r="M26" s="1343"/>
      <c r="N26" s="1341">
        <v>77053217</v>
      </c>
      <c r="O26" s="1341"/>
      <c r="P26" s="1341">
        <v>0</v>
      </c>
      <c r="Q26" s="1341"/>
      <c r="R26" s="1341">
        <v>106264892</v>
      </c>
      <c r="S26" s="1341"/>
      <c r="T26" s="1341">
        <v>0</v>
      </c>
      <c r="U26" s="1341"/>
      <c r="V26" s="1341">
        <v>0</v>
      </c>
      <c r="W26" s="1341"/>
      <c r="X26" s="1341"/>
      <c r="Y26" s="1341"/>
      <c r="Z26" s="1338">
        <f>ROUND(SUM(B26:X26),0)</f>
        <v>271278008</v>
      </c>
    </row>
    <row r="27" spans="1:28" ht="14.85" customHeight="1">
      <c r="A27" s="829" t="s">
        <v>1322</v>
      </c>
      <c r="B27" s="1341">
        <v>0</v>
      </c>
      <c r="C27" s="1342"/>
      <c r="D27" s="1341">
        <v>0</v>
      </c>
      <c r="E27" s="1341"/>
      <c r="F27" s="1341">
        <v>0</v>
      </c>
      <c r="G27" s="1341"/>
      <c r="H27" s="1341">
        <v>0</v>
      </c>
      <c r="I27" s="1341"/>
      <c r="J27" s="1341">
        <v>500000</v>
      </c>
      <c r="K27" s="1341"/>
      <c r="L27" s="1341">
        <v>4420</v>
      </c>
      <c r="M27" s="1343"/>
      <c r="N27" s="1341">
        <v>0</v>
      </c>
      <c r="O27" s="1341"/>
      <c r="P27" s="1341">
        <v>0</v>
      </c>
      <c r="Q27" s="1341"/>
      <c r="R27" s="1341">
        <v>2500000</v>
      </c>
      <c r="S27" s="1341"/>
      <c r="T27" s="1341">
        <v>1000000</v>
      </c>
      <c r="U27" s="1341"/>
      <c r="V27" s="1341">
        <v>200000</v>
      </c>
      <c r="W27" s="1341"/>
      <c r="X27" s="1341"/>
      <c r="Y27" s="1341"/>
      <c r="Z27" s="1338">
        <f t="shared" si="0"/>
        <v>4204420</v>
      </c>
    </row>
    <row r="28" spans="1:28" ht="15" customHeight="1">
      <c r="A28" s="829" t="s">
        <v>1318</v>
      </c>
      <c r="B28" s="1341">
        <v>1257796</v>
      </c>
      <c r="C28" s="1342"/>
      <c r="D28" s="1341">
        <v>1322544</v>
      </c>
      <c r="E28" s="1341"/>
      <c r="F28" s="1341">
        <v>884297</v>
      </c>
      <c r="G28" s="1341"/>
      <c r="H28" s="1341">
        <v>584993</v>
      </c>
      <c r="I28" s="1341"/>
      <c r="J28" s="1341">
        <v>1230887</v>
      </c>
      <c r="K28" s="1341"/>
      <c r="L28" s="1341">
        <v>68308</v>
      </c>
      <c r="M28" s="1343"/>
      <c r="N28" s="1341">
        <v>161331</v>
      </c>
      <c r="O28" s="1341"/>
      <c r="P28" s="1341">
        <v>1527320</v>
      </c>
      <c r="Q28" s="1341"/>
      <c r="R28" s="1341">
        <v>1252791</v>
      </c>
      <c r="S28" s="1341"/>
      <c r="T28" s="1341">
        <v>1520754</v>
      </c>
      <c r="U28" s="1341"/>
      <c r="V28" s="1341">
        <v>11552422</v>
      </c>
      <c r="W28" s="1341"/>
      <c r="X28" s="1341"/>
      <c r="Y28" s="1341"/>
      <c r="Z28" s="1338">
        <f t="shared" si="0"/>
        <v>21363443</v>
      </c>
    </row>
    <row r="29" spans="1:28" ht="15" customHeight="1">
      <c r="A29" s="829" t="s">
        <v>1240</v>
      </c>
      <c r="B29" s="1341">
        <v>0</v>
      </c>
      <c r="C29" s="1342"/>
      <c r="D29" s="1341">
        <v>0</v>
      </c>
      <c r="E29" s="1341"/>
      <c r="F29" s="1341">
        <v>0</v>
      </c>
      <c r="G29" s="1341"/>
      <c r="H29" s="1341">
        <v>0</v>
      </c>
      <c r="I29" s="1341"/>
      <c r="J29" s="1341">
        <v>0</v>
      </c>
      <c r="K29" s="1341"/>
      <c r="L29" s="1341">
        <v>0</v>
      </c>
      <c r="M29" s="1343"/>
      <c r="N29" s="1341">
        <v>0</v>
      </c>
      <c r="O29" s="1341"/>
      <c r="P29" s="1341">
        <v>0</v>
      </c>
      <c r="Q29" s="1341"/>
      <c r="R29" s="1341">
        <v>0</v>
      </c>
      <c r="S29" s="1341"/>
      <c r="T29" s="1341">
        <v>0</v>
      </c>
      <c r="U29" s="1341"/>
      <c r="V29" s="1341">
        <v>0</v>
      </c>
      <c r="W29" s="1341"/>
      <c r="X29" s="1341"/>
      <c r="Y29" s="1341"/>
      <c r="Z29" s="1338">
        <f t="shared" si="0"/>
        <v>0</v>
      </c>
    </row>
    <row r="30" spans="1:28" ht="15" customHeight="1">
      <c r="A30" s="829" t="s">
        <v>1273</v>
      </c>
      <c r="B30" s="1341">
        <v>32703</v>
      </c>
      <c r="C30" s="1342"/>
      <c r="D30" s="1341">
        <v>4101595</v>
      </c>
      <c r="E30" s="1341"/>
      <c r="F30" s="1341">
        <v>100755</v>
      </c>
      <c r="G30" s="1341"/>
      <c r="H30" s="1341">
        <v>8723</v>
      </c>
      <c r="I30" s="1341"/>
      <c r="J30" s="1341">
        <v>-953</v>
      </c>
      <c r="K30" s="1341"/>
      <c r="L30" s="1341">
        <v>0</v>
      </c>
      <c r="M30" s="1343"/>
      <c r="N30" s="1341">
        <v>-14140</v>
      </c>
      <c r="O30" s="1341"/>
      <c r="P30" s="1341">
        <v>0</v>
      </c>
      <c r="Q30" s="1341"/>
      <c r="R30" s="1341">
        <v>0</v>
      </c>
      <c r="S30" s="1341"/>
      <c r="T30" s="1341">
        <v>0</v>
      </c>
      <c r="U30" s="1341"/>
      <c r="V30" s="1341">
        <v>0</v>
      </c>
      <c r="W30" s="1341"/>
      <c r="X30" s="1341"/>
      <c r="Y30" s="1341"/>
      <c r="Z30" s="1338">
        <f>ROUND(SUM(B30:X30),0)</f>
        <v>4228683</v>
      </c>
      <c r="AA30" s="1776"/>
      <c r="AB30" s="1776"/>
    </row>
    <row r="31" spans="1:28" ht="15" customHeight="1">
      <c r="A31" s="829" t="s">
        <v>1239</v>
      </c>
      <c r="B31" s="1341">
        <v>10000</v>
      </c>
      <c r="C31" s="1342"/>
      <c r="D31" s="1341">
        <v>73340</v>
      </c>
      <c r="E31" s="1341"/>
      <c r="F31" s="1341">
        <v>4871</v>
      </c>
      <c r="G31" s="1341"/>
      <c r="H31" s="1341">
        <v>20000</v>
      </c>
      <c r="I31" s="1341"/>
      <c r="J31" s="1341">
        <v>173311</v>
      </c>
      <c r="K31" s="1341"/>
      <c r="L31" s="1341">
        <v>0</v>
      </c>
      <c r="M31" s="1343"/>
      <c r="N31" s="1341">
        <v>1277455</v>
      </c>
      <c r="O31" s="1341"/>
      <c r="P31" s="1341">
        <v>4191</v>
      </c>
      <c r="Q31" s="1341"/>
      <c r="R31" s="1341">
        <v>155951</v>
      </c>
      <c r="S31" s="1341"/>
      <c r="T31" s="1341">
        <v>521801</v>
      </c>
      <c r="U31" s="1341"/>
      <c r="V31" s="1341">
        <v>0</v>
      </c>
      <c r="W31" s="1341"/>
      <c r="X31" s="1341"/>
      <c r="Y31" s="1341"/>
      <c r="Z31" s="1338">
        <f t="shared" si="0"/>
        <v>2240920</v>
      </c>
    </row>
    <row r="32" spans="1:28" ht="15" customHeight="1">
      <c r="A32" s="829" t="s">
        <v>1238</v>
      </c>
      <c r="B32" s="1341">
        <v>15988205</v>
      </c>
      <c r="C32" s="1342"/>
      <c r="D32" s="1341">
        <v>29132267</v>
      </c>
      <c r="E32" s="1341"/>
      <c r="F32" s="1341">
        <v>20630646</v>
      </c>
      <c r="G32" s="1341"/>
      <c r="H32" s="1341">
        <v>42058113</v>
      </c>
      <c r="I32" s="1341"/>
      <c r="J32" s="1341">
        <v>49057748</v>
      </c>
      <c r="K32" s="1341"/>
      <c r="L32" s="1341">
        <v>25685242</v>
      </c>
      <c r="M32" s="1343"/>
      <c r="N32" s="1341">
        <v>42024591</v>
      </c>
      <c r="O32" s="1341"/>
      <c r="P32" s="1341">
        <v>40235996</v>
      </c>
      <c r="Q32" s="1341"/>
      <c r="R32" s="1341">
        <v>29622000</v>
      </c>
      <c r="S32" s="1341"/>
      <c r="T32" s="1341">
        <v>14314804</v>
      </c>
      <c r="U32" s="1341"/>
      <c r="V32" s="1341">
        <v>13298589</v>
      </c>
      <c r="W32" s="1341"/>
      <c r="X32" s="1341"/>
      <c r="Y32" s="1341"/>
      <c r="Z32" s="1338">
        <f t="shared" si="0"/>
        <v>322048201</v>
      </c>
    </row>
    <row r="33" spans="1:28" ht="15" customHeight="1">
      <c r="A33" s="829" t="s">
        <v>1237</v>
      </c>
      <c r="B33" s="1341">
        <v>5122897</v>
      </c>
      <c r="C33" s="1342"/>
      <c r="D33" s="1341">
        <v>8707914</v>
      </c>
      <c r="E33" s="1341"/>
      <c r="F33" s="1341">
        <v>1701</v>
      </c>
      <c r="G33" s="1341"/>
      <c r="H33" s="1341">
        <v>4492613</v>
      </c>
      <c r="I33" s="1341"/>
      <c r="J33" s="1341">
        <v>2754194</v>
      </c>
      <c r="K33" s="1341"/>
      <c r="L33" s="1341">
        <v>2500000</v>
      </c>
      <c r="M33" s="1343"/>
      <c r="N33" s="1341">
        <v>1104</v>
      </c>
      <c r="O33" s="1341"/>
      <c r="P33" s="1341">
        <v>3107627</v>
      </c>
      <c r="Q33" s="1341"/>
      <c r="R33" s="1341">
        <v>5602004</v>
      </c>
      <c r="S33" s="1341"/>
      <c r="T33" s="1341">
        <v>2610519</v>
      </c>
      <c r="U33" s="1341"/>
      <c r="V33" s="1341">
        <v>275</v>
      </c>
      <c r="W33" s="1341"/>
      <c r="X33" s="1341"/>
      <c r="Y33" s="1341"/>
      <c r="Z33" s="1338">
        <f t="shared" si="0"/>
        <v>34900848</v>
      </c>
    </row>
    <row r="34" spans="1:28" ht="15" customHeight="1">
      <c r="A34" s="829" t="s">
        <v>1281</v>
      </c>
      <c r="B34" s="1341">
        <v>0</v>
      </c>
      <c r="C34" s="1342"/>
      <c r="D34" s="1341">
        <v>0</v>
      </c>
      <c r="E34" s="1341"/>
      <c r="F34" s="1341">
        <v>0</v>
      </c>
      <c r="G34" s="1341"/>
      <c r="H34" s="1341">
        <v>-3626</v>
      </c>
      <c r="I34" s="1341"/>
      <c r="J34" s="1341">
        <v>0</v>
      </c>
      <c r="K34" s="1341"/>
      <c r="L34" s="1341">
        <v>0</v>
      </c>
      <c r="M34" s="1343"/>
      <c r="N34" s="1341">
        <v>0</v>
      </c>
      <c r="O34" s="1341"/>
      <c r="P34" s="1341">
        <v>0</v>
      </c>
      <c r="Q34" s="1341"/>
      <c r="R34" s="1341">
        <v>0</v>
      </c>
      <c r="S34" s="1341"/>
      <c r="T34" s="1341">
        <v>0</v>
      </c>
      <c r="U34" s="1341"/>
      <c r="V34" s="1341">
        <v>0</v>
      </c>
      <c r="W34" s="1341"/>
      <c r="X34" s="1341"/>
      <c r="Y34" s="1341"/>
      <c r="Z34" s="1338">
        <f>ROUND(SUM(B34:X34),0)</f>
        <v>-3626</v>
      </c>
    </row>
    <row r="35" spans="1:28" ht="15" customHeight="1">
      <c r="A35" s="829" t="s">
        <v>1254</v>
      </c>
      <c r="B35" s="1341">
        <v>10833868</v>
      </c>
      <c r="C35" s="1342"/>
      <c r="D35" s="1341">
        <v>25249723</v>
      </c>
      <c r="E35" s="1341"/>
      <c r="F35" s="1341">
        <v>3102575</v>
      </c>
      <c r="G35" s="1341"/>
      <c r="H35" s="1341">
        <v>9791754</v>
      </c>
      <c r="I35" s="1341"/>
      <c r="J35" s="1341">
        <v>11923563</v>
      </c>
      <c r="K35" s="1341"/>
      <c r="L35" s="1341">
        <v>1726351</v>
      </c>
      <c r="M35" s="1343"/>
      <c r="N35" s="1341">
        <v>13468442</v>
      </c>
      <c r="O35" s="1341"/>
      <c r="P35" s="1341">
        <v>9600000</v>
      </c>
      <c r="Q35" s="1341"/>
      <c r="R35" s="1341">
        <v>33465408</v>
      </c>
      <c r="S35" s="1341"/>
      <c r="T35" s="1341">
        <v>3491988</v>
      </c>
      <c r="U35" s="1341"/>
      <c r="V35" s="1341">
        <v>20206870</v>
      </c>
      <c r="W35" s="1341"/>
      <c r="X35" s="1341"/>
      <c r="Y35" s="1341"/>
      <c r="Z35" s="1338">
        <f t="shared" si="0"/>
        <v>142860542</v>
      </c>
    </row>
    <row r="36" spans="1:28" ht="22.5" customHeight="1">
      <c r="A36" s="516" t="s">
        <v>157</v>
      </c>
      <c r="B36" s="1610">
        <f>ROUND(SUM(B19:B35),0)</f>
        <v>37703745</v>
      </c>
      <c r="C36" s="1342"/>
      <c r="D36" s="1610">
        <f>ROUND(SUM(D19:D35),0)</f>
        <v>160611670</v>
      </c>
      <c r="E36" s="1341"/>
      <c r="F36" s="1610">
        <f>ROUND(SUM(F19:F35),0)</f>
        <v>141349116</v>
      </c>
      <c r="G36" s="1341"/>
      <c r="H36" s="1610">
        <f>ROUND(SUM(H19:H35),0)</f>
        <v>77339577</v>
      </c>
      <c r="I36" s="1341"/>
      <c r="J36" s="1610">
        <f>ROUND(SUM(J19:J35),0)</f>
        <v>71014457</v>
      </c>
      <c r="K36" s="1341"/>
      <c r="L36" s="1610">
        <f>ROUND(SUM(L19:L35),0)</f>
        <v>66770355</v>
      </c>
      <c r="M36" s="1343"/>
      <c r="N36" s="1610">
        <f>ROUND(SUM(N19:N35),0)</f>
        <v>153429340</v>
      </c>
      <c r="O36" s="1341"/>
      <c r="P36" s="1610">
        <f>ROUND(SUM(P19:P35),0)</f>
        <v>108521712</v>
      </c>
      <c r="Q36" s="1341"/>
      <c r="R36" s="1610">
        <f>ROUND(SUM(R19:R35),0)</f>
        <v>166640943</v>
      </c>
      <c r="S36" s="1341"/>
      <c r="T36" s="1610">
        <f>ROUND(SUM(T19:T35),0)</f>
        <v>84613765</v>
      </c>
      <c r="U36" s="1341"/>
      <c r="V36" s="1610">
        <f>ROUND(SUM(V19:V35),0)</f>
        <v>47833532</v>
      </c>
      <c r="W36" s="1341"/>
      <c r="X36" s="1610">
        <f>ROUND(SUM(X19:X35),0)</f>
        <v>0</v>
      </c>
      <c r="Y36" s="1341"/>
      <c r="Z36" s="1610">
        <f>ROUND(SUM(Z19:Z35),0)</f>
        <v>1115828212</v>
      </c>
    </row>
    <row r="37" spans="1:28" ht="15" customHeight="1">
      <c r="A37" s="516"/>
      <c r="B37" s="1341"/>
      <c r="C37" s="1342"/>
      <c r="D37" s="1341"/>
      <c r="E37" s="1341"/>
      <c r="F37" s="1347"/>
      <c r="G37" s="1341"/>
      <c r="H37" s="1347"/>
      <c r="I37" s="1341"/>
      <c r="J37" s="1341"/>
      <c r="K37" s="1341"/>
      <c r="L37" s="1346"/>
      <c r="M37" s="1343"/>
      <c r="N37" s="1346"/>
      <c r="O37" s="1341"/>
      <c r="P37" s="1345"/>
      <c r="Q37" s="1341"/>
      <c r="R37" s="1347"/>
      <c r="S37" s="1341"/>
      <c r="T37" s="1347"/>
      <c r="U37" s="1341"/>
      <c r="V37" s="1342"/>
      <c r="W37" s="1341"/>
      <c r="X37" s="1347"/>
      <c r="Y37" s="1341"/>
      <c r="Z37" s="1338"/>
    </row>
    <row r="38" spans="1:28" ht="15" customHeight="1">
      <c r="A38" s="517" t="s">
        <v>489</v>
      </c>
      <c r="B38" s="1347"/>
      <c r="C38" s="1348"/>
      <c r="D38" s="1347"/>
      <c r="E38" s="1341"/>
      <c r="F38" s="1346"/>
      <c r="G38" s="1341"/>
      <c r="H38" s="1347"/>
      <c r="I38" s="1341"/>
      <c r="J38" s="1347"/>
      <c r="K38" s="1341"/>
      <c r="L38" s="1347"/>
      <c r="M38" s="1343"/>
      <c r="N38" s="1347"/>
      <c r="O38" s="1341"/>
      <c r="P38" s="1345"/>
      <c r="Q38" s="1341"/>
      <c r="R38" s="1347"/>
      <c r="S38" s="1341"/>
      <c r="T38" s="1347"/>
      <c r="U38" s="1341"/>
      <c r="V38" s="1346"/>
      <c r="W38" s="1341"/>
      <c r="X38" s="1346"/>
      <c r="Y38" s="1341"/>
      <c r="Z38" s="1338"/>
    </row>
    <row r="39" spans="1:28" ht="15" customHeight="1">
      <c r="A39" s="829" t="s">
        <v>491</v>
      </c>
      <c r="B39" s="1341">
        <v>0</v>
      </c>
      <c r="C39" s="1348"/>
      <c r="D39" s="1341">
        <v>0</v>
      </c>
      <c r="E39" s="1341"/>
      <c r="F39" s="1341">
        <v>0</v>
      </c>
      <c r="G39" s="1341"/>
      <c r="H39" s="1341">
        <v>0</v>
      </c>
      <c r="I39" s="1341"/>
      <c r="J39" s="1341">
        <v>0</v>
      </c>
      <c r="K39" s="1341"/>
      <c r="L39" s="1341">
        <v>0</v>
      </c>
      <c r="M39" s="1343"/>
      <c r="N39" s="1341">
        <v>0</v>
      </c>
      <c r="O39" s="1341"/>
      <c r="P39" s="1341">
        <v>0</v>
      </c>
      <c r="Q39" s="1341"/>
      <c r="R39" s="1341">
        <v>0</v>
      </c>
      <c r="S39" s="1341"/>
      <c r="T39" s="1341">
        <v>0</v>
      </c>
      <c r="U39" s="1341"/>
      <c r="V39" s="1341">
        <v>0</v>
      </c>
      <c r="W39" s="1341"/>
      <c r="X39" s="1341"/>
      <c r="Y39" s="1341"/>
      <c r="Z39" s="1338">
        <v>0</v>
      </c>
    </row>
    <row r="40" spans="1:28" ht="22.5" customHeight="1">
      <c r="A40" s="511" t="s">
        <v>496</v>
      </c>
      <c r="B40" s="1609">
        <f>ROUND(SUM(B39:B39),0)</f>
        <v>0</v>
      </c>
      <c r="C40" s="1339"/>
      <c r="D40" s="1609">
        <f>ROUND(SUM(D39:D39),0)</f>
        <v>0</v>
      </c>
      <c r="E40" s="1336"/>
      <c r="F40" s="1609">
        <f>ROUND(SUM(F39:F39),0)</f>
        <v>0</v>
      </c>
      <c r="G40" s="1336"/>
      <c r="H40" s="1609">
        <f>ROUND(SUM(H39:H39),0)</f>
        <v>0</v>
      </c>
      <c r="I40" s="1336"/>
      <c r="J40" s="1609">
        <f>ROUND(SUM(J39:J39),0)</f>
        <v>0</v>
      </c>
      <c r="K40" s="1336"/>
      <c r="L40" s="1609">
        <f>ROUND(SUM(L39:L39),0)</f>
        <v>0</v>
      </c>
      <c r="M40" s="1333"/>
      <c r="N40" s="1609">
        <f>ROUND(SUM(N39:N39),0)</f>
        <v>0</v>
      </c>
      <c r="O40" s="1336"/>
      <c r="P40" s="1609">
        <f>ROUND(SUM(P39:P39),0)</f>
        <v>0</v>
      </c>
      <c r="Q40" s="1336"/>
      <c r="R40" s="1609">
        <f>ROUND(SUM(R39:R39),0)</f>
        <v>0</v>
      </c>
      <c r="S40" s="1336"/>
      <c r="T40" s="1609">
        <f>ROUND(SUM(T39:T39),0)</f>
        <v>0</v>
      </c>
      <c r="U40" s="1336"/>
      <c r="V40" s="1609">
        <f>ROUND(SUM(V39:V39),0)</f>
        <v>0</v>
      </c>
      <c r="W40" s="1336"/>
      <c r="X40" s="1609">
        <f>ROUND(SUM(X39:X39),0)</f>
        <v>0</v>
      </c>
      <c r="Y40" s="1336"/>
      <c r="Z40" s="1609">
        <f>ROUND(SUM(Z39:Z39),0)</f>
        <v>0</v>
      </c>
    </row>
    <row r="41" spans="1:28" ht="15" customHeight="1">
      <c r="B41" s="1607"/>
      <c r="C41" s="1339"/>
      <c r="D41" s="1607"/>
      <c r="E41" s="1336"/>
      <c r="F41" s="1606"/>
      <c r="G41" s="1336"/>
      <c r="H41" s="1607"/>
      <c r="I41" s="1336"/>
      <c r="J41" s="1607"/>
      <c r="K41" s="1336"/>
      <c r="L41" s="1607"/>
      <c r="M41" s="1333"/>
      <c r="N41" s="1607"/>
      <c r="O41" s="1336"/>
      <c r="P41" s="1608"/>
      <c r="Q41" s="1336"/>
      <c r="R41" s="1607"/>
      <c r="S41" s="1336"/>
      <c r="T41" s="1607"/>
      <c r="U41" s="1336"/>
      <c r="V41" s="1606"/>
      <c r="W41" s="1336"/>
      <c r="X41" s="1349"/>
      <c r="Y41" s="1336"/>
      <c r="Z41" s="1605"/>
    </row>
    <row r="42" spans="1:28" s="510" customFormat="1" ht="20.25" customHeight="1">
      <c r="A42" s="511" t="s">
        <v>497</v>
      </c>
      <c r="B42" s="1350">
        <f>ROUND(B36+B40,0)</f>
        <v>37703745</v>
      </c>
      <c r="C42" s="512"/>
      <c r="D42" s="1350">
        <f>ROUND(D36+D40,0)</f>
        <v>160611670</v>
      </c>
      <c r="E42" s="513"/>
      <c r="F42" s="1350">
        <f>ROUND(F36+F40,0)</f>
        <v>141349116</v>
      </c>
      <c r="G42" s="513"/>
      <c r="H42" s="1350">
        <f>ROUND(H36+H40,0)</f>
        <v>77339577</v>
      </c>
      <c r="I42" s="513"/>
      <c r="J42" s="1350">
        <f>ROUND(J36+J40,0)</f>
        <v>71014457</v>
      </c>
      <c r="K42" s="512"/>
      <c r="L42" s="1350">
        <f>ROUND(L36+L40,0)</f>
        <v>66770355</v>
      </c>
      <c r="M42" s="509"/>
      <c r="N42" s="1350">
        <f>ROUND(N36+N40,0)</f>
        <v>153429340</v>
      </c>
      <c r="O42" s="513"/>
      <c r="P42" s="1350">
        <f>ROUND(P36+P40,0)</f>
        <v>108521712</v>
      </c>
      <c r="Q42" s="513"/>
      <c r="R42" s="1350">
        <f>ROUND(R36+R40,0)</f>
        <v>166640943</v>
      </c>
      <c r="S42" s="513"/>
      <c r="T42" s="1350">
        <f>ROUND(T36+T40,0)</f>
        <v>84613765</v>
      </c>
      <c r="U42" s="513"/>
      <c r="V42" s="1350">
        <f>ROUND(V36+V40,0)</f>
        <v>47833532</v>
      </c>
      <c r="W42" s="513"/>
      <c r="X42" s="1350">
        <f>ROUND(X36+X40,0)</f>
        <v>0</v>
      </c>
      <c r="Y42" s="513"/>
      <c r="Z42" s="1350">
        <f>ROUND(Z36+Z40,0)</f>
        <v>1115828212</v>
      </c>
      <c r="AB42" s="415"/>
    </row>
    <row r="43" spans="1:28" ht="15" customHeight="1">
      <c r="A43" s="1332"/>
      <c r="B43" s="1334"/>
      <c r="C43" s="1334"/>
      <c r="D43" s="1334"/>
      <c r="E43" s="1333"/>
      <c r="F43" s="1334"/>
      <c r="G43" s="1333"/>
      <c r="H43" s="1334"/>
      <c r="I43" s="1333"/>
      <c r="J43" s="1604"/>
      <c r="K43" s="1334"/>
      <c r="L43" s="1604"/>
      <c r="M43" s="1333"/>
      <c r="N43" s="1604"/>
      <c r="O43" s="1333"/>
      <c r="P43" s="1604"/>
      <c r="Q43" s="1333"/>
      <c r="R43" s="1604"/>
      <c r="S43" s="1333"/>
      <c r="T43" s="1604"/>
      <c r="U43" s="1333"/>
      <c r="V43" s="1604"/>
      <c r="W43" s="1333"/>
      <c r="X43" s="1604"/>
      <c r="Y43" s="1333"/>
      <c r="Z43" s="1351"/>
    </row>
    <row r="44" spans="1:28" s="510" customFormat="1" ht="20.25" customHeight="1" thickBot="1">
      <c r="A44" s="517" t="s">
        <v>498</v>
      </c>
      <c r="B44" s="1603">
        <f>ROUND(B12+B16-B42,0)</f>
        <v>228595088</v>
      </c>
      <c r="C44" s="507"/>
      <c r="D44" s="1603">
        <f>ROUND(D12+D16-D42,0)</f>
        <v>67983418</v>
      </c>
      <c r="E44" s="1331"/>
      <c r="F44" s="1603">
        <f>ROUND(F12+F16-F42,0)</f>
        <v>126634302</v>
      </c>
      <c r="G44" s="1331"/>
      <c r="H44" s="1603">
        <f>ROUND(H12+H16-H42,0)</f>
        <v>99294725</v>
      </c>
      <c r="I44" s="1331"/>
      <c r="J44" s="1603">
        <f>ROUND(J12+J16-J42,0)</f>
        <v>98280268</v>
      </c>
      <c r="K44" s="507"/>
      <c r="L44" s="1603">
        <f>ROUND(L12+L16-L42,0)</f>
        <v>131509913</v>
      </c>
      <c r="M44" s="518"/>
      <c r="N44" s="1603">
        <f>ROUND(N12+N16-N42,0)</f>
        <v>78080573</v>
      </c>
      <c r="O44" s="519"/>
      <c r="P44" s="1603">
        <f>ROUND(P12+P16-P42,0)</f>
        <v>39558861</v>
      </c>
      <c r="Q44" s="519"/>
      <c r="R44" s="1603">
        <f>ROUND(R12+R16-R42,0)</f>
        <v>42917918</v>
      </c>
      <c r="S44" s="519"/>
      <c r="T44" s="1603">
        <f>ROUND(T12+T16-T42,0)</f>
        <v>58304153</v>
      </c>
      <c r="U44" s="519"/>
      <c r="V44" s="1603">
        <f>ROUND(V12+V16-V42,0)</f>
        <v>60470621</v>
      </c>
      <c r="W44" s="519"/>
      <c r="X44" s="1603">
        <f>ROUND(X12+X16-X42,0)</f>
        <v>0</v>
      </c>
      <c r="Y44" s="519"/>
      <c r="Z44" s="1603">
        <f>ROUND(Z12+Z16-Z42,0)</f>
        <v>60470621</v>
      </c>
    </row>
    <row r="45" spans="1:28" ht="15" customHeight="1" thickTop="1">
      <c r="A45" s="1332"/>
      <c r="B45" s="1329"/>
      <c r="C45" s="1329"/>
      <c r="D45" s="1329"/>
      <c r="E45" s="1352"/>
      <c r="F45" s="1329"/>
      <c r="G45" s="1352"/>
      <c r="H45" s="1329"/>
      <c r="I45" s="1352"/>
      <c r="J45" s="1329"/>
      <c r="K45" s="1329"/>
      <c r="L45" s="1329"/>
      <c r="M45" s="1352"/>
      <c r="N45" s="1329"/>
      <c r="O45" s="1352"/>
      <c r="P45" s="1329"/>
      <c r="Q45" s="1352"/>
      <c r="R45" s="1329"/>
      <c r="S45" s="1352"/>
      <c r="T45" s="1329"/>
      <c r="U45" s="1352"/>
      <c r="V45" s="1329"/>
      <c r="W45" s="1352"/>
      <c r="X45" s="1329"/>
      <c r="Y45" s="1352"/>
      <c r="Z45" s="1351"/>
    </row>
    <row r="46" spans="1:28" ht="20.100000000000001" customHeight="1">
      <c r="A46" s="520"/>
      <c r="B46" s="1353"/>
      <c r="C46" s="1353"/>
      <c r="D46" s="1353"/>
      <c r="E46" s="1330"/>
      <c r="F46" s="1353"/>
      <c r="G46" s="1330"/>
      <c r="H46" s="1353"/>
      <c r="I46" s="1330"/>
      <c r="J46" s="1353"/>
      <c r="K46" s="1353"/>
      <c r="L46" s="1353"/>
      <c r="M46" s="1330"/>
      <c r="N46" s="1353"/>
      <c r="O46" s="1330"/>
      <c r="P46" s="1353"/>
      <c r="Q46" s="1330"/>
      <c r="R46" s="1353"/>
      <c r="S46" s="1330"/>
      <c r="T46" s="1353"/>
      <c r="U46" s="1330"/>
      <c r="V46" s="1353"/>
      <c r="W46" s="1330"/>
      <c r="X46" s="1353"/>
      <c r="Y46" s="1330"/>
      <c r="Z46" s="1335"/>
    </row>
    <row r="48" spans="1:28" ht="18" customHeight="1">
      <c r="A48" s="1602" t="s">
        <v>1472</v>
      </c>
      <c r="B48" s="1325"/>
      <c r="C48" s="1325"/>
      <c r="D48" s="1325"/>
      <c r="E48" s="488"/>
      <c r="F48" s="1325"/>
      <c r="G48" s="488"/>
      <c r="H48" s="1325"/>
      <c r="I48" s="488"/>
      <c r="J48" s="1325"/>
      <c r="K48" s="1325"/>
      <c r="L48" s="1325"/>
      <c r="M48" s="1330"/>
      <c r="N48" s="1325"/>
      <c r="O48" s="488"/>
      <c r="P48" s="1325"/>
      <c r="Q48" s="488"/>
      <c r="R48" s="1325"/>
      <c r="S48" s="488"/>
      <c r="T48" s="1325"/>
      <c r="U48" s="488"/>
      <c r="V48" s="1325"/>
      <c r="W48" s="488"/>
      <c r="X48" s="1325"/>
      <c r="Y48" s="488"/>
      <c r="Z48" s="1326"/>
    </row>
    <row r="49" spans="1:26" ht="20.100000000000001" customHeight="1">
      <c r="A49" s="1601" t="s">
        <v>1332</v>
      </c>
      <c r="B49" s="1353"/>
      <c r="C49" s="1353"/>
      <c r="D49" s="1353"/>
      <c r="E49" s="1330"/>
      <c r="F49" s="1353"/>
      <c r="G49" s="1330"/>
      <c r="H49" s="1353"/>
      <c r="I49" s="1330"/>
      <c r="J49" s="1353"/>
      <c r="K49" s="1353"/>
      <c r="L49" s="1353"/>
      <c r="M49" s="1330"/>
      <c r="N49" s="1353"/>
      <c r="O49" s="1330"/>
      <c r="P49" s="1353"/>
      <c r="Q49" s="1330"/>
      <c r="R49" s="1353"/>
      <c r="S49" s="1330"/>
      <c r="T49" s="1353"/>
      <c r="U49" s="1330"/>
      <c r="V49" s="1353"/>
      <c r="W49" s="1330"/>
      <c r="X49" s="1353"/>
      <c r="Y49" s="1330"/>
      <c r="Z49" s="1335"/>
    </row>
    <row r="50" spans="1:26" ht="20.100000000000001" customHeight="1">
      <c r="A50" s="1601" t="s">
        <v>1489</v>
      </c>
      <c r="B50" s="1353"/>
      <c r="C50" s="1353"/>
      <c r="D50" s="1353"/>
      <c r="E50" s="1330"/>
      <c r="F50" s="1353"/>
      <c r="G50" s="1330"/>
      <c r="H50" s="1353"/>
      <c r="I50" s="1330"/>
      <c r="J50" s="1353"/>
      <c r="K50" s="1353"/>
      <c r="L50" s="1353"/>
      <c r="M50" s="1330"/>
      <c r="N50" s="1353"/>
      <c r="O50" s="1330"/>
      <c r="P50" s="1353"/>
      <c r="Q50" s="1330"/>
      <c r="R50" s="1353"/>
      <c r="S50" s="1330"/>
      <c r="T50" s="1353"/>
      <c r="U50" s="1330"/>
      <c r="V50" s="1353"/>
      <c r="W50" s="1330"/>
      <c r="X50" s="1353"/>
      <c r="Y50" s="1330"/>
      <c r="Z50" s="1335"/>
    </row>
    <row r="51" spans="1:26" ht="20.100000000000001" customHeight="1">
      <c r="A51" s="1626"/>
      <c r="B51" s="487"/>
      <c r="C51" s="487"/>
      <c r="D51" s="487"/>
      <c r="E51" s="488"/>
      <c r="F51" s="487"/>
      <c r="G51" s="488"/>
      <c r="H51" s="487"/>
      <c r="I51" s="488"/>
      <c r="J51" s="487"/>
      <c r="K51" s="487"/>
      <c r="L51" s="487"/>
      <c r="M51" s="488"/>
      <c r="N51" s="487"/>
      <c r="O51" s="488"/>
      <c r="P51" s="487"/>
      <c r="Q51" s="488"/>
      <c r="R51" s="487"/>
      <c r="S51" s="488"/>
      <c r="T51" s="487"/>
      <c r="U51" s="488"/>
      <c r="V51" s="487"/>
      <c r="W51" s="488"/>
      <c r="X51" s="487"/>
      <c r="Y51" s="488"/>
      <c r="Z51" s="416"/>
    </row>
    <row r="52" spans="1:26" ht="20.100000000000001" customHeight="1">
      <c r="A52" s="485"/>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416"/>
    </row>
    <row r="53" spans="1:26" ht="20.100000000000001" customHeight="1">
      <c r="A53" s="485"/>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416"/>
    </row>
    <row r="54" spans="1:26" ht="20.100000000000001" customHeight="1">
      <c r="A54" s="485"/>
      <c r="B54" s="487"/>
      <c r="C54" s="487"/>
      <c r="D54" s="487"/>
      <c r="E54" s="488"/>
      <c r="F54" s="487"/>
      <c r="G54" s="488"/>
      <c r="H54" s="487"/>
      <c r="I54" s="488"/>
      <c r="J54" s="487"/>
      <c r="K54" s="487"/>
      <c r="L54" s="487"/>
      <c r="M54" s="488"/>
      <c r="N54" s="487"/>
      <c r="O54" s="488"/>
      <c r="P54" s="487"/>
      <c r="Q54" s="488"/>
      <c r="R54" s="487"/>
      <c r="S54" s="488"/>
      <c r="T54" s="487"/>
      <c r="U54" s="488"/>
      <c r="V54" s="487"/>
      <c r="W54" s="488"/>
      <c r="X54" s="487"/>
      <c r="Y54" s="488"/>
      <c r="Z54" s="416"/>
    </row>
    <row r="55" spans="1:26" ht="20.100000000000001" customHeight="1">
      <c r="A55" s="485"/>
      <c r="B55" s="487"/>
      <c r="C55" s="487"/>
      <c r="D55" s="487"/>
      <c r="E55" s="488"/>
      <c r="F55" s="487"/>
      <c r="G55" s="488"/>
      <c r="H55" s="487"/>
      <c r="I55" s="488"/>
      <c r="J55" s="487"/>
      <c r="K55" s="487"/>
      <c r="L55" s="487"/>
      <c r="M55" s="488"/>
      <c r="N55" s="487"/>
      <c r="O55" s="488"/>
      <c r="P55" s="487"/>
      <c r="Q55" s="488"/>
      <c r="R55" s="487"/>
      <c r="S55" s="488"/>
      <c r="T55" s="487"/>
      <c r="U55" s="488"/>
      <c r="V55" s="487"/>
      <c r="W55" s="488"/>
      <c r="X55" s="487"/>
      <c r="Y55" s="488"/>
      <c r="Z55" s="416"/>
    </row>
    <row r="56" spans="1:26">
      <c r="A56" s="485"/>
      <c r="B56" s="487"/>
      <c r="C56" s="487"/>
      <c r="D56" s="487"/>
      <c r="E56" s="488"/>
      <c r="F56" s="487"/>
      <c r="G56" s="488"/>
      <c r="H56" s="487"/>
      <c r="I56" s="488"/>
      <c r="J56" s="487"/>
      <c r="K56" s="487"/>
      <c r="L56" s="487"/>
      <c r="M56" s="488"/>
      <c r="N56" s="487"/>
      <c r="O56" s="488"/>
      <c r="P56" s="487"/>
      <c r="Q56" s="488"/>
      <c r="R56" s="487"/>
      <c r="S56" s="488"/>
      <c r="T56" s="487"/>
      <c r="U56" s="488"/>
      <c r="V56" s="487"/>
      <c r="W56" s="488"/>
      <c r="X56" s="487"/>
      <c r="Y56" s="488"/>
      <c r="Z56" s="416"/>
    </row>
    <row r="57" spans="1:26">
      <c r="A57" s="485"/>
      <c r="B57" s="487"/>
      <c r="C57" s="487"/>
      <c r="D57" s="487"/>
      <c r="E57" s="488"/>
      <c r="F57" s="487"/>
      <c r="G57" s="488"/>
      <c r="H57" s="487"/>
      <c r="I57" s="488"/>
      <c r="J57" s="487"/>
      <c r="K57" s="487"/>
      <c r="L57" s="487"/>
      <c r="M57" s="488"/>
      <c r="N57" s="487"/>
      <c r="O57" s="488"/>
      <c r="P57" s="487"/>
      <c r="Q57" s="488"/>
      <c r="R57" s="487"/>
      <c r="S57" s="488"/>
      <c r="T57" s="487"/>
      <c r="U57" s="488"/>
      <c r="V57" s="487"/>
      <c r="W57" s="488"/>
      <c r="X57" s="487"/>
      <c r="Y57" s="488"/>
      <c r="Z57" s="416"/>
    </row>
    <row r="58" spans="1:26">
      <c r="A58" s="485"/>
      <c r="B58" s="487"/>
      <c r="C58" s="487"/>
      <c r="D58" s="487"/>
      <c r="E58" s="488"/>
      <c r="F58" s="487"/>
      <c r="G58" s="488"/>
      <c r="H58" s="487"/>
      <c r="I58" s="488"/>
      <c r="J58" s="487"/>
      <c r="K58" s="487"/>
      <c r="L58" s="487"/>
      <c r="M58" s="488"/>
      <c r="N58" s="487"/>
      <c r="O58" s="488"/>
      <c r="P58" s="487"/>
      <c r="Q58" s="488"/>
      <c r="R58" s="487"/>
      <c r="S58" s="488"/>
      <c r="T58" s="487"/>
      <c r="U58" s="488"/>
      <c r="V58" s="487"/>
      <c r="W58" s="488"/>
      <c r="X58" s="487"/>
      <c r="Y58" s="488"/>
      <c r="Z58" s="416"/>
    </row>
    <row r="59" spans="1:26">
      <c r="A59" s="485"/>
      <c r="B59" s="487"/>
      <c r="C59" s="487"/>
      <c r="D59" s="487"/>
      <c r="E59" s="488"/>
      <c r="F59" s="487"/>
      <c r="G59" s="488"/>
      <c r="H59" s="487"/>
      <c r="I59" s="488"/>
      <c r="J59" s="487"/>
      <c r="K59" s="487"/>
      <c r="L59" s="487"/>
      <c r="M59" s="488"/>
      <c r="N59" s="487"/>
      <c r="O59" s="488"/>
      <c r="P59" s="487"/>
      <c r="Q59" s="488"/>
      <c r="R59" s="487"/>
      <c r="S59" s="488"/>
      <c r="T59" s="487"/>
      <c r="U59" s="488"/>
      <c r="V59" s="487"/>
      <c r="W59" s="488"/>
      <c r="X59" s="487"/>
      <c r="Y59" s="488"/>
      <c r="Z59" s="416"/>
    </row>
    <row r="60" spans="1:26">
      <c r="A60" s="485"/>
      <c r="B60" s="487"/>
      <c r="C60" s="487"/>
      <c r="D60" s="487"/>
      <c r="E60" s="488"/>
      <c r="F60" s="487"/>
      <c r="G60" s="488"/>
      <c r="H60" s="487"/>
      <c r="I60" s="488"/>
      <c r="J60" s="487"/>
      <c r="K60" s="487"/>
      <c r="L60" s="487"/>
      <c r="M60" s="488"/>
      <c r="N60" s="487"/>
      <c r="O60" s="488"/>
      <c r="P60" s="487"/>
      <c r="Q60" s="488"/>
      <c r="R60" s="487"/>
      <c r="S60" s="488"/>
      <c r="T60" s="487"/>
      <c r="U60" s="488"/>
      <c r="V60" s="487"/>
      <c r="W60" s="488"/>
      <c r="X60" s="487"/>
      <c r="Y60" s="488"/>
      <c r="Z60" s="416"/>
    </row>
    <row r="61" spans="1:26">
      <c r="A61" s="485"/>
      <c r="B61" s="487"/>
      <c r="C61" s="487"/>
      <c r="D61" s="487"/>
      <c r="E61" s="488"/>
      <c r="F61" s="487"/>
      <c r="G61" s="488"/>
      <c r="H61" s="487"/>
      <c r="I61" s="488"/>
      <c r="J61" s="487"/>
      <c r="K61" s="487"/>
      <c r="L61" s="487"/>
      <c r="M61" s="488"/>
      <c r="N61" s="487"/>
      <c r="O61" s="488"/>
      <c r="P61" s="487"/>
      <c r="Q61" s="488"/>
      <c r="R61" s="487"/>
      <c r="S61" s="488"/>
      <c r="T61" s="487"/>
      <c r="U61" s="488"/>
      <c r="V61" s="487"/>
      <c r="W61" s="488"/>
      <c r="X61" s="487"/>
      <c r="Y61" s="488"/>
      <c r="Z61" s="416"/>
    </row>
    <row r="62" spans="1:26">
      <c r="A62" s="485"/>
      <c r="B62" s="487"/>
      <c r="C62" s="487"/>
      <c r="D62" s="487"/>
      <c r="E62" s="488"/>
      <c r="F62" s="487"/>
      <c r="G62" s="488"/>
      <c r="H62" s="487"/>
      <c r="I62" s="488"/>
      <c r="J62" s="487"/>
      <c r="K62" s="487"/>
      <c r="L62" s="487"/>
      <c r="M62" s="488"/>
      <c r="N62" s="487"/>
      <c r="O62" s="488"/>
      <c r="P62" s="487"/>
      <c r="Q62" s="488"/>
      <c r="R62" s="487"/>
      <c r="S62" s="488"/>
      <c r="T62" s="487"/>
      <c r="U62" s="488"/>
      <c r="V62" s="487"/>
      <c r="W62" s="488"/>
      <c r="X62" s="487"/>
      <c r="Y62" s="488"/>
      <c r="Z62" s="416"/>
    </row>
    <row r="63" spans="1:26">
      <c r="A63" s="485"/>
      <c r="B63" s="487"/>
      <c r="C63" s="487"/>
      <c r="D63" s="487"/>
      <c r="E63" s="488"/>
      <c r="F63" s="487"/>
      <c r="G63" s="488"/>
      <c r="H63" s="487"/>
      <c r="I63" s="488"/>
      <c r="J63" s="487"/>
      <c r="K63" s="487"/>
      <c r="L63" s="487"/>
      <c r="M63" s="488"/>
      <c r="N63" s="487"/>
      <c r="O63" s="488"/>
      <c r="P63" s="487"/>
      <c r="Q63" s="488"/>
      <c r="R63" s="487"/>
      <c r="S63" s="488"/>
      <c r="T63" s="487"/>
      <c r="U63" s="488"/>
      <c r="V63" s="487"/>
      <c r="W63" s="488"/>
      <c r="X63" s="487"/>
      <c r="Y63" s="488"/>
      <c r="Z63" s="416"/>
    </row>
    <row r="64" spans="1:26">
      <c r="A64" s="485"/>
      <c r="B64" s="487"/>
      <c r="C64" s="487"/>
      <c r="D64" s="487"/>
      <c r="E64" s="488"/>
      <c r="F64" s="487"/>
      <c r="G64" s="488"/>
      <c r="H64" s="487"/>
      <c r="I64" s="488"/>
      <c r="J64" s="487"/>
      <c r="K64" s="487"/>
      <c r="L64" s="487"/>
      <c r="M64" s="488"/>
      <c r="N64" s="487"/>
      <c r="O64" s="488"/>
      <c r="P64" s="487"/>
      <c r="Q64" s="488"/>
      <c r="R64" s="487"/>
      <c r="S64" s="488"/>
      <c r="T64" s="487"/>
      <c r="U64" s="488"/>
      <c r="V64" s="487"/>
      <c r="W64" s="488"/>
      <c r="X64" s="487"/>
      <c r="Y64" s="488"/>
      <c r="Z64" s="416"/>
    </row>
    <row r="65" spans="1:26">
      <c r="A65" s="485"/>
      <c r="B65" s="487"/>
      <c r="C65" s="487"/>
      <c r="D65" s="487"/>
      <c r="E65" s="488"/>
      <c r="F65" s="487"/>
      <c r="G65" s="488"/>
      <c r="H65" s="487"/>
      <c r="I65" s="488"/>
      <c r="J65" s="487"/>
      <c r="K65" s="487"/>
      <c r="L65" s="487"/>
      <c r="M65" s="488"/>
      <c r="N65" s="487"/>
      <c r="O65" s="488"/>
      <c r="P65" s="487"/>
      <c r="Q65" s="488"/>
      <c r="R65" s="487"/>
      <c r="S65" s="488"/>
      <c r="T65" s="487"/>
      <c r="U65" s="488"/>
      <c r="V65" s="487"/>
      <c r="W65" s="488"/>
      <c r="X65" s="487"/>
      <c r="Y65" s="488"/>
      <c r="Z65" s="416"/>
    </row>
    <row r="66" spans="1:26">
      <c r="A66" s="485"/>
      <c r="B66" s="487"/>
      <c r="C66" s="487"/>
      <c r="D66" s="487"/>
      <c r="E66" s="488"/>
      <c r="F66" s="487"/>
      <c r="G66" s="488"/>
      <c r="H66" s="487"/>
      <c r="I66" s="488"/>
      <c r="J66" s="487"/>
      <c r="K66" s="487"/>
      <c r="L66" s="487"/>
      <c r="M66" s="488"/>
      <c r="N66" s="487"/>
      <c r="O66" s="488"/>
      <c r="P66" s="487"/>
      <c r="Q66" s="488"/>
      <c r="R66" s="487"/>
      <c r="S66" s="488"/>
      <c r="T66" s="487"/>
      <c r="U66" s="488"/>
      <c r="V66" s="487"/>
      <c r="W66" s="488"/>
      <c r="X66" s="487"/>
      <c r="Y66" s="488"/>
      <c r="Z66" s="416"/>
    </row>
    <row r="67" spans="1:26">
      <c r="A67" s="485"/>
      <c r="B67" s="487"/>
      <c r="C67" s="487"/>
      <c r="D67" s="487"/>
      <c r="E67" s="488"/>
      <c r="F67" s="487"/>
      <c r="G67" s="488"/>
      <c r="H67" s="487"/>
      <c r="I67" s="488"/>
      <c r="J67" s="487"/>
      <c r="K67" s="487"/>
      <c r="L67" s="487"/>
      <c r="M67" s="488"/>
      <c r="N67" s="487"/>
      <c r="O67" s="488"/>
      <c r="P67" s="487"/>
      <c r="Q67" s="488"/>
      <c r="R67" s="487"/>
      <c r="S67" s="488"/>
      <c r="T67" s="487"/>
      <c r="U67" s="488"/>
      <c r="V67" s="487"/>
      <c r="W67" s="488"/>
      <c r="X67" s="487"/>
      <c r="Y67" s="488"/>
      <c r="Z67" s="416"/>
    </row>
    <row r="68" spans="1:26">
      <c r="A68" s="485"/>
      <c r="B68" s="487"/>
      <c r="C68" s="487"/>
      <c r="D68" s="487"/>
      <c r="E68" s="488"/>
      <c r="F68" s="487"/>
      <c r="G68" s="488"/>
      <c r="H68" s="487"/>
      <c r="I68" s="488"/>
      <c r="J68" s="487"/>
      <c r="K68" s="487"/>
      <c r="L68" s="487"/>
      <c r="M68" s="488"/>
      <c r="N68" s="487"/>
      <c r="O68" s="488"/>
      <c r="P68" s="487"/>
      <c r="Q68" s="488"/>
      <c r="R68" s="487"/>
      <c r="S68" s="488"/>
      <c r="T68" s="487"/>
      <c r="U68" s="488"/>
      <c r="V68" s="487"/>
      <c r="W68" s="488"/>
      <c r="X68" s="487"/>
      <c r="Y68" s="488"/>
      <c r="Z68" s="416"/>
    </row>
    <row r="69" spans="1:26">
      <c r="A69" s="485"/>
      <c r="B69" s="487"/>
      <c r="C69" s="487"/>
      <c r="D69" s="487"/>
      <c r="E69" s="488"/>
      <c r="F69" s="487"/>
      <c r="G69" s="488"/>
      <c r="H69" s="487"/>
      <c r="I69" s="488"/>
      <c r="J69" s="487"/>
      <c r="K69" s="487"/>
      <c r="L69" s="487"/>
      <c r="M69" s="488"/>
      <c r="N69" s="487"/>
      <c r="O69" s="488"/>
      <c r="P69" s="487"/>
      <c r="Q69" s="488"/>
      <c r="R69" s="487"/>
      <c r="S69" s="488"/>
      <c r="T69" s="487"/>
      <c r="U69" s="488"/>
      <c r="V69" s="487"/>
      <c r="W69" s="488"/>
      <c r="X69" s="487"/>
      <c r="Y69" s="488"/>
      <c r="Z69" s="416"/>
    </row>
    <row r="70" spans="1:26">
      <c r="A70" s="485"/>
      <c r="B70" s="487"/>
      <c r="C70" s="487"/>
      <c r="D70" s="487"/>
      <c r="E70" s="488"/>
      <c r="F70" s="487"/>
      <c r="G70" s="488"/>
      <c r="H70" s="487"/>
      <c r="I70" s="488"/>
      <c r="J70" s="487"/>
      <c r="K70" s="487"/>
      <c r="L70" s="487"/>
      <c r="M70" s="488"/>
      <c r="N70" s="487"/>
      <c r="O70" s="488"/>
      <c r="P70" s="487"/>
      <c r="Q70" s="488"/>
      <c r="R70" s="487"/>
      <c r="S70" s="488"/>
      <c r="T70" s="487"/>
      <c r="U70" s="488"/>
      <c r="V70" s="487"/>
      <c r="W70" s="488"/>
      <c r="X70" s="487"/>
      <c r="Y70" s="488"/>
      <c r="Z70" s="416"/>
    </row>
    <row r="71" spans="1:26">
      <c r="A71" s="485"/>
      <c r="B71" s="487"/>
      <c r="C71" s="487"/>
      <c r="D71" s="487"/>
      <c r="E71" s="488"/>
      <c r="F71" s="487"/>
      <c r="G71" s="488"/>
      <c r="H71" s="487"/>
      <c r="I71" s="488"/>
      <c r="J71" s="487"/>
      <c r="K71" s="487"/>
      <c r="L71" s="487"/>
      <c r="M71" s="488"/>
      <c r="N71" s="487"/>
      <c r="O71" s="488"/>
      <c r="P71" s="487"/>
      <c r="Q71" s="488"/>
      <c r="R71" s="487"/>
      <c r="S71" s="488"/>
      <c r="T71" s="487"/>
      <c r="U71" s="488"/>
      <c r="V71" s="487"/>
      <c r="W71" s="488"/>
      <c r="X71" s="487"/>
      <c r="Y71" s="488"/>
      <c r="Z71" s="416"/>
    </row>
    <row r="72" spans="1:26">
      <c r="A72" s="485"/>
      <c r="B72" s="487"/>
      <c r="C72" s="487"/>
      <c r="D72" s="487"/>
      <c r="E72" s="488"/>
      <c r="F72" s="487"/>
      <c r="G72" s="488"/>
      <c r="H72" s="487"/>
      <c r="I72" s="488"/>
      <c r="J72" s="487"/>
      <c r="K72" s="487"/>
      <c r="L72" s="487"/>
      <c r="M72" s="488"/>
      <c r="N72" s="487"/>
      <c r="O72" s="488"/>
      <c r="P72" s="487"/>
      <c r="Q72" s="488"/>
      <c r="R72" s="487"/>
      <c r="S72" s="488"/>
      <c r="T72" s="487"/>
      <c r="U72" s="488"/>
      <c r="V72" s="487"/>
      <c r="W72" s="488"/>
      <c r="X72" s="487"/>
      <c r="Y72" s="488"/>
      <c r="Z72" s="416"/>
    </row>
    <row r="73" spans="1:26">
      <c r="A73" s="485"/>
      <c r="B73" s="487"/>
      <c r="C73" s="487"/>
      <c r="D73" s="487"/>
      <c r="E73" s="488"/>
      <c r="F73" s="487"/>
      <c r="G73" s="488"/>
      <c r="H73" s="487"/>
      <c r="I73" s="488"/>
      <c r="J73" s="487"/>
      <c r="K73" s="487"/>
      <c r="L73" s="487"/>
      <c r="M73" s="488"/>
      <c r="N73" s="487"/>
      <c r="O73" s="488"/>
      <c r="P73" s="487"/>
      <c r="Q73" s="488"/>
      <c r="R73" s="487"/>
      <c r="S73" s="488"/>
      <c r="T73" s="487"/>
      <c r="U73" s="488"/>
      <c r="V73" s="487"/>
      <c r="W73" s="488"/>
      <c r="X73" s="487"/>
      <c r="Y73" s="488"/>
      <c r="Z73" s="416"/>
    </row>
    <row r="74" spans="1:26">
      <c r="A74" s="485"/>
      <c r="B74" s="487"/>
      <c r="C74" s="487"/>
      <c r="D74" s="487"/>
      <c r="E74" s="488"/>
      <c r="F74" s="487"/>
      <c r="G74" s="488"/>
      <c r="H74" s="487"/>
      <c r="I74" s="488"/>
      <c r="J74" s="487"/>
      <c r="K74" s="487"/>
      <c r="L74" s="487"/>
      <c r="M74" s="488"/>
      <c r="N74" s="487"/>
      <c r="O74" s="488"/>
      <c r="P74" s="487"/>
      <c r="Q74" s="488"/>
      <c r="R74" s="487"/>
      <c r="S74" s="488"/>
      <c r="T74" s="487"/>
      <c r="U74" s="488"/>
      <c r="V74" s="487"/>
      <c r="W74" s="488"/>
      <c r="X74" s="487"/>
      <c r="Y74" s="488"/>
      <c r="Z74" s="416"/>
    </row>
    <row r="75" spans="1:26">
      <c r="A75" s="485"/>
      <c r="B75" s="487"/>
      <c r="C75" s="487"/>
      <c r="D75" s="487"/>
      <c r="E75" s="488"/>
      <c r="F75" s="487"/>
      <c r="G75" s="488"/>
      <c r="H75" s="487"/>
      <c r="I75" s="488"/>
      <c r="J75" s="487"/>
      <c r="K75" s="487"/>
      <c r="L75" s="487"/>
      <c r="M75" s="488"/>
      <c r="N75" s="487"/>
      <c r="O75" s="488"/>
      <c r="P75" s="487"/>
      <c r="Q75" s="488"/>
      <c r="R75" s="487"/>
      <c r="S75" s="488"/>
      <c r="T75" s="487"/>
      <c r="U75" s="488"/>
      <c r="V75" s="487"/>
      <c r="W75" s="488"/>
      <c r="X75" s="487"/>
      <c r="Y75" s="488"/>
      <c r="Z75" s="416"/>
    </row>
    <row r="76" spans="1:26">
      <c r="A76" s="485"/>
      <c r="B76" s="487"/>
      <c r="C76" s="487"/>
      <c r="D76" s="487"/>
      <c r="E76" s="488"/>
      <c r="F76" s="487"/>
      <c r="G76" s="488"/>
      <c r="H76" s="487"/>
      <c r="I76" s="488"/>
      <c r="J76" s="487"/>
      <c r="K76" s="487"/>
      <c r="L76" s="487"/>
      <c r="M76" s="488"/>
      <c r="N76" s="487"/>
      <c r="O76" s="488"/>
      <c r="P76" s="487"/>
      <c r="Q76" s="488"/>
      <c r="R76" s="487"/>
      <c r="S76" s="488"/>
      <c r="T76" s="487"/>
      <c r="U76" s="488"/>
      <c r="V76" s="487"/>
      <c r="W76" s="488"/>
      <c r="X76" s="487"/>
      <c r="Y76" s="488"/>
      <c r="Z76" s="416"/>
    </row>
    <row r="77" spans="1:26">
      <c r="A77" s="485"/>
      <c r="B77" s="487"/>
      <c r="C77" s="487"/>
      <c r="D77" s="487"/>
      <c r="E77" s="488"/>
      <c r="F77" s="487"/>
      <c r="G77" s="488"/>
      <c r="H77" s="487"/>
      <c r="I77" s="488"/>
      <c r="J77" s="487"/>
      <c r="K77" s="487"/>
      <c r="L77" s="487"/>
      <c r="M77" s="488"/>
      <c r="N77" s="487"/>
      <c r="O77" s="488"/>
      <c r="P77" s="487"/>
      <c r="Q77" s="488"/>
      <c r="R77" s="487"/>
      <c r="S77" s="488"/>
      <c r="T77" s="487"/>
      <c r="U77" s="488"/>
      <c r="V77" s="487"/>
      <c r="W77" s="488"/>
      <c r="X77" s="487"/>
      <c r="Y77" s="488"/>
      <c r="Z77" s="416"/>
    </row>
    <row r="78" spans="1:26">
      <c r="A78" s="485"/>
      <c r="B78" s="487"/>
      <c r="C78" s="487"/>
      <c r="D78" s="487"/>
      <c r="E78" s="488"/>
      <c r="F78" s="487"/>
      <c r="G78" s="488"/>
      <c r="H78" s="487"/>
      <c r="I78" s="488"/>
      <c r="J78" s="487"/>
      <c r="K78" s="487"/>
      <c r="L78" s="487"/>
      <c r="M78" s="488"/>
      <c r="N78" s="487"/>
      <c r="O78" s="488"/>
      <c r="P78" s="487"/>
      <c r="Q78" s="488"/>
      <c r="R78" s="487"/>
      <c r="S78" s="488"/>
      <c r="T78" s="487"/>
      <c r="U78" s="488"/>
      <c r="V78" s="487"/>
      <c r="W78" s="488"/>
      <c r="X78" s="487"/>
      <c r="Y78" s="488"/>
      <c r="Z78" s="416"/>
    </row>
    <row r="79" spans="1:26">
      <c r="A79" s="485"/>
      <c r="B79" s="487"/>
      <c r="C79" s="487"/>
      <c r="D79" s="487"/>
      <c r="E79" s="488"/>
      <c r="F79" s="487"/>
      <c r="G79" s="488"/>
      <c r="H79" s="487"/>
      <c r="I79" s="488"/>
      <c r="J79" s="487"/>
      <c r="K79" s="487"/>
      <c r="L79" s="487"/>
      <c r="M79" s="488"/>
      <c r="N79" s="487"/>
      <c r="O79" s="488"/>
      <c r="P79" s="487"/>
      <c r="Q79" s="488"/>
      <c r="R79" s="487"/>
      <c r="S79" s="488"/>
      <c r="T79" s="487"/>
      <c r="U79" s="488"/>
      <c r="V79" s="487"/>
      <c r="W79" s="488"/>
      <c r="X79" s="487"/>
      <c r="Y79" s="488"/>
      <c r="Z79" s="416"/>
    </row>
    <row r="80" spans="1:26">
      <c r="A80" s="485"/>
      <c r="B80" s="487"/>
      <c r="C80" s="487"/>
      <c r="D80" s="487"/>
      <c r="E80" s="488"/>
      <c r="F80" s="487"/>
      <c r="G80" s="488"/>
      <c r="H80" s="487"/>
      <c r="I80" s="488"/>
      <c r="J80" s="487"/>
      <c r="K80" s="487"/>
      <c r="L80" s="487"/>
      <c r="M80" s="488"/>
      <c r="N80" s="487"/>
      <c r="O80" s="488"/>
      <c r="P80" s="487"/>
      <c r="Q80" s="488"/>
      <c r="R80" s="487"/>
      <c r="S80" s="488"/>
      <c r="T80" s="487"/>
      <c r="U80" s="488"/>
      <c r="V80" s="487"/>
      <c r="W80" s="488"/>
      <c r="X80" s="487"/>
      <c r="Y80" s="488"/>
      <c r="Z80" s="416"/>
    </row>
    <row r="81" spans="1:26">
      <c r="A81" s="485"/>
      <c r="B81" s="487"/>
      <c r="C81" s="487"/>
      <c r="D81" s="487"/>
      <c r="E81" s="488"/>
      <c r="F81" s="487"/>
      <c r="G81" s="488"/>
      <c r="H81" s="487"/>
      <c r="I81" s="488"/>
      <c r="J81" s="487"/>
      <c r="K81" s="487"/>
      <c r="L81" s="487"/>
      <c r="M81" s="488"/>
      <c r="N81" s="487"/>
      <c r="O81" s="488"/>
      <c r="P81" s="487"/>
      <c r="Q81" s="488"/>
      <c r="R81" s="487"/>
      <c r="S81" s="488"/>
      <c r="T81" s="487"/>
      <c r="U81" s="488"/>
      <c r="V81" s="487"/>
      <c r="W81" s="488"/>
      <c r="X81" s="487"/>
      <c r="Y81" s="488"/>
      <c r="Z81" s="416"/>
    </row>
    <row r="82" spans="1:26">
      <c r="A82" s="485"/>
      <c r="B82" s="487"/>
      <c r="C82" s="487"/>
      <c r="D82" s="487"/>
      <c r="E82" s="488"/>
      <c r="F82" s="487"/>
      <c r="G82" s="488"/>
      <c r="H82" s="487"/>
      <c r="I82" s="488"/>
      <c r="J82" s="487"/>
      <c r="K82" s="487"/>
      <c r="L82" s="487"/>
      <c r="M82" s="488"/>
      <c r="N82" s="487"/>
      <c r="O82" s="488"/>
      <c r="P82" s="487"/>
      <c r="Q82" s="488"/>
      <c r="R82" s="487"/>
      <c r="S82" s="488"/>
      <c r="T82" s="487"/>
      <c r="U82" s="488"/>
      <c r="V82" s="487"/>
      <c r="W82" s="488"/>
      <c r="X82" s="487"/>
      <c r="Y82" s="488"/>
      <c r="Z82" s="416"/>
    </row>
    <row r="83" spans="1:26">
      <c r="A83" s="485"/>
      <c r="B83" s="487"/>
      <c r="C83" s="487"/>
      <c r="D83" s="487"/>
      <c r="E83" s="488"/>
      <c r="F83" s="487"/>
      <c r="G83" s="488"/>
      <c r="H83" s="487"/>
      <c r="I83" s="488"/>
      <c r="J83" s="487"/>
      <c r="K83" s="487"/>
      <c r="L83" s="487"/>
      <c r="M83" s="488"/>
      <c r="N83" s="487"/>
      <c r="O83" s="488"/>
      <c r="P83" s="487"/>
      <c r="Q83" s="488"/>
      <c r="R83" s="487"/>
      <c r="S83" s="488"/>
      <c r="T83" s="487"/>
      <c r="U83" s="488"/>
      <c r="V83" s="487"/>
      <c r="W83" s="488"/>
      <c r="X83" s="487"/>
      <c r="Y83" s="488"/>
      <c r="Z83" s="416"/>
    </row>
    <row r="84" spans="1:26">
      <c r="A84" s="485"/>
      <c r="B84" s="487"/>
      <c r="C84" s="487"/>
      <c r="D84" s="487"/>
      <c r="E84" s="488"/>
      <c r="F84" s="487"/>
      <c r="G84" s="488"/>
      <c r="H84" s="487"/>
      <c r="I84" s="488"/>
      <c r="J84" s="487"/>
      <c r="K84" s="487"/>
      <c r="L84" s="487"/>
      <c r="M84" s="488"/>
      <c r="N84" s="487"/>
      <c r="O84" s="488"/>
      <c r="P84" s="487"/>
      <c r="Q84" s="488"/>
      <c r="R84" s="487"/>
      <c r="S84" s="488"/>
      <c r="T84" s="487"/>
      <c r="U84" s="488"/>
      <c r="V84" s="487"/>
      <c r="W84" s="488"/>
      <c r="X84" s="487"/>
      <c r="Y84" s="488"/>
      <c r="Z84" s="416"/>
    </row>
    <row r="85" spans="1:26">
      <c r="A85" s="485"/>
      <c r="B85" s="487"/>
      <c r="C85" s="487"/>
      <c r="D85" s="487"/>
      <c r="E85" s="488"/>
      <c r="F85" s="487"/>
      <c r="G85" s="488"/>
      <c r="H85" s="487"/>
      <c r="I85" s="488"/>
      <c r="J85" s="487"/>
      <c r="K85" s="487"/>
      <c r="L85" s="487"/>
      <c r="M85" s="488"/>
      <c r="N85" s="487"/>
      <c r="O85" s="488"/>
      <c r="P85" s="487"/>
      <c r="Q85" s="488"/>
      <c r="R85" s="487"/>
      <c r="S85" s="488"/>
      <c r="T85" s="487"/>
      <c r="U85" s="488"/>
      <c r="V85" s="487"/>
      <c r="W85" s="488"/>
      <c r="X85" s="487"/>
      <c r="Y85" s="488"/>
      <c r="Z85" s="416"/>
    </row>
    <row r="86" spans="1:26">
      <c r="A86" s="485"/>
      <c r="B86" s="487"/>
      <c r="C86" s="487"/>
      <c r="D86" s="487"/>
      <c r="E86" s="488"/>
      <c r="F86" s="487"/>
      <c r="G86" s="488"/>
      <c r="H86" s="487"/>
      <c r="I86" s="488"/>
      <c r="J86" s="487"/>
      <c r="K86" s="487"/>
      <c r="L86" s="487"/>
      <c r="M86" s="488"/>
      <c r="N86" s="487"/>
      <c r="O86" s="488"/>
      <c r="P86" s="487"/>
      <c r="Q86" s="488"/>
      <c r="R86" s="487"/>
      <c r="S86" s="488"/>
      <c r="T86" s="487"/>
      <c r="U86" s="488"/>
      <c r="V86" s="487"/>
      <c r="W86" s="488"/>
      <c r="X86" s="487"/>
      <c r="Y86" s="488"/>
      <c r="Z86" s="416"/>
    </row>
    <row r="87" spans="1:26">
      <c r="A87" s="485"/>
      <c r="B87" s="487"/>
      <c r="C87" s="487"/>
      <c r="D87" s="487"/>
      <c r="E87" s="488"/>
      <c r="F87" s="487"/>
      <c r="G87" s="488"/>
      <c r="H87" s="487"/>
      <c r="I87" s="488"/>
      <c r="J87" s="487"/>
      <c r="K87" s="487"/>
      <c r="L87" s="487"/>
      <c r="M87" s="488"/>
      <c r="N87" s="487"/>
      <c r="O87" s="488"/>
      <c r="P87" s="487"/>
      <c r="Q87" s="488"/>
      <c r="R87" s="487"/>
      <c r="S87" s="488"/>
      <c r="T87" s="487"/>
      <c r="U87" s="488"/>
      <c r="V87" s="487"/>
      <c r="W87" s="488"/>
      <c r="X87" s="487"/>
      <c r="Y87" s="488"/>
      <c r="Z87" s="416"/>
    </row>
    <row r="88" spans="1:26">
      <c r="A88" s="485"/>
      <c r="B88" s="487"/>
      <c r="C88" s="487"/>
      <c r="D88" s="487"/>
      <c r="E88" s="488"/>
      <c r="F88" s="487"/>
      <c r="G88" s="488"/>
      <c r="H88" s="487"/>
      <c r="I88" s="488"/>
      <c r="J88" s="487"/>
      <c r="K88" s="487"/>
      <c r="L88" s="487"/>
      <c r="M88" s="488"/>
      <c r="N88" s="487"/>
      <c r="O88" s="488"/>
      <c r="P88" s="487"/>
      <c r="Q88" s="488"/>
      <c r="R88" s="487"/>
      <c r="S88" s="488"/>
      <c r="T88" s="487"/>
      <c r="U88" s="488"/>
      <c r="V88" s="487"/>
      <c r="W88" s="488"/>
      <c r="X88" s="487"/>
      <c r="Y88" s="488"/>
      <c r="Z88" s="416"/>
    </row>
    <row r="89" spans="1:26">
      <c r="A89" s="485"/>
      <c r="B89" s="487"/>
      <c r="C89" s="487"/>
      <c r="D89" s="487"/>
      <c r="E89" s="488"/>
      <c r="F89" s="487"/>
      <c r="G89" s="488"/>
      <c r="H89" s="487"/>
      <c r="I89" s="488"/>
      <c r="J89" s="487"/>
      <c r="K89" s="487"/>
      <c r="L89" s="487"/>
      <c r="M89" s="488"/>
      <c r="N89" s="487"/>
      <c r="O89" s="488"/>
      <c r="P89" s="487"/>
      <c r="Q89" s="488"/>
      <c r="R89" s="487"/>
      <c r="S89" s="488"/>
      <c r="T89" s="487"/>
      <c r="U89" s="488"/>
      <c r="V89" s="487"/>
      <c r="W89" s="488"/>
      <c r="X89" s="487"/>
      <c r="Y89" s="488"/>
      <c r="Z89" s="416"/>
    </row>
    <row r="90" spans="1:26">
      <c r="A90" s="485"/>
      <c r="B90" s="487"/>
      <c r="C90" s="487"/>
      <c r="D90" s="487"/>
      <c r="E90" s="488"/>
      <c r="F90" s="487"/>
      <c r="G90" s="488"/>
      <c r="H90" s="487"/>
      <c r="I90" s="488"/>
      <c r="J90" s="487"/>
      <c r="K90" s="487"/>
      <c r="L90" s="487"/>
      <c r="M90" s="488"/>
      <c r="N90" s="487"/>
      <c r="O90" s="488"/>
      <c r="P90" s="487"/>
      <c r="Q90" s="488"/>
      <c r="R90" s="487"/>
      <c r="S90" s="488"/>
      <c r="T90" s="487"/>
      <c r="U90" s="488"/>
      <c r="V90" s="487"/>
      <c r="W90" s="488"/>
      <c r="X90" s="487"/>
      <c r="Y90" s="488"/>
      <c r="Z90" s="416"/>
    </row>
    <row r="91" spans="1:26">
      <c r="A91" s="485"/>
      <c r="B91" s="487"/>
      <c r="C91" s="487"/>
      <c r="D91" s="487"/>
      <c r="E91" s="488"/>
      <c r="F91" s="487"/>
      <c r="G91" s="488"/>
      <c r="H91" s="487"/>
      <c r="I91" s="488"/>
      <c r="J91" s="487"/>
      <c r="K91" s="487"/>
      <c r="L91" s="487"/>
      <c r="M91" s="488"/>
      <c r="N91" s="487"/>
      <c r="O91" s="488"/>
      <c r="P91" s="487"/>
      <c r="Q91" s="488"/>
      <c r="R91" s="487"/>
      <c r="S91" s="488"/>
      <c r="T91" s="487"/>
      <c r="U91" s="488"/>
      <c r="V91" s="487"/>
      <c r="W91" s="488"/>
      <c r="X91" s="487"/>
      <c r="Y91" s="488"/>
      <c r="Z91" s="416"/>
    </row>
    <row r="92" spans="1:26">
      <c r="A92" s="485"/>
      <c r="B92" s="487"/>
      <c r="C92" s="487"/>
      <c r="D92" s="487"/>
      <c r="E92" s="488"/>
      <c r="F92" s="487"/>
      <c r="G92" s="488"/>
      <c r="H92" s="487"/>
      <c r="I92" s="488"/>
      <c r="J92" s="487"/>
      <c r="K92" s="487"/>
      <c r="L92" s="487"/>
      <c r="M92" s="488"/>
      <c r="N92" s="487"/>
      <c r="O92" s="488"/>
      <c r="P92" s="487"/>
      <c r="Q92" s="488"/>
      <c r="R92" s="487"/>
      <c r="S92" s="488"/>
      <c r="T92" s="487"/>
      <c r="U92" s="488"/>
      <c r="V92" s="487"/>
      <c r="W92" s="488"/>
      <c r="X92" s="487"/>
      <c r="Y92" s="488"/>
      <c r="Z92" s="416"/>
    </row>
    <row r="93" spans="1:26">
      <c r="A93" s="485"/>
      <c r="B93" s="487"/>
      <c r="C93" s="487"/>
      <c r="D93" s="487"/>
      <c r="E93" s="488"/>
      <c r="F93" s="487"/>
      <c r="G93" s="488"/>
      <c r="H93" s="487"/>
      <c r="I93" s="488"/>
      <c r="J93" s="487"/>
      <c r="K93" s="487"/>
      <c r="L93" s="487"/>
      <c r="M93" s="488"/>
      <c r="N93" s="487"/>
      <c r="O93" s="488"/>
      <c r="P93" s="487"/>
      <c r="Q93" s="488"/>
      <c r="R93" s="487"/>
      <c r="S93" s="488"/>
      <c r="T93" s="487"/>
      <c r="U93" s="488"/>
      <c r="V93" s="487"/>
      <c r="W93" s="488"/>
      <c r="X93" s="487"/>
      <c r="Y93" s="488"/>
      <c r="Z93" s="416"/>
    </row>
  </sheetData>
  <sortState ref="A19:AN28">
    <sortCondition ref="A19:A28"/>
  </sortState>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6"/>
  <sheetViews>
    <sheetView showGridLines="0" zoomScale="70" zoomScaleNormal="70" workbookViewId="0"/>
  </sheetViews>
  <sheetFormatPr defaultColWidth="8.88671875" defaultRowHeight="17.25" customHeight="1"/>
  <cols>
    <col min="1" max="1" width="60.5546875" style="3764" customWidth="1"/>
    <col min="2" max="2" width="2.109375" style="3765" customWidth="1"/>
    <col min="3" max="3" width="21.44140625" style="3764" customWidth="1"/>
    <col min="4" max="4" width="22.109375" style="3764" customWidth="1"/>
    <col min="5" max="5" width="20.88671875" style="3764" customWidth="1"/>
    <col min="6" max="6" width="2" style="3764" customWidth="1"/>
    <col min="7" max="7" width="22.109375" style="3775" customWidth="1"/>
    <col min="8" max="8" width="22.5546875" style="3765" customWidth="1"/>
    <col min="9" max="9" width="21.109375" style="3765" customWidth="1"/>
    <col min="10" max="10" width="8.88671875" style="3765"/>
    <col min="11" max="11" width="17.109375" style="3766" bestFit="1" customWidth="1"/>
    <col min="12" max="12" width="11.5546875" style="3766" bestFit="1" customWidth="1"/>
    <col min="13" max="16384" width="8.88671875" style="3765"/>
  </cols>
  <sheetData>
    <row r="1" spans="1:12" ht="17.25" customHeight="1">
      <c r="A1" s="653" t="s">
        <v>979</v>
      </c>
    </row>
    <row r="3" spans="1:12" s="3768" customFormat="1" ht="25.35" customHeight="1">
      <c r="A3" s="3767" t="s">
        <v>0</v>
      </c>
      <c r="C3" s="3769"/>
      <c r="D3" s="3769"/>
      <c r="E3" s="3769"/>
      <c r="F3" s="3770"/>
      <c r="G3" s="3771"/>
      <c r="H3" s="3823" t="s">
        <v>15</v>
      </c>
      <c r="I3" s="3824" t="s">
        <v>1542</v>
      </c>
      <c r="K3" s="3871"/>
      <c r="L3" s="3871"/>
    </row>
    <row r="4" spans="1:12" ht="25.35" customHeight="1">
      <c r="A4" s="3772" t="s">
        <v>1571</v>
      </c>
      <c r="C4" s="3773"/>
      <c r="D4" s="3773"/>
      <c r="E4" s="3773"/>
      <c r="F4" s="3774"/>
    </row>
    <row r="5" spans="1:12" ht="21" customHeight="1">
      <c r="A5" s="3777" t="s">
        <v>1503</v>
      </c>
      <c r="C5" s="3773"/>
      <c r="D5" s="3773"/>
      <c r="E5" s="3773"/>
      <c r="F5" s="3774"/>
    </row>
    <row r="6" spans="1:12" ht="17.25" customHeight="1">
      <c r="A6" s="3778"/>
      <c r="C6" s="3773"/>
      <c r="D6" s="3773"/>
      <c r="E6" s="3773"/>
      <c r="F6" s="3774"/>
    </row>
    <row r="7" spans="1:12" ht="17.25" customHeight="1">
      <c r="A7" s="3793"/>
      <c r="B7" s="3794"/>
      <c r="C7" s="3959" t="s">
        <v>1599</v>
      </c>
      <c r="D7" s="3960"/>
      <c r="E7" s="3960"/>
      <c r="F7" s="3795"/>
      <c r="G7" s="3960" t="s">
        <v>1592</v>
      </c>
      <c r="H7" s="3960"/>
      <c r="I7" s="3960"/>
    </row>
    <row r="8" spans="1:12" ht="17.25" customHeight="1">
      <c r="A8" s="3793"/>
      <c r="B8" s="3794"/>
      <c r="C8" s="3793"/>
      <c r="D8" s="3793"/>
      <c r="E8" s="3793"/>
      <c r="F8" s="3793"/>
      <c r="G8" s="3796"/>
      <c r="H8" s="3794"/>
      <c r="I8" s="3794"/>
    </row>
    <row r="9" spans="1:12" ht="17.25" customHeight="1">
      <c r="A9" s="3797"/>
      <c r="B9" s="3794"/>
      <c r="C9" s="3797" t="s">
        <v>1504</v>
      </c>
      <c r="D9" s="3797" t="s">
        <v>1505</v>
      </c>
      <c r="E9" s="3797" t="s">
        <v>1606</v>
      </c>
      <c r="F9" s="3797"/>
      <c r="G9" s="3797" t="s">
        <v>1504</v>
      </c>
      <c r="H9" s="3797" t="s">
        <v>1505</v>
      </c>
      <c r="I9" s="3798" t="s">
        <v>1506</v>
      </c>
    </row>
    <row r="10" spans="1:12" s="3779" customFormat="1" ht="17.25" customHeight="1">
      <c r="A10" s="3799"/>
      <c r="B10" s="3800"/>
      <c r="C10" s="3801"/>
      <c r="D10" s="3801"/>
      <c r="E10" s="3801"/>
      <c r="F10" s="3801"/>
      <c r="G10" s="3802"/>
      <c r="H10" s="3802"/>
      <c r="I10" s="3802"/>
      <c r="J10" s="3780"/>
      <c r="K10" s="3872"/>
      <c r="L10" s="3872"/>
    </row>
    <row r="11" spans="1:12" s="3781" customFormat="1" ht="17.25" customHeight="1">
      <c r="A11" s="3803" t="s">
        <v>1507</v>
      </c>
      <c r="B11" s="3804"/>
      <c r="C11" s="3805">
        <v>0</v>
      </c>
      <c r="D11" s="3805">
        <v>206631733</v>
      </c>
      <c r="E11" s="3806">
        <f t="shared" ref="E11:E50" si="0">(C11+D11)</f>
        <v>206631733</v>
      </c>
      <c r="F11" s="3806"/>
      <c r="G11" s="3805">
        <v>0</v>
      </c>
      <c r="H11" s="3805">
        <v>260285132</v>
      </c>
      <c r="I11" s="3806">
        <f t="shared" ref="I11:I50" si="1">+G11+H11</f>
        <v>260285132</v>
      </c>
      <c r="J11" s="3782"/>
      <c r="K11" s="3873"/>
      <c r="L11" s="3873"/>
    </row>
    <row r="12" spans="1:12" s="3781" customFormat="1" ht="17.25" customHeight="1">
      <c r="A12" s="3803" t="s">
        <v>1531</v>
      </c>
      <c r="B12" s="3804"/>
      <c r="C12" s="3807">
        <v>32000258</v>
      </c>
      <c r="D12" s="3808">
        <v>20261930.559999999</v>
      </c>
      <c r="E12" s="3809">
        <f t="shared" si="0"/>
        <v>52262188.560000002</v>
      </c>
      <c r="F12" s="3809"/>
      <c r="G12" s="3808">
        <v>181173633</v>
      </c>
      <c r="H12" s="3808">
        <v>9255488.1199999992</v>
      </c>
      <c r="I12" s="3809">
        <f t="shared" si="1"/>
        <v>190429121.12</v>
      </c>
      <c r="J12" s="3782"/>
      <c r="K12" s="3873"/>
      <c r="L12" s="3873"/>
    </row>
    <row r="13" spans="1:12" s="3781" customFormat="1" ht="17.25" customHeight="1">
      <c r="A13" s="3803" t="s">
        <v>1532</v>
      </c>
      <c r="B13" s="3804"/>
      <c r="C13" s="3807">
        <v>0</v>
      </c>
      <c r="D13" s="3808">
        <v>0</v>
      </c>
      <c r="E13" s="3809">
        <f t="shared" si="0"/>
        <v>0</v>
      </c>
      <c r="F13" s="3809"/>
      <c r="G13" s="3807">
        <v>0</v>
      </c>
      <c r="H13" s="3808">
        <v>63347284</v>
      </c>
      <c r="I13" s="3809">
        <f t="shared" si="1"/>
        <v>63347284</v>
      </c>
      <c r="J13" s="3782"/>
      <c r="K13" s="3873"/>
      <c r="L13" s="3873"/>
    </row>
    <row r="14" spans="1:12" s="3781" customFormat="1" ht="17.25" customHeight="1">
      <c r="A14" s="3810" t="s">
        <v>1522</v>
      </c>
      <c r="B14" s="3811"/>
      <c r="C14" s="3808">
        <v>4605980.3899999997</v>
      </c>
      <c r="D14" s="3807">
        <v>368</v>
      </c>
      <c r="E14" s="3809">
        <f t="shared" si="0"/>
        <v>4606348.3899999997</v>
      </c>
      <c r="F14" s="3809"/>
      <c r="G14" s="3808">
        <f>49913260.82+3699999.99+1009973</f>
        <v>54623233.810000002</v>
      </c>
      <c r="H14" s="3807">
        <f>441011232+368</f>
        <v>441011600</v>
      </c>
      <c r="I14" s="3809">
        <f t="shared" si="1"/>
        <v>495634833.81</v>
      </c>
      <c r="J14" s="3782"/>
      <c r="K14" s="3873"/>
      <c r="L14" s="3873"/>
    </row>
    <row r="15" spans="1:12" s="3781" customFormat="1" ht="17.25" customHeight="1">
      <c r="A15" s="3803" t="s">
        <v>1533</v>
      </c>
      <c r="B15" s="3804"/>
      <c r="C15" s="3807">
        <v>642049.15</v>
      </c>
      <c r="D15" s="3807">
        <v>0</v>
      </c>
      <c r="E15" s="3809">
        <f t="shared" si="0"/>
        <v>642049.15</v>
      </c>
      <c r="F15" s="3809"/>
      <c r="G15" s="3808">
        <v>3972901.33</v>
      </c>
      <c r="H15" s="3807">
        <v>0</v>
      </c>
      <c r="I15" s="3809">
        <f t="shared" si="1"/>
        <v>3972901.33</v>
      </c>
      <c r="J15" s="3782"/>
      <c r="K15" s="3873"/>
      <c r="L15" s="3873"/>
    </row>
    <row r="16" spans="1:12" s="3781" customFormat="1" ht="17.25" customHeight="1">
      <c r="A16" s="3803" t="s">
        <v>1534</v>
      </c>
      <c r="B16" s="3804"/>
      <c r="C16" s="3808">
        <v>894372.23</v>
      </c>
      <c r="D16" s="3807">
        <v>0</v>
      </c>
      <c r="E16" s="3809">
        <f t="shared" si="0"/>
        <v>894372.23</v>
      </c>
      <c r="F16" s="3809"/>
      <c r="G16" s="3808">
        <v>10311213.289999999</v>
      </c>
      <c r="H16" s="3807">
        <v>0</v>
      </c>
      <c r="I16" s="3809">
        <f t="shared" si="1"/>
        <v>10311213.289999999</v>
      </c>
      <c r="J16" s="3782"/>
      <c r="K16" s="3873"/>
      <c r="L16" s="3873"/>
    </row>
    <row r="17" spans="1:12" s="3781" customFormat="1" ht="17.25" customHeight="1">
      <c r="A17" s="3803" t="s">
        <v>1535</v>
      </c>
      <c r="B17" s="3804"/>
      <c r="C17" s="3808">
        <v>0</v>
      </c>
      <c r="D17" s="3807">
        <v>0</v>
      </c>
      <c r="E17" s="3809">
        <f t="shared" si="0"/>
        <v>0</v>
      </c>
      <c r="F17" s="3809"/>
      <c r="G17" s="3808">
        <v>1355527.06</v>
      </c>
      <c r="H17" s="3807">
        <v>0</v>
      </c>
      <c r="I17" s="3809">
        <f t="shared" si="1"/>
        <v>1355527.06</v>
      </c>
      <c r="J17" s="3782"/>
      <c r="K17" s="3873"/>
      <c r="L17" s="3873"/>
    </row>
    <row r="18" spans="1:12" s="3781" customFormat="1" ht="17.25" customHeight="1">
      <c r="A18" s="3803" t="s">
        <v>1508</v>
      </c>
      <c r="B18" s="3804"/>
      <c r="C18" s="3808">
        <v>276245.12</v>
      </c>
      <c r="D18" s="3807">
        <v>0</v>
      </c>
      <c r="E18" s="3809">
        <f t="shared" si="0"/>
        <v>276245.12</v>
      </c>
      <c r="F18" s="3809"/>
      <c r="G18" s="3808">
        <v>765049.67</v>
      </c>
      <c r="H18" s="3807">
        <v>0</v>
      </c>
      <c r="I18" s="3809">
        <f t="shared" si="1"/>
        <v>765049.67</v>
      </c>
      <c r="J18" s="3782"/>
      <c r="K18" s="3873"/>
      <c r="L18" s="3873"/>
    </row>
    <row r="19" spans="1:12" s="3781" customFormat="1" ht="17.25" customHeight="1">
      <c r="A19" s="3803" t="s">
        <v>1509</v>
      </c>
      <c r="B19" s="3804"/>
      <c r="C19" s="3808">
        <v>0</v>
      </c>
      <c r="D19" s="3808">
        <v>1522498.02</v>
      </c>
      <c r="E19" s="3809">
        <f t="shared" si="0"/>
        <v>1522498.02</v>
      </c>
      <c r="F19" s="3809"/>
      <c r="G19" s="3807">
        <v>0</v>
      </c>
      <c r="H19" s="3808">
        <v>21634862.579999998</v>
      </c>
      <c r="I19" s="3809">
        <f t="shared" si="1"/>
        <v>21634862.579999998</v>
      </c>
      <c r="J19" s="3782"/>
      <c r="K19" s="3873"/>
      <c r="L19" s="3873"/>
    </row>
    <row r="20" spans="1:12" s="3781" customFormat="1" ht="17.25" customHeight="1">
      <c r="A20" s="3803" t="s">
        <v>1510</v>
      </c>
      <c r="B20" s="3804"/>
      <c r="C20" s="3808">
        <v>113465.39</v>
      </c>
      <c r="D20" s="3807">
        <v>0</v>
      </c>
      <c r="E20" s="3809">
        <f t="shared" si="0"/>
        <v>113465.39</v>
      </c>
      <c r="F20" s="3809"/>
      <c r="G20" s="3808">
        <v>3203441.73</v>
      </c>
      <c r="H20" s="3807">
        <v>0</v>
      </c>
      <c r="I20" s="3809">
        <f t="shared" si="1"/>
        <v>3203441.73</v>
      </c>
      <c r="J20" s="3782"/>
      <c r="K20" s="3873"/>
      <c r="L20" s="3873"/>
    </row>
    <row r="21" spans="1:12" s="3781" customFormat="1" ht="17.25" customHeight="1">
      <c r="A21" s="3803" t="s">
        <v>1552</v>
      </c>
      <c r="B21" s="3804"/>
      <c r="C21" s="3808">
        <v>0</v>
      </c>
      <c r="D21" s="3807">
        <v>0</v>
      </c>
      <c r="E21" s="3809">
        <f t="shared" si="0"/>
        <v>0</v>
      </c>
      <c r="F21" s="3809"/>
      <c r="G21" s="3808">
        <v>2250000</v>
      </c>
      <c r="H21" s="3807">
        <v>0</v>
      </c>
      <c r="I21" s="3809">
        <f t="shared" si="1"/>
        <v>2250000</v>
      </c>
      <c r="J21" s="3782"/>
      <c r="K21" s="3873"/>
      <c r="L21" s="3873"/>
    </row>
    <row r="22" spans="1:12" s="3781" customFormat="1" ht="17.25" customHeight="1">
      <c r="A22" s="3803" t="s">
        <v>1536</v>
      </c>
      <c r="B22" s="3804"/>
      <c r="C22" s="3808">
        <v>364555.22</v>
      </c>
      <c r="D22" s="3807">
        <v>0</v>
      </c>
      <c r="E22" s="3809">
        <f t="shared" si="0"/>
        <v>364555.22</v>
      </c>
      <c r="F22" s="3809"/>
      <c r="G22" s="3808">
        <v>4889227.97</v>
      </c>
      <c r="H22" s="3807">
        <v>0</v>
      </c>
      <c r="I22" s="3809">
        <f t="shared" si="1"/>
        <v>4889227.97</v>
      </c>
      <c r="J22" s="3782"/>
      <c r="K22" s="3873"/>
      <c r="L22" s="3873"/>
    </row>
    <row r="23" spans="1:12" s="3781" customFormat="1" ht="17.25" customHeight="1">
      <c r="A23" s="3803" t="s">
        <v>1511</v>
      </c>
      <c r="B23" s="3804"/>
      <c r="C23" s="3807">
        <v>0</v>
      </c>
      <c r="D23" s="3807">
        <v>0</v>
      </c>
      <c r="E23" s="3809">
        <f t="shared" si="0"/>
        <v>0</v>
      </c>
      <c r="F23" s="3809"/>
      <c r="G23" s="3808">
        <v>24500000</v>
      </c>
      <c r="H23" s="3807">
        <v>0</v>
      </c>
      <c r="I23" s="3809">
        <f t="shared" si="1"/>
        <v>24500000</v>
      </c>
      <c r="J23" s="3782"/>
      <c r="K23" s="3873"/>
      <c r="L23" s="3873"/>
    </row>
    <row r="24" spans="1:12" s="3781" customFormat="1" ht="17.25" customHeight="1">
      <c r="A24" s="3803" t="s">
        <v>1553</v>
      </c>
      <c r="B24" s="3804"/>
      <c r="C24" s="3807">
        <v>0</v>
      </c>
      <c r="D24" s="3807">
        <v>0</v>
      </c>
      <c r="E24" s="3809">
        <f t="shared" si="0"/>
        <v>0</v>
      </c>
      <c r="F24" s="3809"/>
      <c r="G24" s="3808">
        <v>15000</v>
      </c>
      <c r="H24" s="3807">
        <v>0</v>
      </c>
      <c r="I24" s="3809">
        <f t="shared" si="1"/>
        <v>15000</v>
      </c>
      <c r="J24" s="3782"/>
      <c r="K24" s="3873"/>
      <c r="L24" s="3873"/>
    </row>
    <row r="25" spans="1:12" s="3781" customFormat="1" ht="17.25" customHeight="1">
      <c r="A25" s="3803" t="s">
        <v>1537</v>
      </c>
      <c r="B25" s="3804"/>
      <c r="C25" s="3807">
        <v>0</v>
      </c>
      <c r="D25" s="3807">
        <v>0</v>
      </c>
      <c r="E25" s="3809">
        <f t="shared" si="0"/>
        <v>0</v>
      </c>
      <c r="F25" s="3809"/>
      <c r="G25" s="3808">
        <v>5770000</v>
      </c>
      <c r="H25" s="3807">
        <v>0</v>
      </c>
      <c r="I25" s="3809">
        <f t="shared" si="1"/>
        <v>5770000</v>
      </c>
      <c r="J25" s="3782"/>
      <c r="K25" s="3873"/>
      <c r="L25" s="3873"/>
    </row>
    <row r="26" spans="1:12" s="3781" customFormat="1" ht="17.25" customHeight="1">
      <c r="A26" s="3803" t="s">
        <v>1538</v>
      </c>
      <c r="B26" s="3804"/>
      <c r="C26" s="3807">
        <v>9132053</v>
      </c>
      <c r="D26" s="3807">
        <v>0</v>
      </c>
      <c r="E26" s="3809">
        <f t="shared" si="0"/>
        <v>9132053</v>
      </c>
      <c r="F26" s="3809"/>
      <c r="G26" s="3808">
        <v>11951096</v>
      </c>
      <c r="H26" s="3807">
        <v>0</v>
      </c>
      <c r="I26" s="3809">
        <f t="shared" si="1"/>
        <v>11951096</v>
      </c>
      <c r="J26" s="3782"/>
      <c r="K26" s="3873"/>
      <c r="L26" s="3873"/>
    </row>
    <row r="27" spans="1:12" s="3781" customFormat="1" ht="17.25" customHeight="1">
      <c r="A27" s="3803" t="s">
        <v>1547</v>
      </c>
      <c r="B27" s="3804"/>
      <c r="C27" s="3808">
        <v>29767870</v>
      </c>
      <c r="D27" s="3807">
        <v>0</v>
      </c>
      <c r="E27" s="3809">
        <f t="shared" si="0"/>
        <v>29767870</v>
      </c>
      <c r="F27" s="3809"/>
      <c r="G27" s="3808">
        <v>111619735</v>
      </c>
      <c r="H27" s="3807">
        <v>0</v>
      </c>
      <c r="I27" s="3809">
        <f t="shared" si="1"/>
        <v>111619735</v>
      </c>
      <c r="J27" s="3782"/>
      <c r="K27" s="3873"/>
      <c r="L27" s="3873"/>
    </row>
    <row r="28" spans="1:12" s="3781" customFormat="1" ht="17.25" customHeight="1">
      <c r="A28" s="3803" t="s">
        <v>1512</v>
      </c>
      <c r="B28" s="3804"/>
      <c r="C28" s="3807">
        <v>0</v>
      </c>
      <c r="D28" s="3807">
        <v>0</v>
      </c>
      <c r="E28" s="3809">
        <f t="shared" si="0"/>
        <v>0</v>
      </c>
      <c r="F28" s="3809"/>
      <c r="G28" s="3808">
        <v>4000000</v>
      </c>
      <c r="H28" s="3807">
        <v>0</v>
      </c>
      <c r="I28" s="3809">
        <f t="shared" si="1"/>
        <v>4000000</v>
      </c>
      <c r="J28" s="3782"/>
      <c r="K28" s="3873"/>
      <c r="L28" s="3873"/>
    </row>
    <row r="29" spans="1:12" s="3781" customFormat="1" ht="17.25" customHeight="1">
      <c r="A29" s="3803" t="s">
        <v>1513</v>
      </c>
      <c r="B29" s="3804"/>
      <c r="C29" s="3808">
        <v>1264421.49</v>
      </c>
      <c r="D29" s="3807">
        <v>0</v>
      </c>
      <c r="E29" s="3809">
        <f t="shared" si="0"/>
        <v>1264421.49</v>
      </c>
      <c r="F29" s="3809"/>
      <c r="G29" s="3808">
        <v>13064766.99</v>
      </c>
      <c r="H29" s="3807">
        <v>0</v>
      </c>
      <c r="I29" s="3809">
        <f t="shared" si="1"/>
        <v>13064766.99</v>
      </c>
      <c r="J29" s="3782"/>
      <c r="K29" s="3873"/>
      <c r="L29" s="3873"/>
    </row>
    <row r="30" spans="1:12" s="3781" customFormat="1" ht="17.25" customHeight="1">
      <c r="A30" s="3803" t="s">
        <v>1546</v>
      </c>
      <c r="B30" s="3804"/>
      <c r="C30" s="3808">
        <v>46829</v>
      </c>
      <c r="D30" s="3807">
        <v>0</v>
      </c>
      <c r="E30" s="3809">
        <f t="shared" si="0"/>
        <v>46829</v>
      </c>
      <c r="F30" s="3809"/>
      <c r="G30" s="3808">
        <v>1521130.73</v>
      </c>
      <c r="H30" s="3807">
        <v>0</v>
      </c>
      <c r="I30" s="3809">
        <f t="shared" si="1"/>
        <v>1521130.73</v>
      </c>
      <c r="J30" s="3782"/>
      <c r="K30" s="3873"/>
      <c r="L30" s="3873"/>
    </row>
    <row r="31" spans="1:12" s="3781" customFormat="1" ht="17.25" customHeight="1">
      <c r="A31" s="3803" t="s">
        <v>1549</v>
      </c>
      <c r="B31" s="3804"/>
      <c r="C31" s="3808">
        <v>971067.74</v>
      </c>
      <c r="D31" s="3807">
        <v>0</v>
      </c>
      <c r="E31" s="3809">
        <f t="shared" si="0"/>
        <v>971067.74</v>
      </c>
      <c r="F31" s="3809"/>
      <c r="G31" s="3808">
        <v>22640126.27</v>
      </c>
      <c r="H31" s="3807">
        <v>0</v>
      </c>
      <c r="I31" s="3809">
        <f t="shared" si="1"/>
        <v>22640126.27</v>
      </c>
      <c r="J31" s="3782"/>
      <c r="K31" s="3873"/>
      <c r="L31" s="3873"/>
    </row>
    <row r="32" spans="1:12" s="3781" customFormat="1" ht="17.25" customHeight="1">
      <c r="A32" s="3803" t="s">
        <v>1514</v>
      </c>
      <c r="B32" s="3804"/>
      <c r="C32" s="3808">
        <v>1594011.78</v>
      </c>
      <c r="D32" s="3808">
        <v>3285555</v>
      </c>
      <c r="E32" s="3809">
        <f t="shared" si="0"/>
        <v>4879566.78</v>
      </c>
      <c r="F32" s="3809"/>
      <c r="G32" s="3808">
        <v>15978000.939999999</v>
      </c>
      <c r="H32" s="3808">
        <v>21642175.739999998</v>
      </c>
      <c r="I32" s="3809">
        <f t="shared" si="1"/>
        <v>37620176.68</v>
      </c>
      <c r="J32" s="3782"/>
      <c r="K32" s="3873"/>
      <c r="L32" s="3873"/>
    </row>
    <row r="33" spans="1:12" s="3781" customFormat="1" ht="17.25" customHeight="1">
      <c r="A33" s="3803" t="s">
        <v>1515</v>
      </c>
      <c r="B33" s="3804"/>
      <c r="C33" s="3808">
        <v>228320.22</v>
      </c>
      <c r="D33" s="3807">
        <v>0</v>
      </c>
      <c r="E33" s="3809">
        <f t="shared" si="0"/>
        <v>228320.22</v>
      </c>
      <c r="F33" s="3809"/>
      <c r="G33" s="3808">
        <v>987081.99</v>
      </c>
      <c r="H33" s="3807">
        <v>0</v>
      </c>
      <c r="I33" s="3809">
        <f t="shared" si="1"/>
        <v>987081.99</v>
      </c>
      <c r="J33" s="3782"/>
      <c r="K33" s="3873"/>
      <c r="L33" s="3873"/>
    </row>
    <row r="34" spans="1:12" s="3781" customFormat="1" ht="17.25" customHeight="1">
      <c r="A34" s="3803" t="s">
        <v>1516</v>
      </c>
      <c r="B34" s="3804"/>
      <c r="C34" s="3808">
        <v>-14934825.93</v>
      </c>
      <c r="D34" s="3807">
        <v>0</v>
      </c>
      <c r="E34" s="3809">
        <f t="shared" si="0"/>
        <v>-14934825.93</v>
      </c>
      <c r="F34" s="3809"/>
      <c r="G34" s="3808">
        <v>35433137.5</v>
      </c>
      <c r="H34" s="3807">
        <v>0</v>
      </c>
      <c r="I34" s="3809">
        <f t="shared" si="1"/>
        <v>35433137.5</v>
      </c>
      <c r="J34" s="3782"/>
      <c r="K34" s="3873"/>
      <c r="L34" s="3873"/>
    </row>
    <row r="35" spans="1:12" s="3781" customFormat="1" ht="17.25" customHeight="1">
      <c r="A35" s="3803" t="s">
        <v>1523</v>
      </c>
      <c r="B35" s="3804"/>
      <c r="C35" s="3808">
        <f>46539296.34</f>
        <v>46539296.340000004</v>
      </c>
      <c r="D35" s="3807">
        <v>0</v>
      </c>
      <c r="E35" s="3809">
        <f t="shared" si="0"/>
        <v>46539296.340000004</v>
      </c>
      <c r="F35" s="3809"/>
      <c r="G35" s="3808">
        <f>934949965.49</f>
        <v>934949965.49000001</v>
      </c>
      <c r="H35" s="3807">
        <v>0</v>
      </c>
      <c r="I35" s="3809">
        <f t="shared" si="1"/>
        <v>934949965.49000001</v>
      </c>
      <c r="J35" s="3782"/>
      <c r="K35" s="3873"/>
      <c r="L35" s="3873"/>
    </row>
    <row r="36" spans="1:12" s="3781" customFormat="1" ht="17.25" customHeight="1">
      <c r="A36" s="3803" t="s">
        <v>1610</v>
      </c>
      <c r="B36" s="3804"/>
      <c r="C36" s="3808">
        <v>101865435.70999999</v>
      </c>
      <c r="D36" s="3807">
        <v>0</v>
      </c>
      <c r="E36" s="3809">
        <f>(C36+D36)</f>
        <v>101865435.70999999</v>
      </c>
      <c r="F36" s="3809"/>
      <c r="G36" s="3808">
        <v>101865435.70999999</v>
      </c>
      <c r="H36" s="3807">
        <v>0</v>
      </c>
      <c r="I36" s="3809">
        <f>+G36+H36</f>
        <v>101865435.70999999</v>
      </c>
      <c r="J36" s="3782"/>
      <c r="K36" s="3873"/>
      <c r="L36" s="3874"/>
    </row>
    <row r="37" spans="1:12" s="3781" customFormat="1" ht="17.25" customHeight="1">
      <c r="A37" s="3803" t="s">
        <v>1524</v>
      </c>
      <c r="B37" s="3804"/>
      <c r="C37" s="3808">
        <f>929479.78</f>
        <v>929479.78</v>
      </c>
      <c r="D37" s="3807">
        <v>0</v>
      </c>
      <c r="E37" s="3809">
        <f t="shared" si="0"/>
        <v>929479.78</v>
      </c>
      <c r="F37" s="3809"/>
      <c r="G37" s="3808">
        <f>191237762.81</f>
        <v>191237762.81</v>
      </c>
      <c r="H37" s="3807">
        <v>0</v>
      </c>
      <c r="I37" s="3809">
        <f t="shared" si="1"/>
        <v>191237762.81</v>
      </c>
      <c r="J37" s="3782"/>
      <c r="K37" s="3873"/>
      <c r="L37" s="3874"/>
    </row>
    <row r="38" spans="1:12" s="3781" customFormat="1" ht="17.25" customHeight="1">
      <c r="A38" s="3803" t="s">
        <v>1525</v>
      </c>
      <c r="B38" s="3804"/>
      <c r="C38" s="3808">
        <v>15656917.91</v>
      </c>
      <c r="D38" s="3807">
        <v>0</v>
      </c>
      <c r="E38" s="3809">
        <f t="shared" si="0"/>
        <v>15656917.91</v>
      </c>
      <c r="F38" s="3809"/>
      <c r="G38" s="3808">
        <v>265693738.68000001</v>
      </c>
      <c r="H38" s="3807">
        <v>0</v>
      </c>
      <c r="I38" s="3809">
        <f t="shared" si="1"/>
        <v>265693738.68000001</v>
      </c>
      <c r="J38" s="3782"/>
      <c r="K38" s="3873"/>
      <c r="L38" s="3874"/>
    </row>
    <row r="39" spans="1:12" s="3781" customFormat="1" ht="17.25" customHeight="1">
      <c r="A39" s="3803" t="s">
        <v>1517</v>
      </c>
      <c r="B39" s="3804"/>
      <c r="C39" s="3808">
        <f>137781578.93</f>
        <v>137781578.93000001</v>
      </c>
      <c r="D39" s="3807">
        <v>0</v>
      </c>
      <c r="E39" s="3809">
        <f t="shared" si="0"/>
        <v>137781578.93000001</v>
      </c>
      <c r="F39" s="3809"/>
      <c r="G39" s="3808">
        <f>432166950.96</f>
        <v>432166950.95999998</v>
      </c>
      <c r="H39" s="3807">
        <v>0</v>
      </c>
      <c r="I39" s="3809">
        <f t="shared" si="1"/>
        <v>432166950.95999998</v>
      </c>
      <c r="J39" s="3782"/>
      <c r="K39" s="3873"/>
      <c r="L39" s="3874"/>
    </row>
    <row r="40" spans="1:12" s="3781" customFormat="1" ht="17.25" customHeight="1">
      <c r="A40" s="3803" t="s">
        <v>1526</v>
      </c>
      <c r="B40" s="3804"/>
      <c r="C40" s="3808">
        <f>384615799.42-4952427-5477175</f>
        <v>374186197.42000002</v>
      </c>
      <c r="D40" s="3807">
        <v>0</v>
      </c>
      <c r="E40" s="3809">
        <f t="shared" si="0"/>
        <v>374186197.42000002</v>
      </c>
      <c r="F40" s="3809"/>
      <c r="G40" s="3808">
        <f>9831144430.02-4952427-12750147</f>
        <v>9813441856.0200005</v>
      </c>
      <c r="H40" s="3807">
        <v>0</v>
      </c>
      <c r="I40" s="3809">
        <f t="shared" si="1"/>
        <v>9813441856.0200005</v>
      </c>
      <c r="J40" s="3782"/>
      <c r="K40" s="3873"/>
      <c r="L40" s="3874"/>
    </row>
    <row r="41" spans="1:12" s="3781" customFormat="1" ht="17.25" customHeight="1">
      <c r="A41" s="3803" t="s">
        <v>1527</v>
      </c>
      <c r="B41" s="3804"/>
      <c r="C41" s="3808">
        <v>131167748.14</v>
      </c>
      <c r="D41" s="3807">
        <v>0</v>
      </c>
      <c r="E41" s="3809">
        <f t="shared" si="0"/>
        <v>131167748.14</v>
      </c>
      <c r="F41" s="3809"/>
      <c r="G41" s="3808">
        <f>3281528971.8-34729726.17</f>
        <v>3246799245.6300001</v>
      </c>
      <c r="H41" s="3807">
        <v>0</v>
      </c>
      <c r="I41" s="3809">
        <f t="shared" si="1"/>
        <v>3246799245.6300001</v>
      </c>
      <c r="J41" s="3782"/>
      <c r="K41" s="3873"/>
      <c r="L41" s="3874"/>
    </row>
    <row r="42" spans="1:12" s="3781" customFormat="1" ht="17.25" customHeight="1">
      <c r="A42" s="3803" t="s">
        <v>1518</v>
      </c>
      <c r="B42" s="3804"/>
      <c r="C42" s="3808">
        <v>12366962.4</v>
      </c>
      <c r="D42" s="3807">
        <v>0</v>
      </c>
      <c r="E42" s="3809">
        <f t="shared" si="0"/>
        <v>12366962.4</v>
      </c>
      <c r="F42" s="3809"/>
      <c r="G42" s="3808">
        <v>240182434.93000001</v>
      </c>
      <c r="H42" s="3807">
        <v>0</v>
      </c>
      <c r="I42" s="3809">
        <f t="shared" si="1"/>
        <v>240182434.93000001</v>
      </c>
      <c r="J42" s="3782"/>
      <c r="K42" s="3873"/>
      <c r="L42" s="3874"/>
    </row>
    <row r="43" spans="1:12" s="3781" customFormat="1" ht="17.25" customHeight="1">
      <c r="A43" s="3803" t="s">
        <v>1528</v>
      </c>
      <c r="B43" s="3804"/>
      <c r="C43" s="3808">
        <v>13888457.85</v>
      </c>
      <c r="D43" s="3807">
        <v>0</v>
      </c>
      <c r="E43" s="3809">
        <f t="shared" si="0"/>
        <v>13888457.85</v>
      </c>
      <c r="F43" s="3809"/>
      <c r="G43" s="3808">
        <v>216643202.06</v>
      </c>
      <c r="H43" s="3807">
        <v>0</v>
      </c>
      <c r="I43" s="3812">
        <f t="shared" si="1"/>
        <v>216643202.06</v>
      </c>
      <c r="J43" s="3782"/>
      <c r="K43" s="3873"/>
      <c r="L43" s="3874"/>
    </row>
    <row r="44" spans="1:12" s="3781" customFormat="1" ht="17.25" customHeight="1">
      <c r="A44" s="3803" t="s">
        <v>1529</v>
      </c>
      <c r="B44" s="3804"/>
      <c r="C44" s="3808">
        <v>472733.09</v>
      </c>
      <c r="D44" s="3807">
        <v>0</v>
      </c>
      <c r="E44" s="3809">
        <f t="shared" si="0"/>
        <v>472733.09</v>
      </c>
      <c r="F44" s="3809"/>
      <c r="G44" s="3808">
        <v>8449984.3499999996</v>
      </c>
      <c r="H44" s="3807">
        <v>0</v>
      </c>
      <c r="I44" s="3809">
        <f t="shared" si="1"/>
        <v>8449984.3499999996</v>
      </c>
      <c r="J44" s="3782"/>
      <c r="K44" s="3873"/>
      <c r="L44" s="3874"/>
    </row>
    <row r="45" spans="1:12" s="3781" customFormat="1" ht="17.25" customHeight="1">
      <c r="A45" s="3838" t="s">
        <v>1556</v>
      </c>
      <c r="B45" s="3804"/>
      <c r="C45" s="3808">
        <f>53144430.65</f>
        <v>53144430.649999999</v>
      </c>
      <c r="D45" s="3808">
        <f>11071173</f>
        <v>11071173</v>
      </c>
      <c r="E45" s="3809">
        <f t="shared" si="0"/>
        <v>64215603.649999999</v>
      </c>
      <c r="F45" s="3809"/>
      <c r="G45" s="3808">
        <v>1193284585.95</v>
      </c>
      <c r="H45" s="3808">
        <v>23997266</v>
      </c>
      <c r="I45" s="3812">
        <f t="shared" si="1"/>
        <v>1217281851.95</v>
      </c>
      <c r="J45" s="3782"/>
      <c r="K45" s="3873"/>
      <c r="L45" s="3874"/>
    </row>
    <row r="46" spans="1:12" s="3781" customFormat="1" ht="17.25" customHeight="1">
      <c r="A46" s="3803" t="s">
        <v>1530</v>
      </c>
      <c r="B46" s="3804"/>
      <c r="C46" s="3808">
        <f>39223148.92+25000000</f>
        <v>64223148.920000002</v>
      </c>
      <c r="D46" s="3807">
        <v>0</v>
      </c>
      <c r="E46" s="3809">
        <f t="shared" si="0"/>
        <v>64223148.920000002</v>
      </c>
      <c r="F46" s="3809"/>
      <c r="G46" s="3808">
        <f>1361962488.06+25000000</f>
        <v>1386962488.0599999</v>
      </c>
      <c r="H46" s="3807">
        <v>0</v>
      </c>
      <c r="I46" s="3809">
        <f t="shared" si="1"/>
        <v>1386962488.0599999</v>
      </c>
      <c r="J46" s="3782"/>
      <c r="K46" s="3873"/>
      <c r="L46" s="3874"/>
    </row>
    <row r="47" spans="1:12" s="3781" customFormat="1" ht="17.25" customHeight="1">
      <c r="A47" s="3803" t="s">
        <v>1539</v>
      </c>
      <c r="B47" s="3804"/>
      <c r="C47" s="3808">
        <v>159551.25</v>
      </c>
      <c r="D47" s="3807">
        <v>0</v>
      </c>
      <c r="E47" s="3809">
        <f t="shared" si="0"/>
        <v>159551.25</v>
      </c>
      <c r="F47" s="3809"/>
      <c r="G47" s="3808">
        <v>2557834.59</v>
      </c>
      <c r="H47" s="3807">
        <v>0</v>
      </c>
      <c r="I47" s="3809">
        <f t="shared" si="1"/>
        <v>2557834.59</v>
      </c>
      <c r="J47" s="3782"/>
      <c r="K47" s="3873"/>
      <c r="L47" s="3874"/>
    </row>
    <row r="48" spans="1:12" s="3781" customFormat="1" ht="17.25" customHeight="1">
      <c r="A48" s="3803" t="s">
        <v>1519</v>
      </c>
      <c r="B48" s="3804"/>
      <c r="C48" s="3808">
        <v>150000000</v>
      </c>
      <c r="D48" s="3807">
        <v>0</v>
      </c>
      <c r="E48" s="3809">
        <f t="shared" si="0"/>
        <v>150000000</v>
      </c>
      <c r="F48" s="3809"/>
      <c r="G48" s="3808">
        <v>3581000000</v>
      </c>
      <c r="H48" s="3807">
        <v>0</v>
      </c>
      <c r="I48" s="3809">
        <f t="shared" si="1"/>
        <v>3581000000</v>
      </c>
      <c r="J48" s="3782"/>
      <c r="K48" s="3873"/>
      <c r="L48" s="3874"/>
    </row>
    <row r="49" spans="1:20" s="3781" customFormat="1" ht="17.25" customHeight="1">
      <c r="A49" s="3803" t="s">
        <v>1540</v>
      </c>
      <c r="B49" s="3804"/>
      <c r="C49" s="3808">
        <v>61636343.560000002</v>
      </c>
      <c r="D49" s="3807">
        <v>0</v>
      </c>
      <c r="E49" s="3809">
        <f t="shared" si="0"/>
        <v>61636343.560000002</v>
      </c>
      <c r="F49" s="3809"/>
      <c r="G49" s="3808">
        <v>854144727.92999995</v>
      </c>
      <c r="H49" s="3807">
        <v>0</v>
      </c>
      <c r="I49" s="3809">
        <f t="shared" si="1"/>
        <v>854144727.92999995</v>
      </c>
      <c r="J49" s="3782"/>
      <c r="K49" s="3873"/>
      <c r="L49" s="3874"/>
    </row>
    <row r="50" spans="1:20" s="3781" customFormat="1" ht="17.25" customHeight="1">
      <c r="A50" s="3803" t="s">
        <v>1541</v>
      </c>
      <c r="B50" s="3804"/>
      <c r="C50" s="3807">
        <v>85251015.329999998</v>
      </c>
      <c r="D50" s="3807">
        <v>0</v>
      </c>
      <c r="E50" s="3809">
        <f t="shared" si="0"/>
        <v>85251015.329999998</v>
      </c>
      <c r="F50" s="3809"/>
      <c r="G50" s="3808">
        <v>886851015.33000004</v>
      </c>
      <c r="H50" s="3807">
        <v>0</v>
      </c>
      <c r="I50" s="3809">
        <f t="shared" si="1"/>
        <v>886851015.33000004</v>
      </c>
      <c r="J50" s="3782"/>
      <c r="K50" s="3873"/>
      <c r="L50" s="3874"/>
    </row>
    <row r="51" spans="1:20" s="3781" customFormat="1" ht="17.25" customHeight="1">
      <c r="A51" s="3803" t="s">
        <v>1607</v>
      </c>
      <c r="B51" s="3804"/>
      <c r="C51" s="3807">
        <v>136000000</v>
      </c>
      <c r="D51" s="3807">
        <v>0</v>
      </c>
      <c r="E51" s="3809">
        <f>+C51+D51</f>
        <v>136000000</v>
      </c>
      <c r="F51" s="3809"/>
      <c r="G51" s="3808">
        <v>136000000</v>
      </c>
      <c r="H51" s="3807">
        <v>0</v>
      </c>
      <c r="I51" s="3809">
        <f>+G51+H51</f>
        <v>136000000</v>
      </c>
      <c r="J51" s="3782"/>
      <c r="K51" s="3873"/>
      <c r="L51" s="3874"/>
    </row>
    <row r="52" spans="1:20" s="3781" customFormat="1" ht="17.25" customHeight="1">
      <c r="A52" s="3803" t="s">
        <v>1608</v>
      </c>
      <c r="B52" s="3804"/>
      <c r="C52" s="3807">
        <v>11200000</v>
      </c>
      <c r="D52" s="3807">
        <v>0</v>
      </c>
      <c r="E52" s="3809">
        <f>+C52+D52</f>
        <v>11200000</v>
      </c>
      <c r="F52" s="3809"/>
      <c r="G52" s="3808">
        <v>11200000</v>
      </c>
      <c r="H52" s="3807">
        <v>0</v>
      </c>
      <c r="I52" s="3809">
        <f>+G52+H52</f>
        <v>11200000</v>
      </c>
      <c r="J52" s="3782"/>
      <c r="K52" s="3873"/>
      <c r="L52" s="3874"/>
    </row>
    <row r="53" spans="1:20" s="3781" customFormat="1" ht="17.25" customHeight="1">
      <c r="A53" s="3803" t="s">
        <v>1609</v>
      </c>
      <c r="B53" s="3804"/>
      <c r="C53" s="3807">
        <v>50000000</v>
      </c>
      <c r="D53" s="3807">
        <v>0</v>
      </c>
      <c r="E53" s="3809">
        <f>+C53+D53</f>
        <v>50000000</v>
      </c>
      <c r="F53" s="3809"/>
      <c r="G53" s="3808">
        <v>50000000</v>
      </c>
      <c r="H53" s="3807">
        <v>0</v>
      </c>
      <c r="I53" s="3809">
        <f>+G53+H53</f>
        <v>50000000</v>
      </c>
      <c r="J53" s="3783"/>
      <c r="K53" s="3873"/>
      <c r="L53" s="3874"/>
    </row>
    <row r="54" spans="1:20" s="3781" customFormat="1" ht="17.25" customHeight="1">
      <c r="A54" s="3803" t="s">
        <v>1611</v>
      </c>
      <c r="B54" s="3804"/>
      <c r="C54" s="3807">
        <v>15490500</v>
      </c>
      <c r="D54" s="3807">
        <v>0</v>
      </c>
      <c r="E54" s="3809">
        <f>+C54+D54</f>
        <v>15490500</v>
      </c>
      <c r="F54" s="3809"/>
      <c r="G54" s="3808">
        <v>15490500</v>
      </c>
      <c r="H54" s="3807">
        <v>0</v>
      </c>
      <c r="I54" s="3809">
        <f>+G54+H54</f>
        <v>15490500</v>
      </c>
      <c r="J54" s="3783"/>
      <c r="K54" s="3873"/>
      <c r="L54" s="3874"/>
    </row>
    <row r="55" spans="1:20" s="3779" customFormat="1" ht="17.25" customHeight="1">
      <c r="A55" s="3813" t="s">
        <v>1550</v>
      </c>
      <c r="B55" s="3800"/>
      <c r="C55" s="3814">
        <f>SUM(C11:C54)</f>
        <v>1528926470.0799999</v>
      </c>
      <c r="D55" s="3814">
        <f>SUM(D11:D54)</f>
        <v>242773257.58000001</v>
      </c>
      <c r="E55" s="3814">
        <f>SUM(E11:E54)</f>
        <v>1771699727.6600001</v>
      </c>
      <c r="F55" s="3815"/>
      <c r="G55" s="3814">
        <f>SUM(G11:G54)</f>
        <v>24078946031.780006</v>
      </c>
      <c r="H55" s="3814">
        <f>SUM(H11:H54)</f>
        <v>841173808.44000006</v>
      </c>
      <c r="I55" s="3814">
        <f>SUM(I11:I54)</f>
        <v>24920119840.220005</v>
      </c>
      <c r="J55" s="3784"/>
      <c r="K55" s="3875"/>
      <c r="L55" s="3875"/>
    </row>
    <row r="56" spans="1:20" ht="9.6" customHeight="1">
      <c r="A56" s="3793"/>
      <c r="B56" s="3794"/>
      <c r="C56" s="3816"/>
      <c r="D56" s="3816"/>
      <c r="E56" s="3816"/>
      <c r="F56" s="3816"/>
      <c r="G56" s="3817"/>
      <c r="H56" s="3817"/>
      <c r="I56" s="3817"/>
      <c r="J56" s="3786"/>
    </row>
    <row r="57" spans="1:20" ht="31.9" customHeight="1">
      <c r="A57" s="3845" t="s">
        <v>1569</v>
      </c>
      <c r="B57" s="3794"/>
      <c r="C57" s="3881">
        <v>-85050967.739999995</v>
      </c>
      <c r="D57" s="3882"/>
      <c r="E57" s="3883">
        <f>+C57</f>
        <v>-85050967.739999995</v>
      </c>
      <c r="F57" s="3884"/>
      <c r="G57" s="3885">
        <v>-1688120178.54</v>
      </c>
      <c r="H57" s="3819"/>
      <c r="I57" s="3886">
        <f>+G57</f>
        <v>-1688120178.54</v>
      </c>
      <c r="J57" s="3864"/>
      <c r="L57" s="3876"/>
    </row>
    <row r="58" spans="1:20" ht="15.6" customHeight="1">
      <c r="A58" s="3787"/>
      <c r="B58" s="3794"/>
      <c r="C58" s="3818"/>
      <c r="D58" s="3818"/>
      <c r="E58" s="3818"/>
      <c r="F58" s="3818"/>
      <c r="G58" s="3819"/>
      <c r="H58" s="3819"/>
      <c r="I58" s="3819"/>
      <c r="J58" s="3786"/>
      <c r="L58" s="3876"/>
    </row>
    <row r="59" spans="1:20" ht="17.25" customHeight="1" thickBot="1">
      <c r="A59" s="3787" t="s">
        <v>1520</v>
      </c>
      <c r="B59" s="3794"/>
      <c r="C59" s="3820">
        <f>+C55+C57</f>
        <v>1443875502.3399999</v>
      </c>
      <c r="D59" s="3821">
        <f>+D55</f>
        <v>242773257.58000001</v>
      </c>
      <c r="E59" s="3821">
        <f>+E55+E57</f>
        <v>1686648759.9200001</v>
      </c>
      <c r="F59" s="3822"/>
      <c r="G59" s="3821">
        <f>+G55+G57</f>
        <v>22390825853.240005</v>
      </c>
      <c r="H59" s="3821">
        <f>+H55</f>
        <v>841173808.44000006</v>
      </c>
      <c r="I59" s="3821">
        <f>+I55+I57</f>
        <v>23231999661.680004</v>
      </c>
      <c r="J59" s="3786"/>
      <c r="L59" s="3876"/>
    </row>
    <row r="60" spans="1:20" ht="17.25" customHeight="1" thickTop="1">
      <c r="A60" s="3785"/>
      <c r="B60" s="3766"/>
      <c r="C60" s="3785"/>
      <c r="D60" s="3785"/>
      <c r="E60" s="3788"/>
      <c r="F60" s="3788"/>
      <c r="G60" s="3789"/>
      <c r="H60" s="3789"/>
      <c r="I60" s="3789"/>
      <c r="J60" s="3766"/>
    </row>
    <row r="61" spans="1:20" ht="16.149999999999999" customHeight="1">
      <c r="A61" s="3847" t="s">
        <v>1574</v>
      </c>
      <c r="B61" s="3766" t="s">
        <v>15</v>
      </c>
      <c r="C61" s="3785" t="s">
        <v>15</v>
      </c>
      <c r="D61" s="3849"/>
      <c r="E61" s="3850"/>
      <c r="F61" s="3785"/>
      <c r="G61" s="3790"/>
      <c r="H61" s="3766"/>
      <c r="I61" s="3786"/>
      <c r="J61" s="3766"/>
    </row>
    <row r="62" spans="1:20" ht="16.149999999999999" customHeight="1">
      <c r="A62" s="3848" t="s">
        <v>1577</v>
      </c>
      <c r="B62" s="3766"/>
      <c r="C62" s="3857"/>
      <c r="D62" s="3858"/>
      <c r="E62" s="3859"/>
      <c r="F62" s="3860"/>
      <c r="G62" s="3861"/>
      <c r="H62" s="3862"/>
      <c r="I62" s="3863"/>
      <c r="J62" s="3766"/>
    </row>
    <row r="63" spans="1:20" ht="16.149999999999999" customHeight="1">
      <c r="A63" s="3844" t="s">
        <v>1576</v>
      </c>
      <c r="B63" s="3766"/>
      <c r="C63" s="3785"/>
      <c r="D63" s="3785"/>
      <c r="E63" s="3785"/>
      <c r="F63" s="3785"/>
      <c r="G63" s="3790"/>
      <c r="H63" s="3766"/>
      <c r="I63" s="3786"/>
      <c r="J63" s="3766"/>
    </row>
    <row r="64" spans="1:20" s="3764" customFormat="1" ht="16.149999999999999" customHeight="1">
      <c r="A64" s="3844" t="s">
        <v>1583</v>
      </c>
      <c r="B64" s="3765"/>
      <c r="G64" s="3775"/>
      <c r="H64" s="3765"/>
      <c r="I64" s="3843"/>
      <c r="J64" s="3765"/>
      <c r="K64" s="3766"/>
      <c r="L64" s="3766"/>
      <c r="M64" s="3765"/>
      <c r="N64" s="3765"/>
      <c r="O64" s="3765"/>
      <c r="P64" s="3765"/>
      <c r="Q64" s="3765"/>
      <c r="R64" s="3765"/>
      <c r="S64" s="3765"/>
      <c r="T64" s="3765"/>
    </row>
    <row r="65" spans="1:20" s="3764" customFormat="1" ht="13.15" customHeight="1">
      <c r="A65" s="3844" t="s">
        <v>1572</v>
      </c>
      <c r="B65" s="3765"/>
      <c r="G65" s="3775"/>
      <c r="H65" s="3765"/>
      <c r="I65" s="3765"/>
      <c r="J65" s="3765"/>
      <c r="K65" s="3766"/>
      <c r="L65" s="3766"/>
      <c r="M65" s="3765"/>
      <c r="N65" s="3765"/>
      <c r="O65" s="3765"/>
      <c r="P65" s="3765"/>
      <c r="Q65" s="3765"/>
      <c r="R65" s="3765"/>
      <c r="S65" s="3765"/>
      <c r="T65" s="3765"/>
    </row>
    <row r="66" spans="1:20" ht="17.25" customHeight="1">
      <c r="A66" s="3844" t="s">
        <v>1562</v>
      </c>
    </row>
  </sheetData>
  <mergeCells count="2">
    <mergeCell ref="C7:E7"/>
    <mergeCell ref="G7:I7"/>
  </mergeCells>
  <pageMargins left="0.17" right="0.18" top="0.44" bottom="0.27" header="0.23" footer="0.18"/>
  <pageSetup scale="49" firstPageNumber="58" orientation="landscape" useFirstPageNumber="1" r:id="rId1"/>
  <headerFooter scaleWithDoc="0" alignWithMargins="0">
    <oddFooter>&amp;C&amp;8&amp;P</oddFooter>
  </headerFooter>
  <ignoredErrors>
    <ignoredError sqref="D59:I59"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70" zoomScaleNormal="70" workbookViewId="0"/>
  </sheetViews>
  <sheetFormatPr defaultColWidth="8.88671875" defaultRowHeight="15"/>
  <cols>
    <col min="1" max="1" width="58.88671875" style="3791" customWidth="1"/>
    <col min="2" max="2" width="2" style="3765" customWidth="1"/>
    <col min="3" max="3" width="21.109375" style="3764" customWidth="1"/>
    <col min="4" max="4" width="21.88671875" style="3764" customWidth="1"/>
    <col min="5" max="5" width="19.88671875" style="3764" customWidth="1"/>
    <col min="6" max="6" width="0.88671875" style="3764" customWidth="1"/>
    <col min="7" max="7" width="22.109375" style="3775" customWidth="1"/>
    <col min="8" max="8" width="20.88671875" style="3765" customWidth="1"/>
    <col min="9" max="9" width="21.88671875" style="3765" customWidth="1"/>
    <col min="10" max="10" width="8.88671875" style="3765"/>
    <col min="11" max="11" width="12.88671875" style="3765" bestFit="1" customWidth="1"/>
    <col min="12" max="16384" width="8.88671875" style="3765"/>
  </cols>
  <sheetData>
    <row r="1" spans="1:12" ht="15.75">
      <c r="A1" s="653" t="s">
        <v>979</v>
      </c>
    </row>
    <row r="3" spans="1:12" s="3768" customFormat="1" ht="25.35" customHeight="1">
      <c r="A3" s="3767" t="s">
        <v>0</v>
      </c>
      <c r="C3" s="3769"/>
      <c r="D3" s="3769"/>
      <c r="E3" s="3769"/>
      <c r="F3" s="3770"/>
      <c r="G3" s="3771"/>
      <c r="I3" s="3824" t="s">
        <v>1545</v>
      </c>
    </row>
    <row r="4" spans="1:12" ht="25.35" customHeight="1">
      <c r="A4" s="3772" t="s">
        <v>1573</v>
      </c>
      <c r="C4" s="3773"/>
      <c r="D4" s="3773"/>
      <c r="E4" s="3773"/>
      <c r="F4" s="3774"/>
    </row>
    <row r="5" spans="1:12" ht="18.600000000000001" customHeight="1">
      <c r="A5" s="3777" t="s">
        <v>1503</v>
      </c>
      <c r="C5" s="3773"/>
      <c r="D5" s="3773"/>
      <c r="E5" s="3773"/>
      <c r="F5" s="3774"/>
    </row>
    <row r="6" spans="1:12" ht="21">
      <c r="A6" s="3776"/>
      <c r="C6" s="3773"/>
      <c r="D6" s="3773"/>
      <c r="E6" s="3773"/>
      <c r="F6" s="3774"/>
    </row>
    <row r="7" spans="1:12" ht="15.75">
      <c r="A7" s="3825"/>
      <c r="B7" s="3794"/>
      <c r="C7" s="3959" t="s">
        <v>1599</v>
      </c>
      <c r="D7" s="3960"/>
      <c r="E7" s="3960"/>
      <c r="F7" s="3795"/>
      <c r="G7" s="3960" t="s">
        <v>1592</v>
      </c>
      <c r="H7" s="3960"/>
      <c r="I7" s="3960"/>
    </row>
    <row r="8" spans="1:12" ht="15.75">
      <c r="A8" s="3825"/>
      <c r="B8" s="3794"/>
      <c r="C8" s="3826"/>
      <c r="D8" s="3826"/>
      <c r="E8" s="3826"/>
      <c r="F8" s="3826"/>
      <c r="G8" s="3796"/>
      <c r="H8" s="3794"/>
      <c r="I8" s="3794"/>
    </row>
    <row r="9" spans="1:12" ht="15.75">
      <c r="A9" s="3827"/>
      <c r="B9" s="3794"/>
      <c r="C9" s="3797" t="s">
        <v>1504</v>
      </c>
      <c r="D9" s="3797" t="s">
        <v>1505</v>
      </c>
      <c r="E9" s="3797" t="s">
        <v>1606</v>
      </c>
      <c r="F9" s="3797"/>
      <c r="G9" s="3797" t="s">
        <v>1504</v>
      </c>
      <c r="H9" s="3797" t="s">
        <v>1505</v>
      </c>
      <c r="I9" s="3798" t="s">
        <v>1506</v>
      </c>
    </row>
    <row r="10" spans="1:12" s="3779" customFormat="1" ht="15.75">
      <c r="A10" s="3799"/>
      <c r="B10" s="3800"/>
      <c r="C10" s="3828"/>
      <c r="D10" s="3828"/>
      <c r="E10" s="3828"/>
      <c r="F10" s="3828"/>
      <c r="G10" s="3829"/>
      <c r="H10" s="3800"/>
      <c r="I10" s="3829"/>
    </row>
    <row r="11" spans="1:12" s="3781" customFormat="1" ht="15.75">
      <c r="A11" s="3803" t="s">
        <v>1548</v>
      </c>
      <c r="B11" s="3804"/>
      <c r="C11" s="3830">
        <v>11008902.609999999</v>
      </c>
      <c r="D11" s="3830">
        <v>0</v>
      </c>
      <c r="E11" s="3822">
        <f t="shared" ref="E11:E24" si="0">(C11+D11)</f>
        <v>11008902.609999999</v>
      </c>
      <c r="F11" s="3822"/>
      <c r="G11" s="3830">
        <v>131745820.7</v>
      </c>
      <c r="H11" s="3830">
        <v>0</v>
      </c>
      <c r="I11" s="3822">
        <f t="shared" ref="I11:I24" si="1">+G11+H11</f>
        <v>131745820.7</v>
      </c>
      <c r="K11" s="3869"/>
      <c r="L11" s="3869"/>
    </row>
    <row r="12" spans="1:12" s="3781" customFormat="1" ht="15.75">
      <c r="A12" s="3803" t="s">
        <v>1522</v>
      </c>
      <c r="B12" s="3804"/>
      <c r="C12" s="3808">
        <v>262619.69</v>
      </c>
      <c r="D12" s="3808">
        <v>550492</v>
      </c>
      <c r="E12" s="3809">
        <f t="shared" si="0"/>
        <v>813111.69</v>
      </c>
      <c r="F12" s="3809"/>
      <c r="G12" s="3808">
        <f>1219323.72+48762162</f>
        <v>49981485.719999999</v>
      </c>
      <c r="H12" s="3808">
        <f>358804920+24766037</f>
        <v>383570957</v>
      </c>
      <c r="I12" s="3809">
        <f t="shared" si="1"/>
        <v>433552442.72000003</v>
      </c>
      <c r="K12" s="3869"/>
      <c r="L12" s="3869"/>
    </row>
    <row r="13" spans="1:12" s="3781" customFormat="1" ht="15.75">
      <c r="A13" s="3803" t="s">
        <v>1521</v>
      </c>
      <c r="B13" s="3804"/>
      <c r="C13" s="3808">
        <v>0</v>
      </c>
      <c r="D13" s="3808">
        <v>0</v>
      </c>
      <c r="E13" s="3809">
        <f t="shared" si="0"/>
        <v>0</v>
      </c>
      <c r="F13" s="3809"/>
      <c r="G13" s="3808">
        <v>778572647.22000003</v>
      </c>
      <c r="H13" s="3808">
        <v>0</v>
      </c>
      <c r="I13" s="3809">
        <f t="shared" si="1"/>
        <v>778572647.22000003</v>
      </c>
      <c r="K13" s="3869"/>
      <c r="L13" s="3869"/>
    </row>
    <row r="14" spans="1:12" s="3781" customFormat="1" ht="15.75">
      <c r="A14" s="3803" t="s">
        <v>1523</v>
      </c>
      <c r="B14" s="3804"/>
      <c r="C14" s="3808">
        <f>380609426.56</f>
        <v>380609426.56</v>
      </c>
      <c r="D14" s="3808">
        <v>0</v>
      </c>
      <c r="E14" s="3809">
        <f t="shared" si="0"/>
        <v>380609426.56</v>
      </c>
      <c r="F14" s="3809"/>
      <c r="G14" s="3808">
        <f>4846121708.66</f>
        <v>4846121708.6599998</v>
      </c>
      <c r="H14" s="3808">
        <v>0</v>
      </c>
      <c r="I14" s="3809">
        <f t="shared" si="1"/>
        <v>4846121708.6599998</v>
      </c>
      <c r="K14" s="3869"/>
      <c r="L14" s="3869"/>
    </row>
    <row r="15" spans="1:12" s="3781" customFormat="1" ht="15.75">
      <c r="A15" s="3803" t="s">
        <v>1524</v>
      </c>
      <c r="B15" s="3804"/>
      <c r="C15" s="3808">
        <v>49057891.859999999</v>
      </c>
      <c r="D15" s="3808">
        <v>0</v>
      </c>
      <c r="E15" s="3809">
        <f t="shared" si="0"/>
        <v>49057891.859999999</v>
      </c>
      <c r="F15" s="3809"/>
      <c r="G15" s="3808">
        <f>1169416735.22</f>
        <v>1169416735.22</v>
      </c>
      <c r="H15" s="3808">
        <v>0</v>
      </c>
      <c r="I15" s="3809">
        <f t="shared" si="1"/>
        <v>1169416735.22</v>
      </c>
      <c r="K15" s="3869"/>
      <c r="L15" s="3869"/>
    </row>
    <row r="16" spans="1:12" s="3781" customFormat="1" ht="15.75">
      <c r="A16" s="3803" t="s">
        <v>1525</v>
      </c>
      <c r="B16" s="3804"/>
      <c r="C16" s="3808">
        <v>45437609.030000001</v>
      </c>
      <c r="D16" s="3808">
        <v>0</v>
      </c>
      <c r="E16" s="3809">
        <f t="shared" si="0"/>
        <v>45437609.030000001</v>
      </c>
      <c r="F16" s="3809"/>
      <c r="G16" s="3808">
        <v>702271459.13</v>
      </c>
      <c r="H16" s="3808">
        <v>0</v>
      </c>
      <c r="I16" s="3809">
        <f t="shared" si="1"/>
        <v>702271459.13</v>
      </c>
      <c r="K16" s="3869"/>
      <c r="L16" s="3869"/>
    </row>
    <row r="17" spans="1:12" s="3781" customFormat="1" ht="15.75">
      <c r="A17" s="3803" t="s">
        <v>1517</v>
      </c>
      <c r="B17" s="3804"/>
      <c r="C17" s="3808">
        <v>178605815.03</v>
      </c>
      <c r="D17" s="3808">
        <v>0</v>
      </c>
      <c r="E17" s="3809">
        <f t="shared" si="0"/>
        <v>178605815.03</v>
      </c>
      <c r="F17" s="3809"/>
      <c r="G17" s="3808">
        <v>2675445949.1599998</v>
      </c>
      <c r="H17" s="3808">
        <v>0</v>
      </c>
      <c r="I17" s="3809">
        <f t="shared" si="1"/>
        <v>2675445949.1599998</v>
      </c>
      <c r="K17" s="3869"/>
      <c r="L17" s="3869"/>
    </row>
    <row r="18" spans="1:12" s="3781" customFormat="1" ht="15.75">
      <c r="A18" s="3803" t="s">
        <v>1526</v>
      </c>
      <c r="B18" s="3804"/>
      <c r="C18" s="3808">
        <f>714636197.18-9904860</f>
        <v>704731337.17999995</v>
      </c>
      <c r="D18" s="3808">
        <v>0</v>
      </c>
      <c r="E18" s="3809">
        <f t="shared" si="0"/>
        <v>704731337.17999995</v>
      </c>
      <c r="F18" s="3809"/>
      <c r="G18" s="3808">
        <f>8656145386.88-9904860</f>
        <v>8646240526.8799992</v>
      </c>
      <c r="H18" s="3808">
        <v>0</v>
      </c>
      <c r="I18" s="3809">
        <f t="shared" si="1"/>
        <v>8646240526.8799992</v>
      </c>
      <c r="K18" s="3869"/>
      <c r="L18" s="3869"/>
    </row>
    <row r="19" spans="1:12" s="3781" customFormat="1" ht="15.75">
      <c r="A19" s="3803" t="s">
        <v>1527</v>
      </c>
      <c r="B19" s="3804"/>
      <c r="C19" s="3808">
        <f>1353773300.97</f>
        <v>1353773300.97</v>
      </c>
      <c r="D19" s="3808">
        <v>0</v>
      </c>
      <c r="E19" s="3809">
        <f t="shared" si="0"/>
        <v>1353773300.97</v>
      </c>
      <c r="F19" s="3809"/>
      <c r="G19" s="3808">
        <f>13480940306.69-163150854.71</f>
        <v>13317789451.980001</v>
      </c>
      <c r="H19" s="3808">
        <v>0</v>
      </c>
      <c r="I19" s="3809">
        <f t="shared" si="1"/>
        <v>13317789451.980001</v>
      </c>
      <c r="K19" s="3869"/>
      <c r="L19" s="3869"/>
    </row>
    <row r="20" spans="1:12" s="3781" customFormat="1" ht="15.75">
      <c r="A20" s="3803" t="s">
        <v>1518</v>
      </c>
      <c r="B20" s="3804"/>
      <c r="C20" s="3808">
        <v>31207810.359999999</v>
      </c>
      <c r="D20" s="3808">
        <v>0</v>
      </c>
      <c r="E20" s="3809">
        <f t="shared" si="0"/>
        <v>31207810.359999999</v>
      </c>
      <c r="F20" s="3809"/>
      <c r="G20" s="3808">
        <v>1289614960.8399999</v>
      </c>
      <c r="H20" s="3808">
        <v>0</v>
      </c>
      <c r="I20" s="3809">
        <f t="shared" si="1"/>
        <v>1289614960.8399999</v>
      </c>
      <c r="K20" s="3869"/>
      <c r="L20" s="3869"/>
    </row>
    <row r="21" spans="1:12" s="3781" customFormat="1" ht="15.75">
      <c r="A21" s="3803" t="s">
        <v>1528</v>
      </c>
      <c r="B21" s="3804"/>
      <c r="C21" s="3808">
        <v>51897037.5</v>
      </c>
      <c r="D21" s="3808">
        <v>0</v>
      </c>
      <c r="E21" s="3809">
        <f t="shared" si="0"/>
        <v>51897037.5</v>
      </c>
      <c r="F21" s="3809"/>
      <c r="G21" s="3808">
        <v>370985207.70999998</v>
      </c>
      <c r="H21" s="3808">
        <v>0</v>
      </c>
      <c r="I21" s="3809">
        <f t="shared" si="1"/>
        <v>370985207.70999998</v>
      </c>
      <c r="K21" s="3869"/>
      <c r="L21" s="3869"/>
    </row>
    <row r="22" spans="1:12" s="3781" customFormat="1" ht="15.75">
      <c r="A22" s="3803" t="s">
        <v>1529</v>
      </c>
      <c r="B22" s="3804"/>
      <c r="C22" s="3808">
        <v>1417382.47</v>
      </c>
      <c r="D22" s="3808">
        <v>0</v>
      </c>
      <c r="E22" s="3809">
        <f t="shared" si="0"/>
        <v>1417382.47</v>
      </c>
      <c r="F22" s="3809"/>
      <c r="G22" s="3808">
        <v>79935079.579999998</v>
      </c>
      <c r="H22" s="3808">
        <v>0</v>
      </c>
      <c r="I22" s="3809">
        <f t="shared" si="1"/>
        <v>79935079.579999998</v>
      </c>
      <c r="K22" s="3869"/>
      <c r="L22" s="3869"/>
    </row>
    <row r="23" spans="1:12" s="3781" customFormat="1" ht="15.75">
      <c r="A23" s="3803" t="s">
        <v>1555</v>
      </c>
      <c r="B23" s="3804"/>
      <c r="C23" s="3808">
        <f>131344107.46</f>
        <v>131344107.45999999</v>
      </c>
      <c r="D23" s="3808">
        <v>-1869479</v>
      </c>
      <c r="E23" s="3809">
        <f t="shared" si="0"/>
        <v>129474628.45999999</v>
      </c>
      <c r="F23" s="3809"/>
      <c r="G23" s="3808">
        <f>3019900.05+3671707888.22</f>
        <v>3674727788.27</v>
      </c>
      <c r="H23" s="3808">
        <f>28534162</f>
        <v>28534162</v>
      </c>
      <c r="I23" s="3809">
        <f t="shared" si="1"/>
        <v>3703261950.27</v>
      </c>
      <c r="K23" s="3869"/>
      <c r="L23" s="3869"/>
    </row>
    <row r="24" spans="1:12" s="3781" customFormat="1" ht="15.75">
      <c r="A24" s="3803" t="s">
        <v>1530</v>
      </c>
      <c r="B24" s="3804"/>
      <c r="C24" s="3808">
        <f>3449711+669560117.7-25000000</f>
        <v>648009828.70000005</v>
      </c>
      <c r="D24" s="3808">
        <v>0</v>
      </c>
      <c r="E24" s="3809">
        <f t="shared" si="0"/>
        <v>648009828.70000005</v>
      </c>
      <c r="F24" s="3809"/>
      <c r="G24" s="3808">
        <f>1228741023.49+3449711-25000000</f>
        <v>1207190734.49</v>
      </c>
      <c r="H24" s="3808">
        <v>0</v>
      </c>
      <c r="I24" s="3809">
        <f t="shared" si="1"/>
        <v>1207190734.49</v>
      </c>
      <c r="K24" s="3869"/>
      <c r="L24" s="3869"/>
    </row>
    <row r="25" spans="1:12" s="3781" customFormat="1" ht="15.75" customHeight="1">
      <c r="A25" s="3803" t="s">
        <v>1611</v>
      </c>
      <c r="B25" s="3804"/>
      <c r="C25" s="3808">
        <v>15490500</v>
      </c>
      <c r="D25" s="3808">
        <v>0</v>
      </c>
      <c r="E25" s="3809">
        <f>(C25+D25)</f>
        <v>15490500</v>
      </c>
      <c r="F25" s="3809"/>
      <c r="G25" s="3808">
        <v>15490500</v>
      </c>
      <c r="H25" s="3808">
        <v>0</v>
      </c>
      <c r="I25" s="3809">
        <f>+G25+H25</f>
        <v>15490500</v>
      </c>
      <c r="K25" s="3869"/>
      <c r="L25" s="3869"/>
    </row>
    <row r="26" spans="1:12" s="3779" customFormat="1" ht="18.75">
      <c r="A26" s="3813" t="s">
        <v>1550</v>
      </c>
      <c r="B26" s="3800"/>
      <c r="C26" s="3831">
        <f>SUM(C11:C25)</f>
        <v>3602853569.4200001</v>
      </c>
      <c r="D26" s="3831">
        <f>SUM(D11:D25)</f>
        <v>-1318987</v>
      </c>
      <c r="E26" s="3831">
        <f>SUM(E11:E25)</f>
        <v>3601534582.4200001</v>
      </c>
      <c r="F26" s="3832"/>
      <c r="G26" s="3831">
        <f>SUM(G11:G25)</f>
        <v>38955530055.560005</v>
      </c>
      <c r="H26" s="3831">
        <f>SUM(H11:H25)</f>
        <v>412105119</v>
      </c>
      <c r="I26" s="3831">
        <f>SUM(I11:I25)</f>
        <v>39367635174.560005</v>
      </c>
      <c r="J26" s="3853"/>
      <c r="K26" s="3870"/>
    </row>
    <row r="27" spans="1:12" ht="6" customHeight="1">
      <c r="A27" s="3833"/>
      <c r="B27" s="3794"/>
      <c r="C27" s="3834"/>
      <c r="D27" s="3834"/>
      <c r="E27" s="3834"/>
      <c r="F27" s="3834"/>
      <c r="G27" s="3835"/>
      <c r="H27" s="3835"/>
      <c r="I27" s="3835"/>
    </row>
    <row r="28" spans="1:12" ht="42" customHeight="1">
      <c r="A28" s="3845" t="s">
        <v>1570</v>
      </c>
      <c r="B28" s="3794"/>
      <c r="C28" s="3881">
        <v>-170318270.59</v>
      </c>
      <c r="D28" s="3881"/>
      <c r="E28" s="3887">
        <f>+C28</f>
        <v>-170318270.59</v>
      </c>
      <c r="F28" s="3888"/>
      <c r="G28" s="3885">
        <v>-1810844827.0999999</v>
      </c>
      <c r="H28" s="3885"/>
      <c r="I28" s="3889">
        <f>+G28</f>
        <v>-1810844827.0999999</v>
      </c>
      <c r="J28" s="3766"/>
      <c r="K28" s="3868"/>
    </row>
    <row r="29" spans="1:12" ht="15.6" customHeight="1">
      <c r="A29" s="3787"/>
      <c r="B29" s="3794"/>
      <c r="C29" s="3836"/>
      <c r="D29" s="3836"/>
      <c r="E29" s="3836"/>
      <c r="F29" s="3836"/>
      <c r="G29" s="3837"/>
      <c r="H29" s="3837"/>
      <c r="I29" s="3837"/>
      <c r="K29" s="3843"/>
    </row>
    <row r="30" spans="1:12" ht="19.5" thickBot="1">
      <c r="A30" s="3787" t="s">
        <v>1551</v>
      </c>
      <c r="B30" s="3794"/>
      <c r="C30" s="3821">
        <f>+C26+C28</f>
        <v>3432535298.8299999</v>
      </c>
      <c r="D30" s="3821">
        <f>D26</f>
        <v>-1318987</v>
      </c>
      <c r="E30" s="3821">
        <f>E26+E28</f>
        <v>3431216311.8299999</v>
      </c>
      <c r="F30" s="3822"/>
      <c r="G30" s="3821">
        <f>+G26+G28</f>
        <v>37144685228.460007</v>
      </c>
      <c r="H30" s="3821">
        <f>H26</f>
        <v>412105119</v>
      </c>
      <c r="I30" s="3821">
        <f>I26+I28</f>
        <v>37556790347.460007</v>
      </c>
      <c r="J30" s="3851"/>
      <c r="K30" s="3843"/>
    </row>
    <row r="31" spans="1:12" ht="15.75" thickTop="1"/>
    <row r="32" spans="1:12" ht="16.149999999999999" customHeight="1">
      <c r="A32" s="3847" t="s">
        <v>1575</v>
      </c>
      <c r="D32" s="3852"/>
    </row>
    <row r="33" spans="1:9" ht="16.149999999999999" customHeight="1">
      <c r="A33" s="3848" t="s">
        <v>1577</v>
      </c>
      <c r="C33" s="3857"/>
      <c r="D33" s="3857"/>
      <c r="E33" s="3865"/>
      <c r="F33" s="3866"/>
      <c r="G33" s="3861"/>
      <c r="H33" s="3861"/>
      <c r="I33" s="3867"/>
    </row>
    <row r="34" spans="1:9" ht="14.45" customHeight="1">
      <c r="A34" s="3844" t="s">
        <v>1576</v>
      </c>
      <c r="I34" s="3851"/>
    </row>
    <row r="35" spans="1:9" ht="16.149999999999999" customHeight="1">
      <c r="A35" s="3844" t="s">
        <v>1560</v>
      </c>
      <c r="G35" s="3843"/>
    </row>
    <row r="36" spans="1:9" ht="16.149999999999999" customHeight="1">
      <c r="A36" s="3844" t="s">
        <v>1561</v>
      </c>
      <c r="G36" s="3843"/>
    </row>
    <row r="39" spans="1:9">
      <c r="A39" s="3792" t="s">
        <v>15</v>
      </c>
    </row>
    <row r="40" spans="1:9">
      <c r="A40" s="3961"/>
      <c r="B40" s="3961"/>
    </row>
  </sheetData>
  <mergeCells count="3">
    <mergeCell ref="C7:E7"/>
    <mergeCell ref="G7:I7"/>
    <mergeCell ref="A40:B40"/>
  </mergeCells>
  <pageMargins left="0.17" right="0.18" top="0.5" bottom="0.27" header="0.23" footer="0.18"/>
  <pageSetup scale="55" firstPageNumber="59"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workbookViewId="0"/>
  </sheetViews>
  <sheetFormatPr defaultColWidth="8.88671875" defaultRowHeight="15"/>
  <cols>
    <col min="1" max="1" width="44.88671875" style="41" customWidth="1"/>
    <col min="2" max="2" width="13.88671875" style="41" customWidth="1"/>
    <col min="3" max="3" width="1.88671875" style="41" customWidth="1"/>
    <col min="4" max="4" width="13.88671875" style="41" customWidth="1"/>
    <col min="5" max="5" width="1.5546875" style="41" customWidth="1"/>
    <col min="6" max="6" width="13.88671875" style="41" customWidth="1"/>
    <col min="7" max="7" width="1.88671875" style="41" customWidth="1"/>
    <col min="8" max="8" width="13.88671875" style="41" customWidth="1"/>
    <col min="9" max="9" width="0.88671875" style="41" customWidth="1"/>
    <col min="10" max="10" width="12.88671875" style="41" customWidth="1"/>
    <col min="11" max="11" width="1.5546875" style="41" customWidth="1"/>
    <col min="12" max="12" width="13.88671875" style="41" customWidth="1"/>
    <col min="13" max="13" width="1" style="41" customWidth="1"/>
    <col min="14" max="14" width="13.44140625" style="1755" customWidth="1"/>
    <col min="15" max="15" width="1.109375" style="1755" customWidth="1"/>
    <col min="16" max="16" width="13.109375" style="1755" customWidth="1"/>
    <col min="17" max="17" width="1.5546875" style="41" customWidth="1"/>
    <col min="18" max="18" width="1" style="104" customWidth="1"/>
    <col min="19" max="19" width="11.88671875" style="41" customWidth="1"/>
    <col min="20" max="20" width="0.88671875" style="104" customWidth="1"/>
    <col min="21" max="21" width="10.88671875" style="41" customWidth="1"/>
    <col min="22" max="22" width="0.44140625" style="104" customWidth="1"/>
    <col min="23" max="16384" width="8.88671875" style="41"/>
  </cols>
  <sheetData>
    <row r="1" spans="1:254">
      <c r="A1" s="653" t="s">
        <v>979</v>
      </c>
    </row>
    <row r="2" spans="1:254">
      <c r="A2" s="834"/>
    </row>
    <row r="3" spans="1:254" s="34" customFormat="1" ht="18" customHeight="1">
      <c r="A3" s="29" t="s">
        <v>0</v>
      </c>
      <c r="B3" s="29"/>
      <c r="C3" s="29"/>
      <c r="D3" s="29"/>
      <c r="E3" s="29"/>
      <c r="F3" s="30"/>
      <c r="G3" s="30"/>
      <c r="H3" s="29"/>
      <c r="I3" s="29"/>
      <c r="J3" s="29"/>
      <c r="K3" s="29"/>
      <c r="L3" s="29"/>
      <c r="M3" s="29"/>
      <c r="N3" s="3654"/>
      <c r="O3" s="3912"/>
      <c r="P3" s="3912"/>
      <c r="Q3" s="1374"/>
      <c r="R3" s="1374"/>
      <c r="S3" s="31"/>
      <c r="T3" s="33"/>
      <c r="U3" s="3913" t="s">
        <v>62</v>
      </c>
      <c r="V3" s="3913"/>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355</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75" t="s">
        <v>882</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1416</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47"/>
      <c r="L11" s="1376"/>
      <c r="M11" s="211"/>
      <c r="N11" s="750"/>
      <c r="O11" s="750"/>
      <c r="P11" s="750"/>
      <c r="Q11" s="747"/>
      <c r="R11" s="764"/>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50000000000001" customHeight="1">
      <c r="A12" s="31"/>
      <c r="B12" s="747"/>
      <c r="C12" s="747" t="s">
        <v>63</v>
      </c>
      <c r="D12" s="747"/>
      <c r="E12" s="29"/>
      <c r="F12" s="747"/>
      <c r="G12" s="747" t="s">
        <v>64</v>
      </c>
      <c r="H12" s="747"/>
      <c r="I12" s="29"/>
      <c r="J12" s="747"/>
      <c r="K12" s="747"/>
      <c r="L12" s="1376"/>
      <c r="M12" s="747" t="s">
        <v>65</v>
      </c>
      <c r="N12" s="750"/>
      <c r="O12" s="750"/>
      <c r="P12" s="750"/>
      <c r="Q12" s="747"/>
      <c r="R12" s="764"/>
      <c r="S12" s="2278" t="s">
        <v>904</v>
      </c>
      <c r="T12" s="2279"/>
      <c r="U12" s="2279"/>
      <c r="V12" s="39"/>
      <c r="W12" s="40"/>
      <c r="X12" s="40"/>
    </row>
    <row r="13" spans="1:254" ht="13.35" customHeight="1">
      <c r="A13" s="31"/>
      <c r="B13" s="42"/>
      <c r="C13" s="42"/>
      <c r="D13" s="42"/>
      <c r="E13" s="31"/>
      <c r="F13" s="42"/>
      <c r="G13" s="43"/>
      <c r="H13" s="42"/>
      <c r="I13" s="31"/>
      <c r="J13" s="42"/>
      <c r="K13" s="42"/>
      <c r="L13" s="42"/>
      <c r="M13" s="42"/>
      <c r="N13" s="3658"/>
      <c r="O13" s="3658"/>
      <c r="P13" s="3658"/>
      <c r="Q13" s="36"/>
      <c r="R13" s="995"/>
      <c r="S13" s="38"/>
      <c r="T13" s="44"/>
      <c r="U13" s="40"/>
      <c r="V13" s="44"/>
      <c r="W13" s="40"/>
      <c r="X13" s="40"/>
    </row>
    <row r="14" spans="1:254" ht="16.350000000000001" customHeight="1">
      <c r="A14" s="31"/>
      <c r="B14" s="747" t="s">
        <v>7</v>
      </c>
      <c r="C14" s="29"/>
      <c r="D14" s="747" t="str">
        <f>'Exhibit A'!F11</f>
        <v>11 MOS. ENDED</v>
      </c>
      <c r="E14" s="29"/>
      <c r="F14" s="747" t="s">
        <v>7</v>
      </c>
      <c r="G14" s="209"/>
      <c r="H14" s="747" t="str">
        <f>D14</f>
        <v>11 MOS. ENDED</v>
      </c>
      <c r="I14" s="29"/>
      <c r="J14" s="747" t="s">
        <v>7</v>
      </c>
      <c r="K14" s="29"/>
      <c r="L14" s="747" t="str">
        <f>D14</f>
        <v>11 MOS. ENDED</v>
      </c>
      <c r="M14" s="29"/>
      <c r="N14" s="750" t="s">
        <v>7</v>
      </c>
      <c r="O14" s="105"/>
      <c r="P14" s="750" t="str">
        <f>H14</f>
        <v>11 MOS. ENDED</v>
      </c>
      <c r="Q14" s="747"/>
      <c r="R14" s="996"/>
      <c r="S14" s="758" t="s">
        <v>8</v>
      </c>
      <c r="T14" s="210"/>
      <c r="U14" s="759" t="s">
        <v>9</v>
      </c>
      <c r="V14" s="44"/>
      <c r="W14" s="40"/>
      <c r="X14" s="40"/>
    </row>
    <row r="15" spans="1:254" ht="16.350000000000001" customHeight="1">
      <c r="A15" s="31"/>
      <c r="B15" s="748" t="str">
        <f>'Exhibit A'!D12</f>
        <v>FEB. 2020</v>
      </c>
      <c r="C15" s="29"/>
      <c r="D15" s="749" t="str">
        <f>'Exhibit A'!F12</f>
        <v>FEB. 29, 2020</v>
      </c>
      <c r="E15" s="29"/>
      <c r="F15" s="747" t="str">
        <f>B15</f>
        <v>FEB. 2020</v>
      </c>
      <c r="G15" s="29"/>
      <c r="H15" s="747" t="str">
        <f>D15</f>
        <v>FEB. 29, 2020</v>
      </c>
      <c r="I15" s="29"/>
      <c r="J15" s="747" t="str">
        <f>B15</f>
        <v>FEB. 2020</v>
      </c>
      <c r="K15" s="29"/>
      <c r="L15" s="747" t="str">
        <f>D15</f>
        <v>FEB. 29, 2020</v>
      </c>
      <c r="M15" s="29"/>
      <c r="N15" s="3655" t="str">
        <f>'Exhibit A'!AB12</f>
        <v>FEB. 2019</v>
      </c>
      <c r="O15" s="105"/>
      <c r="P15" s="3655" t="str">
        <f>'Exhibit A'!AD12</f>
        <v>FEB. 28, 2019</v>
      </c>
      <c r="Q15" s="746"/>
      <c r="R15" s="997"/>
      <c r="S15" s="761" t="s">
        <v>12</v>
      </c>
      <c r="T15" s="209"/>
      <c r="U15" s="762" t="s">
        <v>13</v>
      </c>
      <c r="V15" s="44"/>
      <c r="W15" s="40"/>
      <c r="X15" s="40"/>
    </row>
    <row r="16" spans="1:254" ht="13.35" customHeight="1">
      <c r="A16" s="31"/>
      <c r="B16" s="42"/>
      <c r="C16" s="31"/>
      <c r="D16" s="42" t="s">
        <v>15</v>
      </c>
      <c r="E16" s="31"/>
      <c r="F16" s="42"/>
      <c r="G16" s="31"/>
      <c r="H16" s="43" t="s">
        <v>15</v>
      </c>
      <c r="I16" s="45"/>
      <c r="J16" s="46"/>
      <c r="K16" s="31"/>
      <c r="L16" s="42"/>
      <c r="M16" s="45"/>
      <c r="N16" s="109"/>
      <c r="O16" s="107"/>
      <c r="P16" s="109"/>
      <c r="Q16" s="36"/>
      <c r="R16" s="995"/>
      <c r="S16" s="38"/>
      <c r="T16" s="36"/>
      <c r="U16" s="40"/>
      <c r="V16" s="36"/>
      <c r="W16" s="40"/>
      <c r="X16" s="40"/>
    </row>
    <row r="17" spans="1:247" ht="16.350000000000001" customHeight="1">
      <c r="A17" s="29" t="s">
        <v>14</v>
      </c>
      <c r="B17" s="47"/>
      <c r="C17" s="47"/>
      <c r="D17" s="47"/>
      <c r="E17" s="47"/>
      <c r="F17" s="47"/>
      <c r="G17" s="47"/>
      <c r="H17" s="47"/>
      <c r="I17" s="48"/>
      <c r="J17" s="48"/>
      <c r="K17" s="47"/>
      <c r="L17" s="47"/>
      <c r="M17" s="48"/>
      <c r="N17" s="3631"/>
      <c r="O17" s="3659"/>
      <c r="P17" s="3703"/>
      <c r="Q17" s="49"/>
      <c r="R17" s="998"/>
      <c r="S17" s="38"/>
      <c r="T17" s="49"/>
      <c r="U17" s="40"/>
      <c r="V17" s="49"/>
      <c r="W17" s="40"/>
      <c r="X17" s="40"/>
    </row>
    <row r="18" spans="1:247" ht="16.350000000000001" customHeight="1">
      <c r="A18" s="31" t="s">
        <v>20</v>
      </c>
      <c r="B18" s="667">
        <f>'Exhibit J'!W19</f>
        <v>4.3000000000000185</v>
      </c>
      <c r="C18" s="667"/>
      <c r="D18" s="982">
        <f>+'Exhibit J'!AB19</f>
        <v>75.900000000000006</v>
      </c>
      <c r="E18" s="667"/>
      <c r="F18" s="982">
        <f>'Exhibit K'!V17</f>
        <v>56.800000000000011</v>
      </c>
      <c r="G18" s="667"/>
      <c r="H18" s="982">
        <f>+'Exhibit K'!AA17</f>
        <v>525.6</v>
      </c>
      <c r="I18" s="1228"/>
      <c r="J18" s="1228">
        <f>ROUND(SUM(B18)+SUM(F18),1)</f>
        <v>61.1</v>
      </c>
      <c r="K18" s="667"/>
      <c r="L18" s="1411">
        <f>ROUND(SUM(D18)+SUM(H18),1)</f>
        <v>601.5</v>
      </c>
      <c r="M18" s="1228"/>
      <c r="N18" s="1026">
        <v>45.5</v>
      </c>
      <c r="O18" s="1026"/>
      <c r="P18" s="1026">
        <f>'Exhibit J'!AE19+'Exhibit K'!AD17</f>
        <v>498.6</v>
      </c>
      <c r="Q18" s="982"/>
      <c r="R18" s="1412"/>
      <c r="S18" s="667">
        <f>ROUND(SUM(L18-P18),1)</f>
        <v>102.9</v>
      </c>
      <c r="T18" s="1212"/>
      <c r="U18" s="1459">
        <f>ROUND(+S18/P18,3)</f>
        <v>0.20599999999999999</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50000000000001" customHeight="1">
      <c r="A19" s="830" t="s">
        <v>66</v>
      </c>
      <c r="B19" s="652">
        <f>'Exhibit J'!W20</f>
        <v>0.90000000000000036</v>
      </c>
      <c r="C19" s="652"/>
      <c r="D19" s="954">
        <f>+'Exhibit J'!AB20</f>
        <v>15.6</v>
      </c>
      <c r="E19" s="652"/>
      <c r="F19" s="668">
        <v>0</v>
      </c>
      <c r="G19" s="652"/>
      <c r="H19" s="668">
        <v>0</v>
      </c>
      <c r="I19" s="1413"/>
      <c r="J19" s="1414">
        <f>ROUND(SUM(B19)+SUM(F19),1)</f>
        <v>0.9</v>
      </c>
      <c r="K19" s="679"/>
      <c r="L19" s="954">
        <f>ROUND(SUM(D19)+SUM(H19),1)</f>
        <v>15.6</v>
      </c>
      <c r="M19" s="1415"/>
      <c r="N19" s="1035">
        <v>1.2000000000000002</v>
      </c>
      <c r="O19" s="1035"/>
      <c r="P19" s="1035">
        <f>'Exhibit J'!AE20</f>
        <v>14.2</v>
      </c>
      <c r="Q19" s="954"/>
      <c r="R19" s="1416"/>
      <c r="S19" s="652">
        <f>ROUND(SUM(L19-P19),1)</f>
        <v>1.4</v>
      </c>
      <c r="T19" s="1417"/>
      <c r="U19" s="1554">
        <f>ROUND(+S19/P19,3)</f>
        <v>9.9000000000000005E-2</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50000000000001" customHeight="1">
      <c r="A20" s="31" t="s">
        <v>67</v>
      </c>
      <c r="B20" s="652">
        <f>'Exhibit J'!W21</f>
        <v>222.59999999999985</v>
      </c>
      <c r="C20" s="652"/>
      <c r="D20" s="954">
        <f>+'Exhibit J'!AB21</f>
        <v>1927.3</v>
      </c>
      <c r="E20" s="652"/>
      <c r="F20" s="668">
        <v>0</v>
      </c>
      <c r="G20" s="652"/>
      <c r="H20" s="668">
        <v>0</v>
      </c>
      <c r="I20" s="1413"/>
      <c r="J20" s="1418">
        <f>ROUND(SUM(B20+F20),1)</f>
        <v>222.6</v>
      </c>
      <c r="K20" s="679"/>
      <c r="L20" s="954">
        <f>ROUND(SUM(D20)+SUM(H20),1)</f>
        <v>1927.3</v>
      </c>
      <c r="M20" s="1415"/>
      <c r="N20" s="1035">
        <v>198.8</v>
      </c>
      <c r="O20" s="3657"/>
      <c r="P20" s="1035">
        <f>'Exhibit J'!AE21</f>
        <v>1837.3</v>
      </c>
      <c r="Q20" s="954"/>
      <c r="R20" s="1416"/>
      <c r="S20" s="652">
        <f>ROUND(SUM(L20-P20),1)</f>
        <v>90</v>
      </c>
      <c r="T20" s="1417"/>
      <c r="U20" s="1459">
        <f>ROUND(+S20/P20,3)</f>
        <v>4.9000000000000002E-2</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3572">
        <f>ROUND(SUM(B18:B20),1)</f>
        <v>227.8</v>
      </c>
      <c r="C21" s="933"/>
      <c r="D21" s="61">
        <f>ROUND(SUM(D18:D20),1)</f>
        <v>2018.8</v>
      </c>
      <c r="E21" s="933"/>
      <c r="F21" s="61">
        <f>ROUND(SUM(F18:F20),1)</f>
        <v>56.8</v>
      </c>
      <c r="G21" s="933"/>
      <c r="H21" s="61">
        <f>ROUND(SUM(H18:H20),1)</f>
        <v>525.6</v>
      </c>
      <c r="I21" s="63"/>
      <c r="J21" s="61">
        <f>SUM(J18:J20)</f>
        <v>284.60000000000002</v>
      </c>
      <c r="K21" s="933"/>
      <c r="L21" s="61">
        <f>SUM(L18:L20)</f>
        <v>2544.4</v>
      </c>
      <c r="M21" s="64"/>
      <c r="N21" s="3572">
        <f>ROUND(SUM(N18:N20),1)</f>
        <v>245.5</v>
      </c>
      <c r="O21" s="112"/>
      <c r="P21" s="3572">
        <f>ROUND(SUM(P18:P20),1)</f>
        <v>2350.1</v>
      </c>
      <c r="Q21" s="76"/>
      <c r="R21" s="337"/>
      <c r="S21" s="61">
        <f>ROUND(SUM(S18:S20),1)</f>
        <v>194.3</v>
      </c>
      <c r="T21" s="677"/>
      <c r="U21" s="1460">
        <f>ROUND(+S21/P21,3)</f>
        <v>8.3000000000000004E-2</v>
      </c>
      <c r="V21" s="59"/>
      <c r="W21" s="40"/>
      <c r="X21" s="40"/>
    </row>
    <row r="22" spans="1:247" ht="15.75">
      <c r="A22" s="29"/>
      <c r="B22" s="652"/>
      <c r="C22" s="652"/>
      <c r="D22" s="652"/>
      <c r="E22" s="652"/>
      <c r="F22" s="652"/>
      <c r="G22" s="652"/>
      <c r="H22" s="652"/>
      <c r="I22" s="1414"/>
      <c r="J22" s="1414"/>
      <c r="K22" s="652"/>
      <c r="L22" s="652"/>
      <c r="M22" s="1414"/>
      <c r="N22" s="1035"/>
      <c r="O22" s="906"/>
      <c r="P22" s="1035"/>
      <c r="Q22" s="954"/>
      <c r="R22" s="1416"/>
      <c r="S22" s="931"/>
      <c r="T22" s="1419"/>
      <c r="U22" s="1461"/>
      <c r="V22" s="49"/>
      <c r="W22" s="40"/>
      <c r="X22" s="40"/>
    </row>
    <row r="23" spans="1:247" ht="16.350000000000001" customHeight="1">
      <c r="A23" s="29" t="s">
        <v>23</v>
      </c>
      <c r="B23" s="652"/>
      <c r="C23" s="652"/>
      <c r="D23" s="652"/>
      <c r="E23" s="652"/>
      <c r="F23" s="652"/>
      <c r="G23" s="652"/>
      <c r="H23" s="652"/>
      <c r="I23" s="1414"/>
      <c r="J23" s="1414"/>
      <c r="K23" s="652"/>
      <c r="L23" s="652"/>
      <c r="M23" s="1414"/>
      <c r="N23" s="1035"/>
      <c r="O23" s="906"/>
      <c r="P23" s="1035"/>
      <c r="Q23" s="954"/>
      <c r="R23" s="1416"/>
      <c r="S23" s="931"/>
      <c r="T23" s="1419"/>
      <c r="U23" s="1461"/>
      <c r="V23" s="49"/>
      <c r="W23" s="40"/>
      <c r="X23" s="40"/>
    </row>
    <row r="24" spans="1:247" ht="16.350000000000001" customHeight="1">
      <c r="A24" s="31" t="s">
        <v>36</v>
      </c>
      <c r="B24" s="652"/>
      <c r="C24" s="652"/>
      <c r="D24" s="652"/>
      <c r="E24" s="652"/>
      <c r="F24" s="652"/>
      <c r="G24" s="652"/>
      <c r="H24" s="652"/>
      <c r="I24" s="1414"/>
      <c r="J24" s="1414"/>
      <c r="K24" s="652"/>
      <c r="L24" s="652"/>
      <c r="M24" s="1414"/>
      <c r="N24" s="1035"/>
      <c r="O24" s="906"/>
      <c r="P24" s="1035"/>
      <c r="Q24" s="954"/>
      <c r="R24" s="1416"/>
      <c r="S24" s="931"/>
      <c r="T24" s="1419"/>
      <c r="U24" s="1461"/>
      <c r="V24" s="49"/>
      <c r="W24" s="40"/>
      <c r="X24" s="40"/>
    </row>
    <row r="25" spans="1:247" ht="16.350000000000001" customHeight="1">
      <c r="A25" s="31" t="s">
        <v>68</v>
      </c>
      <c r="B25" s="652">
        <f>'Exhibit J'!W29</f>
        <v>0.89999999999999858</v>
      </c>
      <c r="C25" s="652"/>
      <c r="D25" s="954">
        <f>+'Exhibit J'!AB29</f>
        <v>16.2</v>
      </c>
      <c r="E25" s="652"/>
      <c r="F25" s="652">
        <f>'Exhibit K'!V25</f>
        <v>8.7999999999999972</v>
      </c>
      <c r="G25" s="652"/>
      <c r="H25" s="652">
        <f>+'Exhibit K'!AA25</f>
        <v>115.1</v>
      </c>
      <c r="I25" s="1414"/>
      <c r="J25" s="1414">
        <f>ROUND(SUM(B25)+SUM(F25),1)</f>
        <v>9.6999999999999993</v>
      </c>
      <c r="K25" s="652"/>
      <c r="L25" s="954">
        <f>ROUND(SUM(D25)+SUM(H25),1)</f>
        <v>131.30000000000001</v>
      </c>
      <c r="M25" s="1414"/>
      <c r="N25" s="1035">
        <v>7.7</v>
      </c>
      <c r="O25" s="1035"/>
      <c r="P25" s="1035">
        <f>'Exhibit J'!AE29+'Exhibit K'!AD25</f>
        <v>100.4</v>
      </c>
      <c r="Q25" s="954"/>
      <c r="R25" s="1416"/>
      <c r="S25" s="652">
        <f>ROUND(SUM(L25-P25),1)</f>
        <v>30.9</v>
      </c>
      <c r="T25" s="677"/>
      <c r="U25" s="1459">
        <f>ROUND(+S25/P25,3)</f>
        <v>0.308</v>
      </c>
      <c r="V25" s="49"/>
      <c r="W25" s="40"/>
      <c r="X25" s="40"/>
    </row>
    <row r="26" spans="1:247" ht="16.350000000000001" customHeight="1">
      <c r="A26" s="31" t="s">
        <v>69</v>
      </c>
      <c r="B26" s="652">
        <f>'Exhibit J'!W30</f>
        <v>4.2999999999999972</v>
      </c>
      <c r="C26" s="652"/>
      <c r="D26" s="954">
        <f>+'Exhibit J'!AB30</f>
        <v>54.3</v>
      </c>
      <c r="E26" s="652"/>
      <c r="F26" s="652">
        <f>'Exhibit K'!V26</f>
        <v>70.500000000000028</v>
      </c>
      <c r="G26" s="652"/>
      <c r="H26" s="652">
        <f>+'Exhibit K'!AA26</f>
        <v>410</v>
      </c>
      <c r="I26" s="1414"/>
      <c r="J26" s="1414">
        <f>ROUND(SUM(B26)+SUM(F26),1)</f>
        <v>74.8</v>
      </c>
      <c r="K26" s="652"/>
      <c r="L26" s="954">
        <f>ROUND(SUM(D26)+SUM(H26),1)</f>
        <v>464.3</v>
      </c>
      <c r="M26" s="1414"/>
      <c r="N26" s="1035">
        <v>41.5</v>
      </c>
      <c r="O26" s="1035"/>
      <c r="P26" s="1035">
        <f>'Exhibit J'!AE30+'Exhibit K'!AD26</f>
        <v>452.1</v>
      </c>
      <c r="Q26" s="954"/>
      <c r="R26" s="1416"/>
      <c r="S26" s="652">
        <f>ROUND(SUM(L26-P26),1)</f>
        <v>12.2</v>
      </c>
      <c r="T26" s="677"/>
      <c r="U26" s="1459">
        <f>ROUND(+S26/P26,3)</f>
        <v>2.7E-2</v>
      </c>
      <c r="V26" s="49"/>
      <c r="W26" s="40"/>
      <c r="X26" s="40"/>
    </row>
    <row r="27" spans="1:247" ht="16.350000000000001" customHeight="1">
      <c r="A27" s="31" t="s">
        <v>70</v>
      </c>
      <c r="B27" s="652">
        <f>'Exhibit J'!W31</f>
        <v>0.10000000000000009</v>
      </c>
      <c r="C27" s="652"/>
      <c r="D27" s="954">
        <f>+'Exhibit J'!AB31</f>
        <v>1.5</v>
      </c>
      <c r="E27" s="954"/>
      <c r="F27" s="652">
        <f>'Exhibit K'!V27</f>
        <v>4.3999999999999986</v>
      </c>
      <c r="G27" s="652"/>
      <c r="H27" s="1420">
        <f>+'Exhibit K'!AA27</f>
        <v>52.5</v>
      </c>
      <c r="I27" s="954"/>
      <c r="J27" s="1414">
        <f>ROUND(SUM(B27)+SUM(F27),1)</f>
        <v>4.5</v>
      </c>
      <c r="K27" s="652"/>
      <c r="L27" s="954">
        <f>ROUND(SUM(D27)+SUM(H27),1)</f>
        <v>54</v>
      </c>
      <c r="M27" s="1414"/>
      <c r="N27" s="1035">
        <v>1.5</v>
      </c>
      <c r="O27" s="3657"/>
      <c r="P27" s="1035">
        <f>'Exhibit J'!AE31+'Exhibit K'!AD27</f>
        <v>69.800000000000011</v>
      </c>
      <c r="Q27" s="954"/>
      <c r="R27" s="1416"/>
      <c r="S27" s="652">
        <f>ROUND(SUM(L27-P27),1)</f>
        <v>-15.8</v>
      </c>
      <c r="T27" s="677"/>
      <c r="U27" s="1459">
        <f>ROUND(+S27/P27,3)</f>
        <v>-0.22600000000000001</v>
      </c>
      <c r="V27" s="49"/>
      <c r="W27" s="40"/>
      <c r="X27" s="40"/>
    </row>
    <row r="28" spans="1:247" ht="15.75" customHeight="1">
      <c r="A28" s="830" t="s">
        <v>71</v>
      </c>
      <c r="B28" s="652">
        <f>'Exhibit J'!W32</f>
        <v>222.99999999999997</v>
      </c>
      <c r="C28" s="652"/>
      <c r="D28" s="954">
        <f>+'Exhibit J'!AB32</f>
        <v>1943.5</v>
      </c>
      <c r="E28" s="652"/>
      <c r="F28" s="957">
        <v>0</v>
      </c>
      <c r="G28" s="652"/>
      <c r="H28" s="1422">
        <v>0</v>
      </c>
      <c r="I28" s="954"/>
      <c r="J28" s="1414">
        <f>ROUND(SUM(B28)+SUM(F28),1)</f>
        <v>223</v>
      </c>
      <c r="K28" s="1205"/>
      <c r="L28" s="954">
        <f>ROUND(SUM(D28)+SUM(H28),1)</f>
        <v>1943.5</v>
      </c>
      <c r="M28" s="1423"/>
      <c r="N28" s="1035">
        <v>199.8</v>
      </c>
      <c r="O28" s="1042"/>
      <c r="P28" s="1756">
        <f>'Exhibit J'!AE32</f>
        <v>1851.5</v>
      </c>
      <c r="Q28" s="985"/>
      <c r="R28" s="1424"/>
      <c r="S28" s="652">
        <f>ROUND(SUM(L28-P28),1)</f>
        <v>92</v>
      </c>
      <c r="T28" s="677"/>
      <c r="U28" s="1459">
        <f>ROUND(+S28/P28,3)</f>
        <v>0.05</v>
      </c>
      <c r="V28" s="59"/>
      <c r="W28" s="40"/>
      <c r="X28" s="40"/>
    </row>
    <row r="29" spans="1:247" ht="15.75">
      <c r="A29" s="29" t="s">
        <v>58</v>
      </c>
      <c r="B29" s="3572">
        <f>ROUND(SUM(B25:B28),1)</f>
        <v>228.3</v>
      </c>
      <c r="C29" s="933"/>
      <c r="D29" s="61">
        <f>ROUND(SUM(D25:D28),1)</f>
        <v>2015.5</v>
      </c>
      <c r="E29" s="933"/>
      <c r="F29" s="61">
        <f>ROUND(SUM(F24:F28),1)</f>
        <v>83.7</v>
      </c>
      <c r="G29" s="933"/>
      <c r="H29" s="61">
        <f>ROUND(SUM(H25:H28),1)</f>
        <v>577.6</v>
      </c>
      <c r="I29" s="63"/>
      <c r="J29" s="71">
        <f>ROUND(SUM(J25:J28),1)</f>
        <v>312</v>
      </c>
      <c r="K29" s="933"/>
      <c r="L29" s="72">
        <f>ROUND(SUM(L25:L28),1)</f>
        <v>2593.1</v>
      </c>
      <c r="M29" s="64"/>
      <c r="N29" s="3572">
        <f>ROUND(SUM(N25:N28),1)</f>
        <v>250.5</v>
      </c>
      <c r="O29" s="112"/>
      <c r="P29" s="3572">
        <f>ROUND(SUM(P25:P28),1)</f>
        <v>2473.8000000000002</v>
      </c>
      <c r="Q29" s="76"/>
      <c r="R29" s="337"/>
      <c r="S29" s="61">
        <f>ROUND(SUM(S25:S28),1)</f>
        <v>119.3</v>
      </c>
      <c r="T29" s="677"/>
      <c r="U29" s="1462">
        <f>ROUND(+S29/P29,3)</f>
        <v>4.8000000000000001E-2</v>
      </c>
      <c r="V29" s="59"/>
      <c r="W29" s="40"/>
      <c r="X29" s="40"/>
    </row>
    <row r="30" spans="1:247" ht="15.75">
      <c r="A30" s="29"/>
      <c r="B30" s="652"/>
      <c r="C30" s="652"/>
      <c r="D30" s="652"/>
      <c r="E30" s="652"/>
      <c r="F30" s="652"/>
      <c r="G30" s="652"/>
      <c r="H30" s="652"/>
      <c r="I30" s="1414"/>
      <c r="J30" s="1414"/>
      <c r="K30" s="652"/>
      <c r="L30" s="652"/>
      <c r="M30" s="1414"/>
      <c r="N30" s="1035"/>
      <c r="O30" s="906"/>
      <c r="P30" s="1035"/>
      <c r="Q30" s="954"/>
      <c r="R30" s="1416"/>
      <c r="S30" s="931"/>
      <c r="T30" s="1419"/>
      <c r="U30" s="1461"/>
      <c r="V30" s="49"/>
      <c r="W30" s="40"/>
      <c r="X30" s="40"/>
    </row>
    <row r="31" spans="1:247" ht="16.350000000000001" customHeight="1">
      <c r="A31" s="29" t="s">
        <v>44</v>
      </c>
      <c r="B31" s="652"/>
      <c r="C31" s="652"/>
      <c r="D31" s="652"/>
      <c r="E31" s="652"/>
      <c r="F31" s="652"/>
      <c r="G31" s="652"/>
      <c r="H31" s="652"/>
      <c r="I31" s="1414"/>
      <c r="J31" s="1414"/>
      <c r="K31" s="652"/>
      <c r="L31" s="652"/>
      <c r="M31" s="1414"/>
      <c r="N31" s="1035"/>
      <c r="O31" s="906"/>
      <c r="P31" s="1035"/>
      <c r="Q31" s="954"/>
      <c r="R31" s="1416"/>
      <c r="S31" s="931"/>
      <c r="T31" s="1419"/>
      <c r="U31" s="1461"/>
      <c r="V31" s="49"/>
      <c r="W31" s="40"/>
      <c r="X31" s="40"/>
    </row>
    <row r="32" spans="1:247" ht="15.75">
      <c r="A32" s="29" t="s">
        <v>72</v>
      </c>
      <c r="B32" s="73">
        <f>ROUND(SUM(B21-B29),1)</f>
        <v>-0.5</v>
      </c>
      <c r="C32" s="933"/>
      <c r="D32" s="74">
        <f>ROUND(SUM(D21-D29),1)</f>
        <v>3.3</v>
      </c>
      <c r="E32" s="933"/>
      <c r="F32" s="74">
        <f>ROUND(SUM(F21-F29),1)</f>
        <v>-26.9</v>
      </c>
      <c r="G32" s="933"/>
      <c r="H32" s="74">
        <f>ROUND(SUM(H21-H29),1)</f>
        <v>-52</v>
      </c>
      <c r="I32" s="64"/>
      <c r="J32" s="75">
        <f>ROUND(SUM(J21-J29),1)</f>
        <v>-27.4</v>
      </c>
      <c r="K32" s="933"/>
      <c r="L32" s="74">
        <f>ROUND(SUM(L21-L29),1)</f>
        <v>-48.7</v>
      </c>
      <c r="M32" s="64"/>
      <c r="N32" s="113">
        <f>ROUND(SUM(N21-N29),1)</f>
        <v>-5</v>
      </c>
      <c r="O32" s="115"/>
      <c r="P32" s="113">
        <f>ROUND(SUM(P21-P29),1)</f>
        <v>-123.7</v>
      </c>
      <c r="Q32" s="76"/>
      <c r="R32" s="337"/>
      <c r="S32" s="74">
        <f>ROUND(SUM(S21-S29),1)</f>
        <v>75</v>
      </c>
      <c r="T32" s="1419"/>
      <c r="U32" s="1656">
        <f>-ROUND(+S32/P32,3)</f>
        <v>0.60599999999999998</v>
      </c>
      <c r="V32" s="49"/>
      <c r="W32" s="40"/>
      <c r="X32" s="40"/>
    </row>
    <row r="33" spans="1:247">
      <c r="A33" s="31"/>
      <c r="B33" s="652"/>
      <c r="C33" s="652"/>
      <c r="D33" s="652"/>
      <c r="E33" s="652"/>
      <c r="F33" s="652"/>
      <c r="G33" s="652"/>
      <c r="H33" s="652"/>
      <c r="I33" s="1414"/>
      <c r="J33" s="1414"/>
      <c r="K33" s="652"/>
      <c r="L33" s="652"/>
      <c r="M33" s="1414"/>
      <c r="N33" s="1035"/>
      <c r="O33" s="906"/>
      <c r="P33" s="1035"/>
      <c r="Q33" s="954"/>
      <c r="R33" s="1416"/>
      <c r="S33" s="931"/>
      <c r="T33" s="1419"/>
      <c r="U33" s="1461"/>
      <c r="V33" s="49"/>
      <c r="W33" s="40"/>
      <c r="X33" s="40"/>
    </row>
    <row r="34" spans="1:247" ht="16.350000000000001" customHeight="1">
      <c r="A34" s="29" t="s">
        <v>46</v>
      </c>
      <c r="B34" s="652"/>
      <c r="C34" s="652"/>
      <c r="D34" s="652"/>
      <c r="E34" s="652"/>
      <c r="F34" s="652"/>
      <c r="G34" s="652"/>
      <c r="H34" s="652"/>
      <c r="I34" s="1414"/>
      <c r="J34" s="1414"/>
      <c r="K34" s="652"/>
      <c r="L34" s="652"/>
      <c r="M34" s="1414"/>
      <c r="N34" s="1035"/>
      <c r="O34" s="906"/>
      <c r="P34" s="1035"/>
      <c r="Q34" s="954"/>
      <c r="R34" s="1416"/>
      <c r="S34" s="931"/>
      <c r="T34" s="1419"/>
      <c r="U34" s="1461"/>
      <c r="V34" s="49"/>
      <c r="W34" s="40"/>
      <c r="X34" s="40"/>
    </row>
    <row r="35" spans="1:247" ht="16.350000000000001" customHeight="1">
      <c r="A35" s="31" t="s">
        <v>48</v>
      </c>
      <c r="B35" s="957">
        <f>+'Exhibit J'!W44</f>
        <v>0</v>
      </c>
      <c r="C35" s="652"/>
      <c r="D35" s="957">
        <f>+'Exhibit J'!AB44</f>
        <v>0</v>
      </c>
      <c r="E35" s="652"/>
      <c r="F35" s="652">
        <f>'Exhibit K'!V39</f>
        <v>4.7999999999999936</v>
      </c>
      <c r="G35" s="690"/>
      <c r="H35" s="1425">
        <f>+'Exhibit K'!AA39</f>
        <v>72.5</v>
      </c>
      <c r="I35" s="1414"/>
      <c r="J35" s="1414">
        <f>ROUND(SUM(B35)+SUM(F35),1)</f>
        <v>4.8</v>
      </c>
      <c r="K35" s="690"/>
      <c r="L35" s="1420">
        <f>ROUND(SUM(D35)+SUM(H35),1)</f>
        <v>72.5</v>
      </c>
      <c r="M35" s="954"/>
      <c r="N35" s="1035">
        <v>3.1</v>
      </c>
      <c r="O35" s="1035"/>
      <c r="P35" s="1757">
        <f>'Exhibit J'!AE44+'Exhibit K'!AD39</f>
        <v>56</v>
      </c>
      <c r="Q35" s="1421"/>
      <c r="R35" s="1426"/>
      <c r="S35" s="652">
        <f>ROUND(SUM(L35-P35),1)</f>
        <v>16.5</v>
      </c>
      <c r="T35" s="677"/>
      <c r="U35" s="1409">
        <f>ROUND(IF(S35=0,0,S35/(P35)),3)</f>
        <v>0.29499999999999998</v>
      </c>
      <c r="V35" s="80"/>
      <c r="W35" s="40"/>
      <c r="X35" s="40"/>
    </row>
    <row r="36" spans="1:247" s="1755" customFormat="1" ht="16.350000000000001" customHeight="1">
      <c r="A36" s="107" t="s">
        <v>73</v>
      </c>
      <c r="B36" s="3166">
        <f>+'Exhibit J'!W45</f>
        <v>0</v>
      </c>
      <c r="C36" s="1055"/>
      <c r="D36" s="1049">
        <f>+'Exhibit J'!AB45</f>
        <v>0</v>
      </c>
      <c r="E36" s="906"/>
      <c r="F36" s="906">
        <f>'Exhibit K'!V40</f>
        <v>0</v>
      </c>
      <c r="G36" s="906"/>
      <c r="H36" s="1039">
        <f>+'Exhibit K'!AA40</f>
        <v>-4.3</v>
      </c>
      <c r="I36" s="3167"/>
      <c r="J36" s="1442">
        <f>ROUND(SUM(B36)+SUM(F36),1)</f>
        <v>0</v>
      </c>
      <c r="K36" s="906"/>
      <c r="L36" s="1035">
        <f>ROUND(SUM(D36)+SUM(H36),1)</f>
        <v>-4.3</v>
      </c>
      <c r="M36" s="1442"/>
      <c r="N36" s="1035">
        <v>0</v>
      </c>
      <c r="O36" s="3657"/>
      <c r="P36" s="1757">
        <f>'Exhibit J'!AE45+'Exhibit K'!AD40</f>
        <v>-11.1</v>
      </c>
      <c r="Q36" s="1757"/>
      <c r="R36" s="3168"/>
      <c r="S36" s="3169">
        <f>-ROUND(SUM(L36-P36),1)</f>
        <v>-6.8</v>
      </c>
      <c r="T36" s="658"/>
      <c r="U36" s="3170">
        <f>ROUND(IF(P36=0,0,S36/ABS(P36)),3)</f>
        <v>-0.61299999999999999</v>
      </c>
      <c r="V36" s="3171"/>
      <c r="W36" s="3172"/>
      <c r="X36" s="3172"/>
    </row>
    <row r="37" spans="1:247" ht="15.75">
      <c r="A37" s="29" t="s">
        <v>50</v>
      </c>
      <c r="B37" s="81">
        <f>ROUND(SUM(B35:B36),1)</f>
        <v>0</v>
      </c>
      <c r="C37" s="82"/>
      <c r="D37" s="81">
        <f>ROUND(SUM(D35:D36),1)</f>
        <v>0</v>
      </c>
      <c r="E37" s="933"/>
      <c r="F37" s="83">
        <f>ROUND(SUM(F35:F36),1)</f>
        <v>4.8</v>
      </c>
      <c r="G37" s="84"/>
      <c r="H37" s="85">
        <f>ROUND(SUM(H35:H36),1)</f>
        <v>68.2</v>
      </c>
      <c r="I37" s="76"/>
      <c r="J37" s="86">
        <f>ROUND(SUM(J35:J36),1)</f>
        <v>4.8</v>
      </c>
      <c r="K37" s="84"/>
      <c r="L37" s="85">
        <f>ROUND(SUM(L35:L36),1)</f>
        <v>68.2</v>
      </c>
      <c r="M37" s="64"/>
      <c r="N37" s="3660">
        <f>ROUND(SUM(N35:N36),1)</f>
        <v>3.1</v>
      </c>
      <c r="O37" s="112"/>
      <c r="P37" s="3660">
        <f>ROUND(SUM(P35:P36),1)</f>
        <v>44.9</v>
      </c>
      <c r="Q37" s="993"/>
      <c r="R37" s="999"/>
      <c r="S37" s="83">
        <f>L37-P37</f>
        <v>23.300000000000004</v>
      </c>
      <c r="T37" s="1427"/>
      <c r="U37" s="286">
        <f>ROUND(SUM(S37/P37),3)</f>
        <v>0.51900000000000002</v>
      </c>
      <c r="V37" s="87"/>
      <c r="W37" s="40"/>
      <c r="X37" s="40"/>
    </row>
    <row r="38" spans="1:247" ht="15.75">
      <c r="A38" s="29"/>
      <c r="B38" s="697"/>
      <c r="C38" s="652"/>
      <c r="D38" s="697"/>
      <c r="E38" s="652"/>
      <c r="F38" s="954"/>
      <c r="G38" s="652"/>
      <c r="H38" s="954"/>
      <c r="I38" s="1414"/>
      <c r="J38" s="1414"/>
      <c r="K38" s="652"/>
      <c r="L38" s="697"/>
      <c r="M38" s="1414"/>
      <c r="N38" s="1035"/>
      <c r="O38" s="906"/>
      <c r="P38" s="1035"/>
      <c r="Q38" s="954"/>
      <c r="R38" s="1416"/>
      <c r="S38" s="931"/>
      <c r="T38" s="1419"/>
      <c r="U38" s="834"/>
      <c r="V38" s="49"/>
      <c r="W38" s="40"/>
      <c r="X38" s="40"/>
    </row>
    <row r="39" spans="1:247" ht="15.75" customHeight="1">
      <c r="A39" s="29" t="s">
        <v>44</v>
      </c>
      <c r="B39" s="652"/>
      <c r="C39" s="652"/>
      <c r="D39" s="652"/>
      <c r="E39" s="652"/>
      <c r="F39" s="906"/>
      <c r="G39" s="652"/>
      <c r="H39" s="652"/>
      <c r="I39" s="1414"/>
      <c r="J39" s="1414"/>
      <c r="K39" s="652"/>
      <c r="L39" s="652"/>
      <c r="M39" s="1414"/>
      <c r="N39" s="1035"/>
      <c r="O39" s="906"/>
      <c r="P39" s="1035"/>
      <c r="Q39" s="954"/>
      <c r="R39" s="1416"/>
      <c r="S39" s="931"/>
      <c r="T39" s="1419"/>
      <c r="U39" s="834"/>
      <c r="V39" s="49"/>
      <c r="W39" s="40"/>
      <c r="X39" s="40"/>
    </row>
    <row r="40" spans="1:247" ht="15.75" customHeight="1">
      <c r="A40" s="29" t="s">
        <v>74</v>
      </c>
      <c r="B40" s="652"/>
      <c r="C40" s="652"/>
      <c r="D40" s="652"/>
      <c r="E40" s="652"/>
      <c r="F40" s="906"/>
      <c r="G40" s="652"/>
      <c r="H40" s="652"/>
      <c r="I40" s="1414"/>
      <c r="J40" s="1414"/>
      <c r="K40" s="652"/>
      <c r="L40" s="652"/>
      <c r="M40" s="1414"/>
      <c r="N40" s="1035"/>
      <c r="O40" s="906"/>
      <c r="P40" s="1035"/>
      <c r="Q40" s="954"/>
      <c r="R40" s="1416"/>
      <c r="S40" s="931"/>
      <c r="T40" s="1419"/>
      <c r="U40" s="834"/>
      <c r="V40" s="49"/>
      <c r="W40" s="40"/>
      <c r="X40" s="40"/>
    </row>
    <row r="41" spans="1:247" ht="15.75" customHeight="1">
      <c r="A41" s="29" t="s">
        <v>75</v>
      </c>
      <c r="B41" s="652"/>
      <c r="C41" s="652"/>
      <c r="D41" s="652"/>
      <c r="E41" s="652"/>
      <c r="F41" s="906"/>
      <c r="G41" s="652"/>
      <c r="H41" s="652"/>
      <c r="I41" s="1414"/>
      <c r="J41" s="1414"/>
      <c r="K41" s="652"/>
      <c r="L41" s="652"/>
      <c r="M41" s="1414"/>
      <c r="N41" s="1035"/>
      <c r="O41" s="906"/>
      <c r="P41" s="1035"/>
      <c r="Q41" s="954"/>
      <c r="R41" s="1416"/>
      <c r="S41" s="931"/>
      <c r="T41" s="1419"/>
      <c r="U41" s="834"/>
      <c r="V41" s="49"/>
      <c r="W41" s="40"/>
      <c r="X41" s="40"/>
    </row>
    <row r="42" spans="1:247" ht="15.75" customHeight="1">
      <c r="A42" s="29" t="s">
        <v>76</v>
      </c>
      <c r="B42" s="89">
        <f>ROUND(SUM(B32,B37),1)</f>
        <v>-0.5</v>
      </c>
      <c r="C42" s="933"/>
      <c r="D42" s="89">
        <f>ROUND(SUM(D32,D37),1)</f>
        <v>3.3</v>
      </c>
      <c r="E42" s="933"/>
      <c r="F42" s="1655">
        <f>ROUND(SUM(F32,F37),1)</f>
        <v>-22.1</v>
      </c>
      <c r="G42" s="933"/>
      <c r="H42" s="89">
        <f>ROUND(SUM(H32,H37),1)</f>
        <v>16.2</v>
      </c>
      <c r="I42" s="90"/>
      <c r="J42" s="89">
        <f>ROUND(SUM(J32,J37),1)</f>
        <v>-22.6</v>
      </c>
      <c r="K42" s="933"/>
      <c r="L42" s="89">
        <f>ROUND(SUM(L32,L37),1)</f>
        <v>19.5</v>
      </c>
      <c r="M42" s="64"/>
      <c r="N42" s="1655">
        <f>ROUND(SUM(N32,N37),1)</f>
        <v>-1.9</v>
      </c>
      <c r="O42" s="112"/>
      <c r="P42" s="1655">
        <f>ROUND(SUM(P32,P37),1)</f>
        <v>-78.8</v>
      </c>
      <c r="Q42" s="89"/>
      <c r="R42" s="1000"/>
      <c r="S42" s="89">
        <f>ROUND(SUM(S32,S37),1)</f>
        <v>98.3</v>
      </c>
      <c r="T42" s="91"/>
      <c r="U42" s="1534">
        <f>-ROUND(S42/P42,3)</f>
        <v>1.2470000000000001</v>
      </c>
      <c r="V42" s="49"/>
      <c r="W42" s="40"/>
      <c r="X42" s="40"/>
    </row>
    <row r="43" spans="1:247" ht="15.75">
      <c r="A43" s="29"/>
      <c r="B43" s="652"/>
      <c r="C43" s="652"/>
      <c r="D43" s="652"/>
      <c r="E43" s="652"/>
      <c r="F43" s="906"/>
      <c r="G43" s="652"/>
      <c r="H43" s="652"/>
      <c r="I43" s="1414"/>
      <c r="J43" s="1414"/>
      <c r="K43" s="652"/>
      <c r="L43" s="652"/>
      <c r="M43" s="1414"/>
      <c r="N43" s="1035"/>
      <c r="O43" s="906"/>
      <c r="P43" s="1035"/>
      <c r="Q43" s="954"/>
      <c r="R43" s="1416"/>
      <c r="S43" s="931"/>
      <c r="T43" s="1419"/>
      <c r="U43" s="931"/>
      <c r="V43" s="49"/>
      <c r="W43" s="40"/>
      <c r="X43" s="40"/>
    </row>
    <row r="44" spans="1:247" s="65" customFormat="1" ht="15.75">
      <c r="A44" s="29" t="s">
        <v>77</v>
      </c>
      <c r="B44" s="933">
        <f>+'Exhibit J'!W16</f>
        <v>30.4</v>
      </c>
      <c r="C44" s="933"/>
      <c r="D44" s="933">
        <f>+'Exhibit J'!AB16</f>
        <v>26.6</v>
      </c>
      <c r="E44" s="933"/>
      <c r="F44" s="3664">
        <f>+'Exhibit K'!V14</f>
        <v>-264.39999999999998</v>
      </c>
      <c r="G44" s="933"/>
      <c r="H44" s="933">
        <f>+'Exhibit K'!AA14</f>
        <v>-302.7</v>
      </c>
      <c r="I44" s="64"/>
      <c r="J44" s="64">
        <f>ROUND(SUM(B44)+SUM(F44),1)</f>
        <v>-234</v>
      </c>
      <c r="K44" s="933"/>
      <c r="L44" s="933">
        <f>ROUND(SUM(D44)+SUM(H44),1)</f>
        <v>-276.10000000000002</v>
      </c>
      <c r="M44" s="64"/>
      <c r="N44" s="120">
        <v>-321.5</v>
      </c>
      <c r="O44" s="112"/>
      <c r="P44" s="113">
        <f>'Exhibit J'!AE16+'Exhibit K'!AD14</f>
        <v>-244.6</v>
      </c>
      <c r="Q44" s="76"/>
      <c r="R44" s="337"/>
      <c r="S44" s="933">
        <f>ROUND(SUM(L44-P44),1)</f>
        <v>-31.5</v>
      </c>
      <c r="T44" s="91"/>
      <c r="U44" s="1534">
        <f>-ROUND(SUM(S44/P44),3)</f>
        <v>-0.129</v>
      </c>
      <c r="V44" s="91"/>
      <c r="W44" s="92"/>
      <c r="X44" s="92"/>
    </row>
    <row r="45" spans="1:247" ht="16.5" thickBot="1">
      <c r="A45" s="29" t="s">
        <v>78</v>
      </c>
      <c r="B45" s="93">
        <f>ROUND(SUM(B42+B44),1)</f>
        <v>29.9</v>
      </c>
      <c r="C45" s="94"/>
      <c r="D45" s="93">
        <f>ROUND(SUM(D42+D44),1)</f>
        <v>29.9</v>
      </c>
      <c r="E45" s="94"/>
      <c r="F45" s="136">
        <f>ROUND(SUM(F42+F44),1)</f>
        <v>-286.5</v>
      </c>
      <c r="G45" s="94"/>
      <c r="H45" s="93">
        <f>ROUND(SUM(H42+H44),1)</f>
        <v>-286.5</v>
      </c>
      <c r="I45" s="95"/>
      <c r="J45" s="96">
        <f>ROUND(SUM(J42+J44),1)</f>
        <v>-256.60000000000002</v>
      </c>
      <c r="K45" s="94"/>
      <c r="L45" s="97">
        <f>ROUND(SUM(L42+L44),1)</f>
        <v>-256.60000000000002</v>
      </c>
      <c r="M45" s="95"/>
      <c r="N45" s="1517">
        <f>ROUND(SUM(N42+N44),1)</f>
        <v>-323.39999999999998</v>
      </c>
      <c r="O45" s="135"/>
      <c r="P45" s="1517">
        <f>ROUND(SUM(P42+P44),1)</f>
        <v>-323.39999999999998</v>
      </c>
      <c r="Q45" s="219"/>
      <c r="R45" s="329"/>
      <c r="S45" s="98">
        <f>ROUND(SUM(S42+S44),1)</f>
        <v>66.8</v>
      </c>
      <c r="T45" s="1212"/>
      <c r="U45" s="1506">
        <f>ROUND(SUM(S45/ABS(P45)),3)</f>
        <v>0.20699999999999999</v>
      </c>
      <c r="V45" s="52"/>
      <c r="W45" s="40"/>
      <c r="X45" s="40"/>
    </row>
    <row r="46" spans="1:247" ht="4.3499999999999996" customHeight="1" thickTop="1">
      <c r="A46" s="31"/>
      <c r="B46" s="1428"/>
      <c r="C46" s="937"/>
      <c r="D46" s="1428"/>
      <c r="E46" s="937"/>
      <c r="F46" s="1057"/>
      <c r="G46" s="937"/>
      <c r="H46" s="1428"/>
      <c r="I46" s="937"/>
      <c r="J46" s="1428"/>
      <c r="K46" s="937"/>
      <c r="L46" s="1428"/>
      <c r="M46" s="937"/>
      <c r="N46" s="1030"/>
      <c r="O46" s="1028"/>
      <c r="P46" s="1030"/>
      <c r="Q46" s="1212"/>
      <c r="R46" s="1212"/>
      <c r="S46" s="937"/>
      <c r="T46" s="1429"/>
      <c r="U46" s="1430"/>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99"/>
      <c r="B47" s="38"/>
      <c r="C47" s="38"/>
      <c r="D47" s="38"/>
      <c r="E47" s="38"/>
      <c r="F47" s="1104"/>
      <c r="G47" s="38"/>
      <c r="H47" s="38"/>
      <c r="I47" s="38"/>
      <c r="J47" s="38"/>
      <c r="K47" s="38"/>
      <c r="L47" s="38"/>
      <c r="M47" s="38"/>
      <c r="N47" s="3661"/>
      <c r="O47" s="3661"/>
      <c r="P47" s="3661"/>
      <c r="Q47" s="38"/>
      <c r="R47" s="103"/>
      <c r="S47" s="38"/>
      <c r="T47" s="44"/>
      <c r="U47" s="40"/>
      <c r="V47" s="44"/>
      <c r="W47" s="40"/>
      <c r="X47" s="40"/>
    </row>
    <row r="48" spans="1:247" s="102" customFormat="1" ht="16.5" customHeight="1">
      <c r="A48" s="1062"/>
      <c r="N48" s="1754"/>
      <c r="O48" s="1754"/>
      <c r="P48" s="1754"/>
      <c r="R48" s="994"/>
    </row>
    <row r="49" spans="1:21">
      <c r="A49" s="699"/>
      <c r="B49" s="38"/>
      <c r="C49" s="38"/>
      <c r="D49" s="38"/>
      <c r="E49" s="38"/>
      <c r="F49" s="38"/>
      <c r="G49" s="38"/>
      <c r="H49" s="38"/>
      <c r="I49" s="38"/>
      <c r="J49" s="38"/>
      <c r="K49" s="38"/>
      <c r="L49" s="38"/>
      <c r="M49" s="38"/>
      <c r="N49" s="3662"/>
      <c r="O49" s="3661"/>
      <c r="P49" s="3662"/>
      <c r="Q49" s="38"/>
      <c r="R49" s="103"/>
      <c r="S49" s="38"/>
      <c r="T49" s="103"/>
      <c r="U49" s="38"/>
    </row>
    <row r="50" spans="1:21">
      <c r="A50" s="699"/>
      <c r="B50" s="38"/>
      <c r="C50" s="38"/>
      <c r="D50" s="38"/>
      <c r="E50" s="38"/>
      <c r="F50" s="38"/>
      <c r="G50" s="38"/>
      <c r="H50" s="38"/>
      <c r="I50" s="38"/>
      <c r="J50" s="38"/>
      <c r="K50" s="38"/>
      <c r="L50" s="38"/>
      <c r="M50" s="38"/>
      <c r="N50" s="279"/>
      <c r="O50" s="3661"/>
      <c r="P50" s="279"/>
      <c r="Q50" s="38"/>
      <c r="R50" s="103"/>
      <c r="S50" s="38"/>
      <c r="T50" s="103"/>
      <c r="U50" s="38"/>
    </row>
    <row r="51" spans="1:21">
      <c r="A51" s="699"/>
      <c r="B51" s="38"/>
      <c r="C51" s="38"/>
      <c r="D51" s="38"/>
      <c r="E51" s="38"/>
      <c r="F51" s="38"/>
      <c r="G51" s="38"/>
      <c r="H51" s="38"/>
      <c r="I51" s="38"/>
      <c r="J51" s="38"/>
      <c r="K51" s="38"/>
      <c r="L51" s="38"/>
      <c r="M51" s="38"/>
      <c r="N51" s="3661"/>
      <c r="O51" s="3661"/>
      <c r="P51" s="3661"/>
      <c r="Q51" s="38"/>
      <c r="R51" s="103"/>
      <c r="S51" s="38"/>
      <c r="T51" s="103"/>
      <c r="U51" s="38"/>
    </row>
    <row r="52" spans="1:21">
      <c r="A52" s="699"/>
      <c r="B52" s="38"/>
      <c r="C52" s="38"/>
      <c r="D52" s="38"/>
      <c r="E52" s="38"/>
      <c r="F52" s="38"/>
      <c r="G52" s="38"/>
      <c r="H52" s="38"/>
      <c r="I52" s="38"/>
      <c r="J52" s="38"/>
      <c r="K52" s="38"/>
      <c r="L52" s="38"/>
      <c r="M52" s="38"/>
      <c r="N52" s="3661"/>
      <c r="O52" s="3661"/>
      <c r="P52" s="3661"/>
      <c r="Q52" s="38"/>
      <c r="R52" s="103"/>
      <c r="S52" s="38"/>
      <c r="T52" s="103"/>
      <c r="U52" s="38"/>
    </row>
    <row r="53" spans="1:21">
      <c r="A53" s="931"/>
    </row>
    <row r="54" spans="1:21">
      <c r="A54" s="931"/>
    </row>
    <row r="55" spans="1:21">
      <c r="A55" s="931"/>
    </row>
    <row r="56" spans="1:21">
      <c r="A56" s="931"/>
    </row>
    <row r="57" spans="1:21">
      <c r="A57" s="931"/>
    </row>
  </sheetData>
  <mergeCells count="2">
    <mergeCell ref="O3:P3"/>
    <mergeCell ref="U3:V3"/>
  </mergeCells>
  <pageMargins left="0.25" right="0.25" top="0.5" bottom="0.36" header="0" footer="0.25"/>
  <pageSetup scale="59"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workbookViewId="0"/>
  </sheetViews>
  <sheetFormatPr defaultColWidth="8.88671875" defaultRowHeight="15"/>
  <cols>
    <col min="1" max="1" width="44.88671875" style="899" customWidth="1"/>
    <col min="2" max="2" width="13.88671875" style="899" customWidth="1"/>
    <col min="3" max="3" width="1.88671875" style="899" customWidth="1"/>
    <col min="4" max="4" width="13.88671875" style="899" customWidth="1"/>
    <col min="5" max="5" width="2.44140625" style="899" customWidth="1"/>
    <col min="6" max="6" width="13.88671875" style="899" customWidth="1"/>
    <col min="7" max="7" width="1.88671875" style="899" customWidth="1"/>
    <col min="8" max="8" width="13.88671875" style="899" customWidth="1"/>
    <col min="9" max="9" width="1.88671875" style="899" customWidth="1"/>
    <col min="10" max="10" width="13.88671875" style="899" customWidth="1"/>
    <col min="11" max="11" width="1.88671875" style="899" customWidth="1"/>
    <col min="12" max="12" width="13.88671875" style="899" customWidth="1"/>
    <col min="13" max="13" width="0.5546875" style="899" customWidth="1"/>
    <col min="14" max="14" width="13.88671875" style="899" customWidth="1"/>
    <col min="15" max="15" width="2.5546875" style="899" customWidth="1"/>
    <col min="16" max="16" width="13.88671875" style="899" customWidth="1"/>
    <col min="17" max="17" width="1.5546875" style="899" customWidth="1"/>
    <col min="18" max="18" width="2.109375" style="1003" customWidth="1"/>
    <col min="19" max="19" width="10.5546875" style="899" bestFit="1" customWidth="1"/>
    <col min="20" max="20" width="2.44140625" style="1003" customWidth="1"/>
    <col min="21" max="21" width="11.109375" style="899" bestFit="1" customWidth="1"/>
    <col min="22" max="16384" width="8.88671875" style="899"/>
  </cols>
  <sheetData>
    <row r="1" spans="1:252">
      <c r="A1" s="653" t="s">
        <v>979</v>
      </c>
    </row>
    <row r="2" spans="1:252">
      <c r="A2" s="835"/>
    </row>
    <row r="3" spans="1:252" s="1004" customFormat="1" ht="18" customHeight="1">
      <c r="A3" s="105" t="s">
        <v>0</v>
      </c>
      <c r="B3" s="105"/>
      <c r="C3" s="105"/>
      <c r="D3" s="105"/>
      <c r="E3" s="105"/>
      <c r="F3" s="899"/>
      <c r="G3" s="899"/>
      <c r="H3" s="105"/>
      <c r="I3" s="105"/>
      <c r="J3" s="105"/>
      <c r="K3" s="105"/>
      <c r="L3" s="105"/>
      <c r="M3" s="105"/>
      <c r="N3" s="3654"/>
      <c r="P3" s="1019"/>
      <c r="Q3" s="1005"/>
      <c r="R3" s="1006"/>
      <c r="S3" s="835"/>
      <c r="T3" s="1006"/>
      <c r="U3" s="990" t="s">
        <v>79</v>
      </c>
      <c r="V3" s="835"/>
      <c r="W3" s="899"/>
      <c r="X3" s="899"/>
      <c r="Y3" s="899"/>
      <c r="Z3" s="899"/>
      <c r="AA3" s="899"/>
      <c r="AB3" s="899"/>
      <c r="AC3" s="899"/>
      <c r="AD3" s="899"/>
      <c r="AE3" s="899"/>
      <c r="AF3" s="899"/>
      <c r="AG3" s="899"/>
      <c r="AH3" s="899"/>
      <c r="AI3" s="899"/>
      <c r="AJ3" s="899"/>
      <c r="AK3" s="899"/>
      <c r="AL3" s="899"/>
      <c r="AM3" s="899"/>
      <c r="AN3" s="899"/>
      <c r="AO3" s="899"/>
      <c r="AP3" s="899"/>
      <c r="AQ3" s="899"/>
      <c r="AR3" s="899"/>
      <c r="AS3" s="899"/>
      <c r="AT3" s="899"/>
      <c r="AU3" s="899"/>
      <c r="AV3" s="899"/>
      <c r="AW3" s="899"/>
      <c r="AX3" s="899"/>
      <c r="AY3" s="899"/>
      <c r="AZ3" s="899"/>
      <c r="BA3" s="899"/>
      <c r="BB3" s="899"/>
      <c r="BC3" s="899"/>
      <c r="BD3" s="899"/>
      <c r="BE3" s="899"/>
      <c r="BF3" s="899"/>
      <c r="BG3" s="899"/>
      <c r="BH3" s="899"/>
      <c r="BI3" s="899"/>
      <c r="BJ3" s="899"/>
      <c r="BK3" s="899"/>
      <c r="BL3" s="899"/>
      <c r="BM3" s="899"/>
      <c r="BN3" s="899"/>
      <c r="BO3" s="899"/>
      <c r="BP3" s="899"/>
      <c r="BQ3" s="899"/>
      <c r="BR3" s="899"/>
      <c r="BS3" s="899"/>
      <c r="BT3" s="899"/>
      <c r="BU3" s="899"/>
      <c r="BV3" s="899"/>
      <c r="BW3" s="899"/>
      <c r="BX3" s="899"/>
      <c r="BY3" s="899"/>
      <c r="BZ3" s="899"/>
      <c r="CA3" s="899"/>
      <c r="CB3" s="899"/>
      <c r="CC3" s="899"/>
      <c r="CD3" s="899"/>
      <c r="CE3" s="899"/>
      <c r="CF3" s="899"/>
      <c r="CG3" s="899"/>
      <c r="CH3" s="899"/>
      <c r="CI3" s="899"/>
      <c r="CJ3" s="899"/>
      <c r="CK3" s="899"/>
      <c r="CL3" s="899"/>
      <c r="CM3" s="899"/>
      <c r="CN3" s="899"/>
      <c r="CO3" s="899"/>
      <c r="CP3" s="899"/>
      <c r="CQ3" s="899"/>
      <c r="CR3" s="899"/>
      <c r="CS3" s="899"/>
      <c r="CT3" s="899"/>
      <c r="CU3" s="899"/>
      <c r="CV3" s="899"/>
      <c r="CW3" s="899"/>
      <c r="CX3" s="899"/>
      <c r="CY3" s="899"/>
      <c r="CZ3" s="899"/>
      <c r="DA3" s="899"/>
      <c r="DB3" s="899"/>
      <c r="DC3" s="899"/>
      <c r="DD3" s="899"/>
      <c r="DE3" s="899"/>
      <c r="DF3" s="899"/>
      <c r="DG3" s="899"/>
      <c r="DH3" s="899"/>
      <c r="DI3" s="899"/>
      <c r="DJ3" s="899"/>
      <c r="DK3" s="899"/>
      <c r="DL3" s="899"/>
      <c r="DM3" s="899"/>
      <c r="DN3" s="899"/>
      <c r="DO3" s="899"/>
      <c r="DP3" s="899"/>
      <c r="DQ3" s="899"/>
      <c r="DR3" s="899"/>
      <c r="DS3" s="899"/>
      <c r="DT3" s="899"/>
      <c r="DU3" s="899"/>
      <c r="DV3" s="899"/>
      <c r="DW3" s="899"/>
      <c r="DX3" s="899"/>
      <c r="DY3" s="899"/>
      <c r="DZ3" s="899"/>
      <c r="EA3" s="899"/>
      <c r="EB3" s="899"/>
      <c r="EC3" s="899"/>
      <c r="ED3" s="899"/>
      <c r="EE3" s="899"/>
      <c r="EF3" s="899"/>
      <c r="EG3" s="899"/>
      <c r="EH3" s="899"/>
      <c r="EI3" s="899"/>
      <c r="EJ3" s="899"/>
      <c r="EK3" s="899"/>
      <c r="EL3" s="899"/>
      <c r="EM3" s="899"/>
      <c r="EN3" s="899"/>
      <c r="EO3" s="899"/>
      <c r="EP3" s="899"/>
      <c r="EQ3" s="899"/>
      <c r="ER3" s="899"/>
      <c r="ES3" s="899"/>
      <c r="ET3" s="899"/>
      <c r="EU3" s="899"/>
      <c r="EV3" s="899"/>
      <c r="EW3" s="899"/>
      <c r="EX3" s="899"/>
      <c r="EY3" s="899"/>
      <c r="EZ3" s="899"/>
      <c r="FA3" s="899"/>
      <c r="FB3" s="899"/>
      <c r="FC3" s="899"/>
      <c r="FD3" s="899"/>
      <c r="FE3" s="899"/>
      <c r="FF3" s="899"/>
      <c r="FG3" s="899"/>
      <c r="FH3" s="899"/>
      <c r="FI3" s="899"/>
      <c r="FJ3" s="899"/>
      <c r="FK3" s="899"/>
      <c r="FL3" s="899"/>
      <c r="FM3" s="899"/>
      <c r="FN3" s="899"/>
      <c r="FO3" s="899"/>
      <c r="FP3" s="899"/>
      <c r="FQ3" s="899"/>
      <c r="FR3" s="899"/>
      <c r="FS3" s="899"/>
      <c r="FT3" s="899"/>
      <c r="FU3" s="899"/>
      <c r="FV3" s="899"/>
      <c r="FW3" s="899"/>
      <c r="FX3" s="899"/>
      <c r="FY3" s="899"/>
      <c r="FZ3" s="899"/>
      <c r="GA3" s="899"/>
      <c r="GB3" s="899"/>
      <c r="GC3" s="899"/>
      <c r="GD3" s="899"/>
      <c r="GE3" s="899"/>
      <c r="GF3" s="899"/>
      <c r="GG3" s="899"/>
      <c r="GH3" s="899"/>
      <c r="GI3" s="899"/>
      <c r="GJ3" s="899"/>
      <c r="GK3" s="899"/>
      <c r="GL3" s="899"/>
      <c r="GM3" s="899"/>
      <c r="GN3" s="899"/>
      <c r="GO3" s="899"/>
      <c r="GP3" s="899"/>
      <c r="GQ3" s="899"/>
      <c r="GR3" s="899"/>
      <c r="GS3" s="899"/>
      <c r="GT3" s="899"/>
      <c r="GU3" s="899"/>
      <c r="GV3" s="899"/>
      <c r="GW3" s="899"/>
      <c r="GX3" s="899"/>
      <c r="GY3" s="899"/>
      <c r="GZ3" s="899"/>
      <c r="HA3" s="899"/>
      <c r="HB3" s="899"/>
      <c r="HC3" s="899"/>
      <c r="HD3" s="899"/>
      <c r="HE3" s="899"/>
      <c r="HF3" s="899"/>
      <c r="HG3" s="899"/>
      <c r="HH3" s="899"/>
      <c r="HI3" s="899"/>
      <c r="HJ3" s="899"/>
      <c r="HK3" s="899"/>
      <c r="HL3" s="899"/>
      <c r="HM3" s="899"/>
      <c r="HN3" s="899"/>
      <c r="HO3" s="899"/>
      <c r="HP3" s="899"/>
      <c r="HQ3" s="899"/>
      <c r="HR3" s="899"/>
      <c r="HS3" s="899"/>
      <c r="HT3" s="899"/>
      <c r="HU3" s="899"/>
      <c r="HV3" s="899"/>
      <c r="HW3" s="899"/>
      <c r="HX3" s="899"/>
      <c r="HY3" s="899"/>
      <c r="HZ3" s="899"/>
      <c r="IA3" s="899"/>
      <c r="IB3" s="899"/>
      <c r="IC3" s="899"/>
      <c r="ID3" s="899"/>
      <c r="IE3" s="899"/>
      <c r="IF3" s="899"/>
      <c r="IG3" s="899"/>
      <c r="IH3" s="899"/>
      <c r="II3" s="899"/>
      <c r="IJ3" s="899"/>
      <c r="IK3" s="899"/>
      <c r="IL3" s="899"/>
      <c r="IM3" s="899"/>
      <c r="IN3" s="899"/>
      <c r="IO3" s="899"/>
      <c r="IP3" s="899"/>
      <c r="IQ3" s="899"/>
      <c r="IR3" s="899"/>
    </row>
    <row r="4" spans="1:252" s="1004" customFormat="1" ht="15.75" customHeight="1">
      <c r="A4" s="105" t="s">
        <v>883</v>
      </c>
      <c r="B4" s="105"/>
      <c r="C4" s="105"/>
      <c r="D4" s="105"/>
      <c r="E4" s="105"/>
      <c r="F4" s="899"/>
      <c r="G4" s="899"/>
      <c r="H4" s="105"/>
      <c r="I4" s="105"/>
      <c r="J4" s="105"/>
      <c r="K4" s="105"/>
      <c r="L4" s="105"/>
      <c r="M4" s="105"/>
      <c r="N4" s="105"/>
      <c r="O4" s="105"/>
      <c r="P4" s="105"/>
      <c r="Q4" s="1005"/>
      <c r="R4" s="1006"/>
      <c r="S4" s="835"/>
      <c r="T4" s="1006"/>
      <c r="U4" s="835"/>
      <c r="V4" s="835"/>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899"/>
      <c r="AV4" s="899"/>
      <c r="AW4" s="899"/>
      <c r="AX4" s="899"/>
      <c r="AY4" s="899"/>
      <c r="AZ4" s="899"/>
      <c r="BA4" s="899"/>
      <c r="BB4" s="899"/>
      <c r="BC4" s="899"/>
      <c r="BD4" s="899"/>
      <c r="BE4" s="899"/>
      <c r="BF4" s="899"/>
      <c r="BG4" s="899"/>
      <c r="BH4" s="899"/>
      <c r="BI4" s="899"/>
      <c r="BJ4" s="899"/>
      <c r="BK4" s="899"/>
      <c r="BL4" s="899"/>
      <c r="BM4" s="899"/>
      <c r="BN4" s="899"/>
      <c r="BO4" s="899"/>
      <c r="BP4" s="899"/>
      <c r="BQ4" s="899"/>
      <c r="BR4" s="899"/>
      <c r="BS4" s="899"/>
      <c r="BT4" s="899"/>
      <c r="BU4" s="899"/>
      <c r="BV4" s="899"/>
      <c r="BW4" s="899"/>
      <c r="BX4" s="899"/>
      <c r="BY4" s="899"/>
      <c r="BZ4" s="899"/>
      <c r="CA4" s="899"/>
      <c r="CB4" s="899"/>
      <c r="CC4" s="899"/>
      <c r="CD4" s="899"/>
      <c r="CE4" s="899"/>
      <c r="CF4" s="899"/>
      <c r="CG4" s="899"/>
      <c r="CH4" s="899"/>
      <c r="CI4" s="899"/>
      <c r="CJ4" s="899"/>
      <c r="CK4" s="899"/>
      <c r="CL4" s="899"/>
      <c r="CM4" s="899"/>
      <c r="CN4" s="899"/>
      <c r="CO4" s="899"/>
      <c r="CP4" s="899"/>
      <c r="CQ4" s="899"/>
      <c r="CR4" s="899"/>
      <c r="CS4" s="899"/>
      <c r="CT4" s="899"/>
      <c r="CU4" s="899"/>
      <c r="CV4" s="899"/>
      <c r="CW4" s="899"/>
      <c r="CX4" s="899"/>
      <c r="CY4" s="899"/>
      <c r="CZ4" s="899"/>
      <c r="DA4" s="899"/>
      <c r="DB4" s="899"/>
      <c r="DC4" s="899"/>
      <c r="DD4" s="899"/>
      <c r="DE4" s="899"/>
      <c r="DF4" s="899"/>
      <c r="DG4" s="899"/>
      <c r="DH4" s="899"/>
      <c r="DI4" s="899"/>
      <c r="DJ4" s="899"/>
      <c r="DK4" s="899"/>
      <c r="DL4" s="899"/>
      <c r="DM4" s="899"/>
      <c r="DN4" s="899"/>
      <c r="DO4" s="899"/>
      <c r="DP4" s="899"/>
      <c r="DQ4" s="899"/>
      <c r="DR4" s="899"/>
      <c r="DS4" s="899"/>
      <c r="DT4" s="899"/>
      <c r="DU4" s="899"/>
      <c r="DV4" s="899"/>
      <c r="DW4" s="899"/>
      <c r="DX4" s="899"/>
      <c r="DY4" s="899"/>
      <c r="DZ4" s="899"/>
      <c r="EA4" s="899"/>
      <c r="EB4" s="899"/>
      <c r="EC4" s="899"/>
      <c r="ED4" s="899"/>
      <c r="EE4" s="899"/>
      <c r="EF4" s="899"/>
      <c r="EG4" s="899"/>
      <c r="EH4" s="899"/>
      <c r="EI4" s="899"/>
      <c r="EJ4" s="899"/>
      <c r="EK4" s="899"/>
      <c r="EL4" s="899"/>
      <c r="EM4" s="899"/>
      <c r="EN4" s="899"/>
      <c r="EO4" s="899"/>
      <c r="EP4" s="899"/>
      <c r="EQ4" s="899"/>
      <c r="ER4" s="899"/>
      <c r="ES4" s="899"/>
      <c r="ET4" s="899"/>
      <c r="EU4" s="899"/>
      <c r="EV4" s="899"/>
      <c r="EW4" s="899"/>
      <c r="EX4" s="899"/>
      <c r="EY4" s="899"/>
      <c r="EZ4" s="899"/>
      <c r="FA4" s="899"/>
      <c r="FB4" s="899"/>
      <c r="FC4" s="899"/>
      <c r="FD4" s="899"/>
      <c r="FE4" s="899"/>
      <c r="FF4" s="899"/>
      <c r="FG4" s="899"/>
      <c r="FH4" s="899"/>
      <c r="FI4" s="899"/>
      <c r="FJ4" s="899"/>
      <c r="FK4" s="899"/>
      <c r="FL4" s="899"/>
      <c r="FM4" s="899"/>
      <c r="FN4" s="899"/>
      <c r="FO4" s="899"/>
      <c r="FP4" s="899"/>
      <c r="FQ4" s="899"/>
      <c r="FR4" s="899"/>
      <c r="FS4" s="899"/>
      <c r="FT4" s="899"/>
      <c r="FU4" s="899"/>
      <c r="FV4" s="899"/>
      <c r="FW4" s="899"/>
      <c r="FX4" s="899"/>
      <c r="FY4" s="899"/>
      <c r="FZ4" s="899"/>
      <c r="GA4" s="899"/>
      <c r="GB4" s="899"/>
      <c r="GC4" s="899"/>
      <c r="GD4" s="899"/>
      <c r="GE4" s="899"/>
      <c r="GF4" s="899"/>
      <c r="GG4" s="899"/>
      <c r="GH4" s="899"/>
      <c r="GI4" s="899"/>
      <c r="GJ4" s="899"/>
      <c r="GK4" s="899"/>
      <c r="GL4" s="899"/>
      <c r="GM4" s="899"/>
      <c r="GN4" s="899"/>
      <c r="GO4" s="899"/>
      <c r="GP4" s="899"/>
      <c r="GQ4" s="899"/>
      <c r="GR4" s="899"/>
      <c r="GS4" s="899"/>
      <c r="GT4" s="899"/>
      <c r="GU4" s="899"/>
      <c r="GV4" s="899"/>
      <c r="GW4" s="899"/>
      <c r="GX4" s="899"/>
      <c r="GY4" s="899"/>
      <c r="GZ4" s="899"/>
      <c r="HA4" s="899"/>
      <c r="HB4" s="899"/>
      <c r="HC4" s="899"/>
      <c r="HD4" s="899"/>
      <c r="HE4" s="899"/>
      <c r="HF4" s="899"/>
      <c r="HG4" s="899"/>
      <c r="HH4" s="899"/>
      <c r="HI4" s="899"/>
      <c r="HJ4" s="899"/>
      <c r="HK4" s="899"/>
      <c r="HL4" s="899"/>
      <c r="HM4" s="899"/>
      <c r="HN4" s="899"/>
      <c r="HO4" s="899"/>
      <c r="HP4" s="899"/>
      <c r="HQ4" s="899"/>
      <c r="HR4" s="899"/>
      <c r="HS4" s="899"/>
      <c r="HT4" s="899"/>
      <c r="HU4" s="899"/>
      <c r="HV4" s="899"/>
      <c r="HW4" s="899"/>
      <c r="HX4" s="899"/>
      <c r="HY4" s="899"/>
      <c r="HZ4" s="899"/>
      <c r="IA4" s="899"/>
      <c r="IB4" s="899"/>
      <c r="IC4" s="899"/>
      <c r="ID4" s="899"/>
      <c r="IE4" s="899"/>
      <c r="IF4" s="899"/>
      <c r="IG4" s="899"/>
      <c r="IH4" s="899"/>
      <c r="II4" s="899"/>
      <c r="IJ4" s="899"/>
      <c r="IK4" s="899"/>
      <c r="IL4" s="899"/>
      <c r="IM4" s="899"/>
      <c r="IN4" s="899"/>
      <c r="IO4" s="899"/>
      <c r="IP4" s="899"/>
      <c r="IQ4" s="899"/>
      <c r="IR4" s="899"/>
    </row>
    <row r="5" spans="1:252" s="1004" customFormat="1" ht="15.75" customHeight="1">
      <c r="A5" s="261" t="s">
        <v>884</v>
      </c>
      <c r="B5" s="105"/>
      <c r="C5" s="105"/>
      <c r="D5" s="105"/>
      <c r="E5" s="105"/>
      <c r="F5" s="899"/>
      <c r="G5" s="899"/>
      <c r="H5" s="105"/>
      <c r="I5" s="105"/>
      <c r="J5" s="105"/>
      <c r="K5" s="105"/>
      <c r="L5" s="105"/>
      <c r="M5" s="105"/>
      <c r="N5" s="105"/>
      <c r="O5" s="105"/>
      <c r="P5" s="105" t="s">
        <v>15</v>
      </c>
      <c r="Q5" s="1005"/>
      <c r="R5" s="1006"/>
      <c r="S5" s="835"/>
      <c r="T5" s="1006"/>
      <c r="U5" s="835"/>
      <c r="V5" s="835"/>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899"/>
      <c r="BN5" s="899"/>
      <c r="BO5" s="899"/>
      <c r="BP5" s="899"/>
      <c r="BQ5" s="899"/>
      <c r="BR5" s="899"/>
      <c r="BS5" s="899"/>
      <c r="BT5" s="899"/>
      <c r="BU5" s="899"/>
      <c r="BV5" s="899"/>
      <c r="BW5" s="899"/>
      <c r="BX5" s="899"/>
      <c r="BY5" s="899"/>
      <c r="BZ5" s="899"/>
      <c r="CA5" s="899"/>
      <c r="CB5" s="899"/>
      <c r="CC5" s="899"/>
      <c r="CD5" s="899"/>
      <c r="CE5" s="899"/>
      <c r="CF5" s="899"/>
      <c r="CG5" s="899"/>
      <c r="CH5" s="899"/>
      <c r="CI5" s="899"/>
      <c r="CJ5" s="899"/>
      <c r="CK5" s="899"/>
      <c r="CL5" s="899"/>
      <c r="CM5" s="899"/>
      <c r="CN5" s="899"/>
      <c r="CO5" s="899"/>
      <c r="CP5" s="899"/>
      <c r="CQ5" s="899"/>
      <c r="CR5" s="899"/>
      <c r="CS5" s="899"/>
      <c r="CT5" s="899"/>
      <c r="CU5" s="899"/>
      <c r="CV5" s="899"/>
      <c r="CW5" s="899"/>
      <c r="CX5" s="899"/>
      <c r="CY5" s="899"/>
      <c r="CZ5" s="899"/>
      <c r="DA5" s="899"/>
      <c r="DB5" s="899"/>
      <c r="DC5" s="899"/>
      <c r="DD5" s="899"/>
      <c r="DE5" s="899"/>
      <c r="DF5" s="899"/>
      <c r="DG5" s="899"/>
      <c r="DH5" s="899"/>
      <c r="DI5" s="899"/>
      <c r="DJ5" s="899"/>
      <c r="DK5" s="899"/>
      <c r="DL5" s="899"/>
      <c r="DM5" s="899"/>
      <c r="DN5" s="899"/>
      <c r="DO5" s="899"/>
      <c r="DP5" s="899"/>
      <c r="DQ5" s="899"/>
      <c r="DR5" s="899"/>
      <c r="DS5" s="899"/>
      <c r="DT5" s="899"/>
      <c r="DU5" s="899"/>
      <c r="DV5" s="899"/>
      <c r="DW5" s="899"/>
      <c r="DX5" s="899"/>
      <c r="DY5" s="899"/>
      <c r="DZ5" s="899"/>
      <c r="EA5" s="899"/>
      <c r="EB5" s="899"/>
      <c r="EC5" s="899"/>
      <c r="ED5" s="899"/>
      <c r="EE5" s="899"/>
      <c r="EF5" s="899"/>
      <c r="EG5" s="899"/>
      <c r="EH5" s="899"/>
      <c r="EI5" s="899"/>
      <c r="EJ5" s="899"/>
      <c r="EK5" s="899"/>
      <c r="EL5" s="899"/>
      <c r="EM5" s="899"/>
      <c r="EN5" s="899"/>
      <c r="EO5" s="899"/>
      <c r="EP5" s="899"/>
      <c r="EQ5" s="899"/>
      <c r="ER5" s="899"/>
      <c r="ES5" s="899"/>
      <c r="ET5" s="899"/>
      <c r="EU5" s="899"/>
      <c r="EV5" s="899"/>
      <c r="EW5" s="899"/>
      <c r="EX5" s="899"/>
      <c r="EY5" s="899"/>
      <c r="EZ5" s="899"/>
      <c r="FA5" s="899"/>
      <c r="FB5" s="899"/>
      <c r="FC5" s="899"/>
      <c r="FD5" s="899"/>
      <c r="FE5" s="899"/>
      <c r="FF5" s="899"/>
      <c r="FG5" s="899"/>
      <c r="FH5" s="899"/>
      <c r="FI5" s="899"/>
      <c r="FJ5" s="899"/>
      <c r="FK5" s="899"/>
      <c r="FL5" s="899"/>
      <c r="FM5" s="899"/>
      <c r="FN5" s="899"/>
      <c r="FO5" s="899"/>
      <c r="FP5" s="899"/>
      <c r="FQ5" s="899"/>
      <c r="FR5" s="899"/>
      <c r="FS5" s="899"/>
      <c r="FT5" s="899"/>
      <c r="FU5" s="899"/>
      <c r="FV5" s="899"/>
      <c r="FW5" s="899"/>
      <c r="FX5" s="899"/>
      <c r="FY5" s="899"/>
      <c r="FZ5" s="899"/>
      <c r="GA5" s="899"/>
      <c r="GB5" s="899"/>
      <c r="GC5" s="899"/>
      <c r="GD5" s="899"/>
      <c r="GE5" s="899"/>
      <c r="GF5" s="899"/>
      <c r="GG5" s="899"/>
      <c r="GH5" s="899"/>
      <c r="GI5" s="899"/>
      <c r="GJ5" s="899"/>
      <c r="GK5" s="899"/>
      <c r="GL5" s="899"/>
      <c r="GM5" s="899"/>
      <c r="GN5" s="899"/>
      <c r="GO5" s="899"/>
      <c r="GP5" s="899"/>
      <c r="GQ5" s="899"/>
      <c r="GR5" s="899"/>
      <c r="GS5" s="899"/>
      <c r="GT5" s="899"/>
      <c r="GU5" s="899"/>
      <c r="GV5" s="899"/>
      <c r="GW5" s="899"/>
      <c r="GX5" s="899"/>
      <c r="GY5" s="899"/>
      <c r="GZ5" s="899"/>
      <c r="HA5" s="899"/>
      <c r="HB5" s="899"/>
      <c r="HC5" s="899"/>
      <c r="HD5" s="899"/>
      <c r="HE5" s="899"/>
      <c r="HF5" s="899"/>
      <c r="HG5" s="899"/>
      <c r="HH5" s="899"/>
      <c r="HI5" s="899"/>
      <c r="HJ5" s="899"/>
      <c r="HK5" s="899"/>
      <c r="HL5" s="899"/>
      <c r="HM5" s="899"/>
      <c r="HN5" s="899"/>
      <c r="HO5" s="899"/>
      <c r="HP5" s="899"/>
      <c r="HQ5" s="899"/>
      <c r="HR5" s="899"/>
      <c r="HS5" s="899"/>
      <c r="HT5" s="899"/>
      <c r="HU5" s="899"/>
      <c r="HV5" s="899"/>
      <c r="HW5" s="899"/>
      <c r="HX5" s="899"/>
      <c r="HY5" s="899"/>
      <c r="HZ5" s="899"/>
      <c r="IA5" s="899"/>
      <c r="IB5" s="899"/>
      <c r="IC5" s="899"/>
      <c r="ID5" s="899"/>
      <c r="IE5" s="899"/>
      <c r="IF5" s="899"/>
      <c r="IG5" s="899"/>
      <c r="IH5" s="899"/>
      <c r="II5" s="899"/>
      <c r="IJ5" s="899"/>
      <c r="IK5" s="899"/>
      <c r="IL5" s="899"/>
      <c r="IM5" s="899"/>
      <c r="IN5" s="899"/>
      <c r="IO5" s="899"/>
      <c r="IP5" s="899"/>
      <c r="IQ5" s="899"/>
      <c r="IR5" s="899"/>
    </row>
    <row r="6" spans="1:252" s="1004" customFormat="1" ht="15.75" customHeight="1">
      <c r="A6" s="105" t="s">
        <v>1416</v>
      </c>
      <c r="B6" s="105"/>
      <c r="C6" s="105"/>
      <c r="D6" s="105"/>
      <c r="E6" s="105"/>
      <c r="F6" s="899"/>
      <c r="G6" s="899"/>
      <c r="H6" s="105"/>
      <c r="I6" s="105"/>
      <c r="J6" s="105"/>
      <c r="K6" s="105"/>
      <c r="L6" s="105"/>
      <c r="M6" s="105"/>
      <c r="N6" s="105"/>
      <c r="O6" s="105"/>
      <c r="P6" s="105"/>
      <c r="Q6" s="1005"/>
      <c r="R6" s="1006"/>
      <c r="S6" s="835"/>
      <c r="T6" s="1006"/>
      <c r="U6" s="835"/>
      <c r="V6" s="835"/>
      <c r="W6" s="899"/>
      <c r="X6" s="899"/>
      <c r="Y6" s="899"/>
      <c r="Z6" s="899"/>
      <c r="AA6" s="899"/>
      <c r="AB6" s="899"/>
      <c r="AC6" s="899"/>
      <c r="AD6" s="899"/>
      <c r="AE6" s="899"/>
      <c r="AF6" s="899"/>
      <c r="AG6" s="899"/>
      <c r="AH6" s="899"/>
      <c r="AI6" s="899"/>
      <c r="AJ6" s="899"/>
      <c r="AK6" s="899"/>
      <c r="AL6" s="899"/>
      <c r="AM6" s="899"/>
      <c r="AN6" s="899"/>
      <c r="AO6" s="899"/>
      <c r="AP6" s="899"/>
      <c r="AQ6" s="899"/>
      <c r="AR6" s="899"/>
      <c r="AS6" s="899"/>
      <c r="AT6" s="899"/>
      <c r="AU6" s="899"/>
      <c r="AV6" s="899"/>
      <c r="AW6" s="899"/>
      <c r="AX6" s="899"/>
      <c r="AY6" s="899"/>
      <c r="AZ6" s="899"/>
      <c r="BA6" s="899"/>
      <c r="BB6" s="899"/>
      <c r="BC6" s="899"/>
      <c r="BD6" s="899"/>
      <c r="BE6" s="899"/>
      <c r="BF6" s="899"/>
      <c r="BG6" s="899"/>
      <c r="BH6" s="899"/>
      <c r="BI6" s="899"/>
      <c r="BJ6" s="899"/>
      <c r="BK6" s="899"/>
      <c r="BL6" s="899"/>
      <c r="BM6" s="899"/>
      <c r="BN6" s="899"/>
      <c r="BO6" s="899"/>
      <c r="BP6" s="899"/>
      <c r="BQ6" s="899"/>
      <c r="BR6" s="899"/>
      <c r="BS6" s="899"/>
      <c r="BT6" s="899"/>
      <c r="BU6" s="899"/>
      <c r="BV6" s="899"/>
      <c r="BW6" s="899"/>
      <c r="BX6" s="899"/>
      <c r="BY6" s="899"/>
      <c r="BZ6" s="899"/>
      <c r="CA6" s="899"/>
      <c r="CB6" s="899"/>
      <c r="CC6" s="899"/>
      <c r="CD6" s="899"/>
      <c r="CE6" s="899"/>
      <c r="CF6" s="899"/>
      <c r="CG6" s="899"/>
      <c r="CH6" s="899"/>
      <c r="CI6" s="899"/>
      <c r="CJ6" s="899"/>
      <c r="CK6" s="899"/>
      <c r="CL6" s="899"/>
      <c r="CM6" s="899"/>
      <c r="CN6" s="899"/>
      <c r="CO6" s="899"/>
      <c r="CP6" s="899"/>
      <c r="CQ6" s="899"/>
      <c r="CR6" s="899"/>
      <c r="CS6" s="899"/>
      <c r="CT6" s="899"/>
      <c r="CU6" s="899"/>
      <c r="CV6" s="899"/>
      <c r="CW6" s="899"/>
      <c r="CX6" s="899"/>
      <c r="CY6" s="899"/>
      <c r="CZ6" s="899"/>
      <c r="DA6" s="899"/>
      <c r="DB6" s="899"/>
      <c r="DC6" s="899"/>
      <c r="DD6" s="899"/>
      <c r="DE6" s="899"/>
      <c r="DF6" s="899"/>
      <c r="DG6" s="899"/>
      <c r="DH6" s="899"/>
      <c r="DI6" s="899"/>
      <c r="DJ6" s="899"/>
      <c r="DK6" s="899"/>
      <c r="DL6" s="899"/>
      <c r="DM6" s="899"/>
      <c r="DN6" s="899"/>
      <c r="DO6" s="899"/>
      <c r="DP6" s="899"/>
      <c r="DQ6" s="899"/>
      <c r="DR6" s="899"/>
      <c r="DS6" s="899"/>
      <c r="DT6" s="899"/>
      <c r="DU6" s="899"/>
      <c r="DV6" s="899"/>
      <c r="DW6" s="899"/>
      <c r="DX6" s="899"/>
      <c r="DY6" s="899"/>
      <c r="DZ6" s="899"/>
      <c r="EA6" s="899"/>
      <c r="EB6" s="899"/>
      <c r="EC6" s="899"/>
      <c r="ED6" s="899"/>
      <c r="EE6" s="899"/>
      <c r="EF6" s="899"/>
      <c r="EG6" s="899"/>
      <c r="EH6" s="899"/>
      <c r="EI6" s="899"/>
      <c r="EJ6" s="899"/>
      <c r="EK6" s="899"/>
      <c r="EL6" s="899"/>
      <c r="EM6" s="899"/>
      <c r="EN6" s="899"/>
      <c r="EO6" s="899"/>
      <c r="EP6" s="899"/>
      <c r="EQ6" s="899"/>
      <c r="ER6" s="899"/>
      <c r="ES6" s="899"/>
      <c r="ET6" s="899"/>
      <c r="EU6" s="899"/>
      <c r="EV6" s="899"/>
      <c r="EW6" s="899"/>
      <c r="EX6" s="899"/>
      <c r="EY6" s="899"/>
      <c r="EZ6" s="899"/>
      <c r="FA6" s="899"/>
      <c r="FB6" s="899"/>
      <c r="FC6" s="899"/>
      <c r="FD6" s="899"/>
      <c r="FE6" s="899"/>
      <c r="FF6" s="899"/>
      <c r="FG6" s="899"/>
      <c r="FH6" s="899"/>
      <c r="FI6" s="899"/>
      <c r="FJ6" s="899"/>
      <c r="FK6" s="899"/>
      <c r="FL6" s="899"/>
      <c r="FM6" s="899"/>
      <c r="FN6" s="899"/>
      <c r="FO6" s="899"/>
      <c r="FP6" s="899"/>
      <c r="FQ6" s="899"/>
      <c r="FR6" s="899"/>
      <c r="FS6" s="899"/>
      <c r="FT6" s="899"/>
      <c r="FU6" s="899"/>
      <c r="FV6" s="899"/>
      <c r="FW6" s="899"/>
      <c r="FX6" s="899"/>
      <c r="FY6" s="899"/>
      <c r="FZ6" s="899"/>
      <c r="GA6" s="899"/>
      <c r="GB6" s="899"/>
      <c r="GC6" s="899"/>
      <c r="GD6" s="899"/>
      <c r="GE6" s="899"/>
      <c r="GF6" s="899"/>
      <c r="GG6" s="899"/>
      <c r="GH6" s="899"/>
      <c r="GI6" s="899"/>
      <c r="GJ6" s="899"/>
      <c r="GK6" s="899"/>
      <c r="GL6" s="899"/>
      <c r="GM6" s="899"/>
      <c r="GN6" s="899"/>
      <c r="GO6" s="899"/>
      <c r="GP6" s="899"/>
      <c r="GQ6" s="899"/>
      <c r="GR6" s="899"/>
      <c r="GS6" s="899"/>
      <c r="GT6" s="899"/>
      <c r="GU6" s="899"/>
      <c r="GV6" s="899"/>
      <c r="GW6" s="899"/>
      <c r="GX6" s="899"/>
      <c r="GY6" s="899"/>
      <c r="GZ6" s="899"/>
      <c r="HA6" s="899"/>
      <c r="HB6" s="899"/>
      <c r="HC6" s="899"/>
      <c r="HD6" s="899"/>
      <c r="HE6" s="899"/>
      <c r="HF6" s="899"/>
      <c r="HG6" s="899"/>
      <c r="HH6" s="899"/>
      <c r="HI6" s="899"/>
      <c r="HJ6" s="899"/>
      <c r="HK6" s="899"/>
      <c r="HL6" s="899"/>
      <c r="HM6" s="899"/>
      <c r="HN6" s="899"/>
      <c r="HO6" s="899"/>
      <c r="HP6" s="899"/>
      <c r="HQ6" s="899"/>
      <c r="HR6" s="899"/>
      <c r="HS6" s="899"/>
      <c r="HT6" s="899"/>
      <c r="HU6" s="899"/>
      <c r="HV6" s="899"/>
      <c r="HW6" s="899"/>
      <c r="HX6" s="899"/>
      <c r="HY6" s="899"/>
      <c r="HZ6" s="899"/>
      <c r="IA6" s="899"/>
      <c r="IB6" s="899"/>
      <c r="IC6" s="899"/>
      <c r="ID6" s="899"/>
      <c r="IE6" s="899"/>
      <c r="IF6" s="899"/>
      <c r="IG6" s="899"/>
      <c r="IH6" s="899"/>
      <c r="II6" s="899"/>
      <c r="IJ6" s="899"/>
      <c r="IK6" s="899"/>
      <c r="IL6" s="899"/>
      <c r="IM6" s="899"/>
      <c r="IN6" s="899"/>
      <c r="IO6" s="899"/>
      <c r="IP6" s="899"/>
      <c r="IQ6" s="899"/>
      <c r="IR6" s="899"/>
    </row>
    <row r="7" spans="1:252" s="1004" customFormat="1" ht="15.75">
      <c r="A7" s="108"/>
      <c r="B7" s="105"/>
      <c r="C7" s="105"/>
      <c r="D7" s="105"/>
      <c r="E7" s="105"/>
      <c r="F7" s="899"/>
      <c r="G7" s="899"/>
      <c r="H7" s="105"/>
      <c r="I7" s="105"/>
      <c r="J7" s="105"/>
      <c r="K7" s="105"/>
      <c r="L7" s="105"/>
      <c r="M7" s="105"/>
      <c r="N7" s="105"/>
      <c r="O7" s="105"/>
      <c r="P7" s="105"/>
      <c r="Q7" s="1005"/>
      <c r="R7" s="1006"/>
      <c r="S7" s="835"/>
      <c r="T7" s="1006"/>
      <c r="U7" s="835"/>
      <c r="V7" s="835"/>
      <c r="W7" s="899"/>
      <c r="X7" s="899"/>
      <c r="Y7" s="899"/>
      <c r="Z7" s="899"/>
      <c r="AA7" s="899"/>
      <c r="AB7" s="899"/>
      <c r="AC7" s="899"/>
      <c r="AD7" s="899"/>
      <c r="AE7" s="899"/>
      <c r="AF7" s="899"/>
      <c r="AG7" s="899"/>
      <c r="AH7" s="899"/>
      <c r="AI7" s="899"/>
      <c r="AJ7" s="899"/>
      <c r="AK7" s="899"/>
      <c r="AL7" s="899"/>
      <c r="AM7" s="899"/>
      <c r="AN7" s="899"/>
      <c r="AO7" s="899"/>
      <c r="AP7" s="899"/>
      <c r="AQ7" s="899"/>
      <c r="AR7" s="899"/>
      <c r="AS7" s="899"/>
      <c r="AT7" s="899"/>
      <c r="AU7" s="899"/>
      <c r="AV7" s="899"/>
      <c r="AW7" s="899"/>
      <c r="AX7" s="899"/>
      <c r="AY7" s="899"/>
      <c r="AZ7" s="899"/>
      <c r="BA7" s="899"/>
      <c r="BB7" s="899"/>
      <c r="BC7" s="899"/>
      <c r="BD7" s="899"/>
      <c r="BE7" s="899"/>
      <c r="BF7" s="899"/>
      <c r="BG7" s="899"/>
      <c r="BH7" s="899"/>
      <c r="BI7" s="899"/>
      <c r="BJ7" s="899"/>
      <c r="BK7" s="899"/>
      <c r="BL7" s="899"/>
      <c r="BM7" s="899"/>
      <c r="BN7" s="899"/>
      <c r="BO7" s="899"/>
      <c r="BP7" s="899"/>
      <c r="BQ7" s="899"/>
      <c r="BR7" s="899"/>
      <c r="BS7" s="899"/>
      <c r="BT7" s="899"/>
      <c r="BU7" s="899"/>
      <c r="BV7" s="899"/>
      <c r="BW7" s="899"/>
      <c r="BX7" s="899"/>
      <c r="BY7" s="899"/>
      <c r="BZ7" s="899"/>
      <c r="CA7" s="899"/>
      <c r="CB7" s="899"/>
      <c r="CC7" s="899"/>
      <c r="CD7" s="899"/>
      <c r="CE7" s="899"/>
      <c r="CF7" s="899"/>
      <c r="CG7" s="899"/>
      <c r="CH7" s="899"/>
      <c r="CI7" s="899"/>
      <c r="CJ7" s="899"/>
      <c r="CK7" s="899"/>
      <c r="CL7" s="899"/>
      <c r="CM7" s="899"/>
      <c r="CN7" s="899"/>
      <c r="CO7" s="899"/>
      <c r="CP7" s="899"/>
      <c r="CQ7" s="899"/>
      <c r="CR7" s="899"/>
      <c r="CS7" s="899"/>
      <c r="CT7" s="899"/>
      <c r="CU7" s="899"/>
      <c r="CV7" s="899"/>
      <c r="CW7" s="899"/>
      <c r="CX7" s="899"/>
      <c r="CY7" s="899"/>
      <c r="CZ7" s="899"/>
      <c r="DA7" s="899"/>
      <c r="DB7" s="899"/>
      <c r="DC7" s="899"/>
      <c r="DD7" s="899"/>
      <c r="DE7" s="899"/>
      <c r="DF7" s="899"/>
      <c r="DG7" s="899"/>
      <c r="DH7" s="899"/>
      <c r="DI7" s="899"/>
      <c r="DJ7" s="899"/>
      <c r="DK7" s="899"/>
      <c r="DL7" s="899"/>
      <c r="DM7" s="899"/>
      <c r="DN7" s="899"/>
      <c r="DO7" s="899"/>
      <c r="DP7" s="899"/>
      <c r="DQ7" s="899"/>
      <c r="DR7" s="899"/>
      <c r="DS7" s="899"/>
      <c r="DT7" s="899"/>
      <c r="DU7" s="899"/>
      <c r="DV7" s="899"/>
      <c r="DW7" s="899"/>
      <c r="DX7" s="899"/>
      <c r="DY7" s="899"/>
      <c r="DZ7" s="899"/>
      <c r="EA7" s="899"/>
      <c r="EB7" s="899"/>
      <c r="EC7" s="899"/>
      <c r="ED7" s="899"/>
      <c r="EE7" s="899"/>
      <c r="EF7" s="899"/>
      <c r="EG7" s="899"/>
      <c r="EH7" s="899"/>
      <c r="EI7" s="899"/>
      <c r="EJ7" s="899"/>
      <c r="EK7" s="899"/>
      <c r="EL7" s="899"/>
      <c r="EM7" s="899"/>
      <c r="EN7" s="899"/>
      <c r="EO7" s="899"/>
      <c r="EP7" s="899"/>
      <c r="EQ7" s="899"/>
      <c r="ER7" s="899"/>
      <c r="ES7" s="899"/>
      <c r="ET7" s="899"/>
      <c r="EU7" s="899"/>
      <c r="EV7" s="899"/>
      <c r="EW7" s="899"/>
      <c r="EX7" s="899"/>
      <c r="EY7" s="899"/>
      <c r="EZ7" s="899"/>
      <c r="FA7" s="899"/>
      <c r="FB7" s="899"/>
      <c r="FC7" s="899"/>
      <c r="FD7" s="899"/>
      <c r="FE7" s="899"/>
      <c r="FF7" s="899"/>
      <c r="FG7" s="899"/>
      <c r="FH7" s="899"/>
      <c r="FI7" s="899"/>
      <c r="FJ7" s="899"/>
      <c r="FK7" s="899"/>
      <c r="FL7" s="899"/>
      <c r="FM7" s="899"/>
      <c r="FN7" s="899"/>
      <c r="FO7" s="899"/>
      <c r="FP7" s="899"/>
      <c r="FQ7" s="899"/>
      <c r="FR7" s="899"/>
      <c r="FS7" s="899"/>
      <c r="FT7" s="899"/>
      <c r="FU7" s="899"/>
      <c r="FV7" s="899"/>
      <c r="FW7" s="899"/>
      <c r="FX7" s="899"/>
      <c r="FY7" s="899"/>
      <c r="FZ7" s="899"/>
      <c r="GA7" s="899"/>
      <c r="GB7" s="899"/>
      <c r="GC7" s="899"/>
      <c r="GD7" s="899"/>
      <c r="GE7" s="899"/>
      <c r="GF7" s="899"/>
      <c r="GG7" s="899"/>
      <c r="GH7" s="899"/>
      <c r="GI7" s="899"/>
      <c r="GJ7" s="899"/>
      <c r="GK7" s="899"/>
      <c r="GL7" s="899"/>
      <c r="GM7" s="899"/>
      <c r="GN7" s="899"/>
      <c r="GO7" s="899"/>
      <c r="GP7" s="899"/>
      <c r="GQ7" s="899"/>
      <c r="GR7" s="899"/>
      <c r="GS7" s="899"/>
      <c r="GT7" s="899"/>
      <c r="GU7" s="899"/>
      <c r="GV7" s="899"/>
      <c r="GW7" s="899"/>
      <c r="GX7" s="899"/>
      <c r="GY7" s="899"/>
      <c r="GZ7" s="899"/>
      <c r="HA7" s="899"/>
      <c r="HB7" s="899"/>
      <c r="HC7" s="899"/>
      <c r="HD7" s="899"/>
      <c r="HE7" s="899"/>
      <c r="HF7" s="899"/>
      <c r="HG7" s="899"/>
      <c r="HH7" s="899"/>
      <c r="HI7" s="899"/>
      <c r="HJ7" s="899"/>
      <c r="HK7" s="899"/>
      <c r="HL7" s="899"/>
      <c r="HM7" s="899"/>
      <c r="HN7" s="899"/>
      <c r="HO7" s="899"/>
      <c r="HP7" s="899"/>
      <c r="HQ7" s="899"/>
      <c r="HR7" s="899"/>
      <c r="HS7" s="899"/>
      <c r="HT7" s="899"/>
      <c r="HU7" s="899"/>
      <c r="HV7" s="899"/>
      <c r="HW7" s="899"/>
      <c r="HX7" s="899"/>
      <c r="HY7" s="899"/>
      <c r="HZ7" s="899"/>
      <c r="IA7" s="899"/>
      <c r="IB7" s="899"/>
      <c r="IC7" s="899"/>
      <c r="ID7" s="899"/>
      <c r="IE7" s="899"/>
      <c r="IF7" s="899"/>
      <c r="IG7" s="899"/>
      <c r="IH7" s="899"/>
      <c r="II7" s="899"/>
      <c r="IJ7" s="899"/>
      <c r="IK7" s="899"/>
      <c r="IL7" s="899"/>
      <c r="IM7" s="899"/>
      <c r="IN7" s="899"/>
      <c r="IO7" s="899"/>
      <c r="IP7" s="899"/>
      <c r="IQ7" s="899"/>
      <c r="IR7" s="899"/>
    </row>
    <row r="8" spans="1:252" s="1004" customFormat="1" ht="15.75">
      <c r="B8" s="105"/>
      <c r="C8" s="105"/>
      <c r="D8" s="105"/>
      <c r="E8" s="105"/>
      <c r="F8" s="899"/>
      <c r="G8" s="899"/>
      <c r="H8" s="105"/>
      <c r="I8" s="105"/>
      <c r="J8" s="105"/>
      <c r="K8" s="105"/>
      <c r="L8" s="105"/>
      <c r="M8" s="105"/>
      <c r="N8" s="105"/>
      <c r="O8" s="105"/>
      <c r="P8" s="105"/>
      <c r="Q8" s="1005"/>
      <c r="R8" s="1006"/>
      <c r="S8" s="835"/>
      <c r="T8" s="1006"/>
      <c r="U8" s="835"/>
      <c r="V8" s="835"/>
      <c r="W8" s="899"/>
      <c r="X8" s="899"/>
      <c r="Y8" s="899"/>
      <c r="Z8" s="899"/>
      <c r="AA8" s="899"/>
      <c r="AB8" s="899"/>
      <c r="AC8" s="899"/>
      <c r="AD8" s="899"/>
      <c r="AE8" s="899"/>
      <c r="AF8" s="899"/>
      <c r="AG8" s="899"/>
      <c r="AH8" s="899"/>
      <c r="AI8" s="899"/>
      <c r="AJ8" s="899"/>
      <c r="AK8" s="899"/>
      <c r="AL8" s="899"/>
      <c r="AM8" s="899"/>
      <c r="AN8" s="899"/>
      <c r="AO8" s="899"/>
      <c r="AP8" s="899"/>
      <c r="AQ8" s="899"/>
      <c r="AR8" s="899"/>
      <c r="AS8" s="899"/>
      <c r="AT8" s="899"/>
      <c r="AU8" s="899"/>
      <c r="AV8" s="899"/>
      <c r="AW8" s="899"/>
      <c r="AX8" s="899"/>
      <c r="AY8" s="899"/>
      <c r="AZ8" s="899"/>
      <c r="BA8" s="899"/>
      <c r="BB8" s="899"/>
      <c r="BC8" s="899"/>
      <c r="BD8" s="899"/>
      <c r="BE8" s="899"/>
      <c r="BF8" s="899"/>
      <c r="BG8" s="899"/>
      <c r="BH8" s="899"/>
      <c r="BI8" s="899"/>
      <c r="BJ8" s="899"/>
      <c r="BK8" s="899"/>
      <c r="BL8" s="899"/>
      <c r="BM8" s="899"/>
      <c r="BN8" s="899"/>
      <c r="BO8" s="899"/>
      <c r="BP8" s="899"/>
      <c r="BQ8" s="899"/>
      <c r="BR8" s="899"/>
      <c r="BS8" s="899"/>
      <c r="BT8" s="899"/>
      <c r="BU8" s="899"/>
      <c r="BV8" s="899"/>
      <c r="BW8" s="899"/>
      <c r="BX8" s="899"/>
      <c r="BY8" s="899"/>
      <c r="BZ8" s="899"/>
      <c r="CA8" s="899"/>
      <c r="CB8" s="899"/>
      <c r="CC8" s="899"/>
      <c r="CD8" s="899"/>
      <c r="CE8" s="899"/>
      <c r="CF8" s="899"/>
      <c r="CG8" s="899"/>
      <c r="CH8" s="899"/>
      <c r="CI8" s="899"/>
      <c r="CJ8" s="899"/>
      <c r="CK8" s="899"/>
      <c r="CL8" s="899"/>
      <c r="CM8" s="899"/>
      <c r="CN8" s="899"/>
      <c r="CO8" s="899"/>
      <c r="CP8" s="899"/>
      <c r="CQ8" s="899"/>
      <c r="CR8" s="899"/>
      <c r="CS8" s="899"/>
      <c r="CT8" s="899"/>
      <c r="CU8" s="899"/>
      <c r="CV8" s="899"/>
      <c r="CW8" s="899"/>
      <c r="CX8" s="899"/>
      <c r="CY8" s="899"/>
      <c r="CZ8" s="899"/>
      <c r="DA8" s="899"/>
      <c r="DB8" s="899"/>
      <c r="DC8" s="899"/>
      <c r="DD8" s="899"/>
      <c r="DE8" s="899"/>
      <c r="DF8" s="899"/>
      <c r="DG8" s="899"/>
      <c r="DH8" s="899"/>
      <c r="DI8" s="899"/>
      <c r="DJ8" s="899"/>
      <c r="DK8" s="899"/>
      <c r="DL8" s="899"/>
      <c r="DM8" s="899"/>
      <c r="DN8" s="899"/>
      <c r="DO8" s="899"/>
      <c r="DP8" s="899"/>
      <c r="DQ8" s="899"/>
      <c r="DR8" s="899"/>
      <c r="DS8" s="899"/>
      <c r="DT8" s="899"/>
      <c r="DU8" s="899"/>
      <c r="DV8" s="899"/>
      <c r="DW8" s="899"/>
      <c r="DX8" s="899"/>
      <c r="DY8" s="899"/>
      <c r="DZ8" s="899"/>
      <c r="EA8" s="899"/>
      <c r="EB8" s="899"/>
      <c r="EC8" s="899"/>
      <c r="ED8" s="899"/>
      <c r="EE8" s="899"/>
      <c r="EF8" s="899"/>
      <c r="EG8" s="899"/>
      <c r="EH8" s="899"/>
      <c r="EI8" s="899"/>
      <c r="EJ8" s="899"/>
      <c r="EK8" s="899"/>
      <c r="EL8" s="899"/>
      <c r="EM8" s="899"/>
      <c r="EN8" s="899"/>
      <c r="EO8" s="899"/>
      <c r="EP8" s="899"/>
      <c r="EQ8" s="899"/>
      <c r="ER8" s="899"/>
      <c r="ES8" s="899"/>
      <c r="ET8" s="899"/>
      <c r="EU8" s="899"/>
      <c r="EV8" s="899"/>
      <c r="EW8" s="899"/>
      <c r="EX8" s="899"/>
      <c r="EY8" s="899"/>
      <c r="EZ8" s="899"/>
      <c r="FA8" s="899"/>
      <c r="FB8" s="899"/>
      <c r="FC8" s="899"/>
      <c r="FD8" s="899"/>
      <c r="FE8" s="899"/>
      <c r="FF8" s="899"/>
      <c r="FG8" s="899"/>
      <c r="FH8" s="899"/>
      <c r="FI8" s="899"/>
      <c r="FJ8" s="899"/>
      <c r="FK8" s="899"/>
      <c r="FL8" s="899"/>
      <c r="FM8" s="899"/>
      <c r="FN8" s="899"/>
      <c r="FO8" s="899"/>
      <c r="FP8" s="899"/>
      <c r="FQ8" s="899"/>
      <c r="FR8" s="899"/>
      <c r="FS8" s="899"/>
      <c r="FT8" s="899"/>
      <c r="FU8" s="899"/>
      <c r="FV8" s="899"/>
      <c r="FW8" s="899"/>
      <c r="FX8" s="899"/>
      <c r="FY8" s="899"/>
      <c r="FZ8" s="899"/>
      <c r="GA8" s="899"/>
      <c r="GB8" s="899"/>
      <c r="GC8" s="899"/>
      <c r="GD8" s="899"/>
      <c r="GE8" s="899"/>
      <c r="GF8" s="899"/>
      <c r="GG8" s="899"/>
      <c r="GH8" s="899"/>
      <c r="GI8" s="899"/>
      <c r="GJ8" s="899"/>
      <c r="GK8" s="899"/>
      <c r="GL8" s="899"/>
      <c r="GM8" s="899"/>
      <c r="GN8" s="899"/>
      <c r="GO8" s="899"/>
      <c r="GP8" s="899"/>
      <c r="GQ8" s="899"/>
      <c r="GR8" s="899"/>
      <c r="GS8" s="899"/>
      <c r="GT8" s="899"/>
      <c r="GU8" s="899"/>
      <c r="GV8" s="899"/>
      <c r="GW8" s="899"/>
      <c r="GX8" s="899"/>
      <c r="GY8" s="899"/>
      <c r="GZ8" s="899"/>
      <c r="HA8" s="899"/>
      <c r="HB8" s="899"/>
      <c r="HC8" s="899"/>
      <c r="HD8" s="899"/>
      <c r="HE8" s="899"/>
      <c r="HF8" s="899"/>
      <c r="HG8" s="899"/>
      <c r="HH8" s="899"/>
      <c r="HI8" s="899"/>
      <c r="HJ8" s="899"/>
      <c r="HK8" s="899"/>
      <c r="HL8" s="899"/>
      <c r="HM8" s="899"/>
      <c r="HN8" s="899"/>
      <c r="HO8" s="899"/>
      <c r="HP8" s="899"/>
      <c r="HQ8" s="899"/>
      <c r="HR8" s="899"/>
      <c r="HS8" s="899"/>
      <c r="HT8" s="899"/>
      <c r="HU8" s="899"/>
      <c r="HV8" s="899"/>
      <c r="HW8" s="899"/>
      <c r="HX8" s="899"/>
      <c r="HY8" s="899"/>
      <c r="HZ8" s="899"/>
      <c r="IA8" s="899"/>
      <c r="IB8" s="899"/>
      <c r="IC8" s="899"/>
      <c r="ID8" s="899"/>
      <c r="IE8" s="899"/>
      <c r="IF8" s="899"/>
      <c r="IG8" s="899"/>
      <c r="IH8" s="899"/>
      <c r="II8" s="899"/>
      <c r="IJ8" s="899"/>
      <c r="IK8" s="899"/>
      <c r="IL8" s="899"/>
      <c r="IM8" s="899"/>
      <c r="IN8" s="899"/>
      <c r="IO8" s="899"/>
      <c r="IP8" s="899"/>
      <c r="IQ8" s="899"/>
      <c r="IR8" s="899"/>
    </row>
    <row r="9" spans="1:252" s="1004" customFormat="1" ht="8.1" customHeight="1">
      <c r="A9" s="1005"/>
      <c r="B9" s="105"/>
      <c r="C9" s="105"/>
      <c r="D9" s="105"/>
      <c r="E9" s="105"/>
      <c r="F9" s="105"/>
      <c r="G9" s="899"/>
      <c r="H9" s="105"/>
      <c r="I9" s="105"/>
      <c r="J9" s="105"/>
      <c r="K9" s="105"/>
      <c r="L9" s="105"/>
      <c r="M9" s="105"/>
      <c r="N9" s="105"/>
      <c r="O9" s="105"/>
      <c r="P9" s="105"/>
      <c r="Q9" s="1005"/>
      <c r="R9" s="1007"/>
      <c r="S9" s="1005"/>
      <c r="T9" s="1003"/>
      <c r="U9" s="899"/>
      <c r="V9" s="899"/>
      <c r="W9" s="899"/>
      <c r="X9" s="899"/>
      <c r="Y9" s="899"/>
      <c r="Z9" s="899"/>
      <c r="AA9" s="899"/>
      <c r="AB9" s="899"/>
      <c r="AC9" s="899"/>
      <c r="AD9" s="899"/>
      <c r="AE9" s="899"/>
      <c r="AF9" s="899"/>
      <c r="AG9" s="899"/>
      <c r="AH9" s="899"/>
      <c r="AI9" s="899"/>
      <c r="AJ9" s="899"/>
      <c r="AK9" s="899"/>
      <c r="AL9" s="899"/>
      <c r="AM9" s="899"/>
      <c r="AN9" s="899"/>
      <c r="AO9" s="899"/>
      <c r="AP9" s="899"/>
      <c r="AQ9" s="899"/>
      <c r="AR9" s="899"/>
      <c r="AS9" s="899"/>
      <c r="AT9" s="899"/>
      <c r="AU9" s="899"/>
      <c r="AV9" s="899"/>
      <c r="AW9" s="899"/>
      <c r="AX9" s="899"/>
      <c r="AY9" s="899"/>
      <c r="AZ9" s="899"/>
      <c r="BA9" s="899"/>
      <c r="BB9" s="899"/>
      <c r="BC9" s="899"/>
      <c r="BD9" s="899"/>
      <c r="BE9" s="899"/>
      <c r="BF9" s="899"/>
      <c r="BG9" s="899"/>
      <c r="BH9" s="899"/>
      <c r="BI9" s="899"/>
      <c r="BJ9" s="899"/>
      <c r="BK9" s="899"/>
      <c r="BL9" s="899"/>
      <c r="BM9" s="899"/>
      <c r="BN9" s="899"/>
      <c r="BO9" s="899"/>
      <c r="BP9" s="899"/>
      <c r="BQ9" s="899"/>
      <c r="BR9" s="899"/>
      <c r="BS9" s="899"/>
      <c r="BT9" s="899"/>
      <c r="BU9" s="899"/>
      <c r="BV9" s="899"/>
      <c r="BW9" s="899"/>
      <c r="BX9" s="899"/>
      <c r="BY9" s="899"/>
      <c r="BZ9" s="899"/>
      <c r="CA9" s="899"/>
      <c r="CB9" s="899"/>
      <c r="CC9" s="899"/>
      <c r="CD9" s="899"/>
      <c r="CE9" s="899"/>
      <c r="CF9" s="899"/>
      <c r="CG9" s="899"/>
      <c r="CH9" s="899"/>
      <c r="CI9" s="899"/>
      <c r="CJ9" s="899"/>
      <c r="CK9" s="899"/>
      <c r="CL9" s="899"/>
      <c r="CM9" s="899"/>
      <c r="CN9" s="899"/>
      <c r="CO9" s="899"/>
      <c r="CP9" s="899"/>
      <c r="CQ9" s="899"/>
      <c r="CR9" s="899"/>
      <c r="CS9" s="899"/>
      <c r="CT9" s="899"/>
      <c r="CU9" s="899"/>
      <c r="CV9" s="899"/>
      <c r="CW9" s="899"/>
      <c r="CX9" s="899"/>
      <c r="CY9" s="899"/>
      <c r="CZ9" s="899"/>
      <c r="DA9" s="899"/>
      <c r="DB9" s="899"/>
      <c r="DC9" s="899"/>
      <c r="DD9" s="899"/>
      <c r="DE9" s="899"/>
      <c r="DF9" s="899"/>
      <c r="DG9" s="899"/>
      <c r="DH9" s="899"/>
      <c r="DI9" s="899"/>
      <c r="DJ9" s="899"/>
      <c r="DK9" s="899"/>
      <c r="DL9" s="899"/>
      <c r="DM9" s="899"/>
      <c r="DN9" s="899"/>
      <c r="DO9" s="899"/>
      <c r="DP9" s="899"/>
      <c r="DQ9" s="899"/>
      <c r="DR9" s="899"/>
      <c r="DS9" s="899"/>
      <c r="DT9" s="899"/>
      <c r="DU9" s="899"/>
      <c r="DV9" s="899"/>
      <c r="DW9" s="899"/>
      <c r="DX9" s="899"/>
      <c r="DY9" s="899"/>
      <c r="DZ9" s="899"/>
      <c r="EA9" s="899"/>
      <c r="EB9" s="899"/>
      <c r="EC9" s="899"/>
      <c r="ED9" s="899"/>
      <c r="EE9" s="899"/>
      <c r="EF9" s="899"/>
      <c r="EG9" s="899"/>
      <c r="EH9" s="899"/>
      <c r="EI9" s="899"/>
      <c r="EJ9" s="899"/>
      <c r="EK9" s="899"/>
      <c r="EL9" s="899"/>
      <c r="EM9" s="899"/>
      <c r="EN9" s="899"/>
      <c r="EO9" s="899"/>
      <c r="EP9" s="899"/>
      <c r="EQ9" s="899"/>
      <c r="ER9" s="899"/>
      <c r="ES9" s="899"/>
      <c r="ET9" s="899"/>
      <c r="EU9" s="899"/>
      <c r="EV9" s="899"/>
      <c r="EW9" s="899"/>
      <c r="EX9" s="899"/>
      <c r="EY9" s="899"/>
      <c r="EZ9" s="899"/>
      <c r="FA9" s="899"/>
      <c r="FB9" s="899"/>
      <c r="FC9" s="899"/>
      <c r="FD9" s="899"/>
      <c r="FE9" s="899"/>
      <c r="FF9" s="899"/>
      <c r="FG9" s="899"/>
      <c r="FH9" s="899"/>
      <c r="FI9" s="899"/>
      <c r="FJ9" s="899"/>
      <c r="FK9" s="899"/>
      <c r="FL9" s="899"/>
      <c r="FM9" s="899"/>
      <c r="FN9" s="899"/>
      <c r="FO9" s="899"/>
      <c r="FP9" s="899"/>
      <c r="FQ9" s="899"/>
      <c r="FR9" s="899"/>
      <c r="FS9" s="899"/>
      <c r="FT9" s="899"/>
      <c r="FU9" s="899"/>
      <c r="FV9" s="899"/>
      <c r="FW9" s="899"/>
      <c r="FX9" s="899"/>
      <c r="FY9" s="899"/>
      <c r="FZ9" s="899"/>
      <c r="GA9" s="899"/>
      <c r="GB9" s="899"/>
      <c r="GC9" s="899"/>
      <c r="GD9" s="899"/>
      <c r="GE9" s="899"/>
      <c r="GF9" s="899"/>
      <c r="GG9" s="899"/>
      <c r="GH9" s="899"/>
      <c r="GI9" s="899"/>
      <c r="GJ9" s="899"/>
      <c r="GK9" s="899"/>
      <c r="GL9" s="899"/>
      <c r="GM9" s="899"/>
      <c r="GN9" s="899"/>
      <c r="GO9" s="899"/>
      <c r="GP9" s="899"/>
      <c r="GQ9" s="899"/>
      <c r="GR9" s="899"/>
      <c r="GS9" s="899"/>
      <c r="GT9" s="899"/>
      <c r="GU9" s="899"/>
      <c r="GV9" s="899"/>
      <c r="GW9" s="899"/>
      <c r="GX9" s="899"/>
      <c r="GY9" s="899"/>
      <c r="GZ9" s="899"/>
      <c r="HA9" s="899"/>
      <c r="HB9" s="899"/>
      <c r="HC9" s="899"/>
      <c r="HD9" s="899"/>
      <c r="HE9" s="899"/>
      <c r="HF9" s="899"/>
      <c r="HG9" s="899"/>
      <c r="HH9" s="899"/>
      <c r="HI9" s="899"/>
      <c r="HJ9" s="899"/>
      <c r="HK9" s="899"/>
      <c r="HL9" s="899"/>
      <c r="HM9" s="899"/>
      <c r="HN9" s="899"/>
      <c r="HO9" s="899"/>
      <c r="HP9" s="899"/>
      <c r="HQ9" s="899"/>
      <c r="HR9" s="899"/>
      <c r="HS9" s="899"/>
      <c r="HT9" s="899"/>
      <c r="HU9" s="899"/>
      <c r="HV9" s="899"/>
      <c r="HW9" s="899"/>
      <c r="HX9" s="899"/>
      <c r="HY9" s="899"/>
      <c r="HZ9" s="899"/>
      <c r="IA9" s="899"/>
      <c r="IB9" s="899"/>
      <c r="IC9" s="899"/>
      <c r="ID9" s="899"/>
      <c r="IE9" s="899"/>
      <c r="IF9" s="899"/>
      <c r="IG9" s="899"/>
      <c r="IH9" s="899"/>
      <c r="II9" s="899"/>
      <c r="IJ9" s="899"/>
      <c r="IK9" s="899"/>
      <c r="IL9" s="899"/>
      <c r="IM9" s="899"/>
      <c r="IN9" s="899"/>
      <c r="IO9" s="899"/>
      <c r="IP9" s="899"/>
      <c r="IQ9" s="899"/>
      <c r="IR9" s="899"/>
    </row>
    <row r="10" spans="1:252" s="1004" customFormat="1" ht="15.75">
      <c r="A10" s="1005"/>
      <c r="B10" s="105"/>
      <c r="C10" s="105"/>
      <c r="D10" s="105"/>
      <c r="E10" s="105"/>
      <c r="F10" s="105"/>
      <c r="G10" s="899"/>
      <c r="H10" s="105"/>
      <c r="I10" s="105"/>
      <c r="J10" s="105"/>
      <c r="K10" s="105"/>
      <c r="L10" s="105"/>
      <c r="M10" s="105"/>
      <c r="N10" s="105"/>
      <c r="O10" s="105"/>
      <c r="P10" s="105"/>
      <c r="Q10" s="1005"/>
      <c r="R10" s="1006"/>
      <c r="S10" s="835"/>
      <c r="T10" s="1006"/>
      <c r="U10" s="835"/>
      <c r="V10" s="835"/>
      <c r="W10" s="899"/>
      <c r="X10" s="899"/>
      <c r="Y10" s="899"/>
      <c r="Z10" s="899"/>
      <c r="AA10" s="899"/>
      <c r="AB10" s="899"/>
      <c r="AC10" s="899"/>
      <c r="AD10" s="899"/>
      <c r="AE10" s="899"/>
      <c r="AF10" s="899"/>
      <c r="AG10" s="899"/>
      <c r="AH10" s="899"/>
      <c r="AI10" s="899"/>
      <c r="AJ10" s="899"/>
      <c r="AK10" s="899"/>
      <c r="AL10" s="899"/>
      <c r="AM10" s="899"/>
      <c r="AN10" s="899"/>
      <c r="AO10" s="899"/>
      <c r="AP10" s="899"/>
      <c r="AQ10" s="899"/>
      <c r="AR10" s="899"/>
      <c r="AS10" s="899"/>
      <c r="AT10" s="899"/>
      <c r="AU10" s="899"/>
      <c r="AV10" s="899"/>
      <c r="AW10" s="899"/>
      <c r="AX10" s="899"/>
      <c r="AY10" s="899"/>
      <c r="AZ10" s="899"/>
      <c r="BA10" s="899"/>
      <c r="BB10" s="899"/>
      <c r="BC10" s="899"/>
      <c r="BD10" s="899"/>
      <c r="BE10" s="899"/>
      <c r="BF10" s="899"/>
      <c r="BG10" s="899"/>
      <c r="BH10" s="899"/>
      <c r="BI10" s="899"/>
      <c r="BJ10" s="899"/>
      <c r="BK10" s="899"/>
      <c r="BL10" s="899"/>
      <c r="BM10" s="899"/>
      <c r="BN10" s="899"/>
      <c r="BO10" s="899"/>
      <c r="BP10" s="899"/>
      <c r="BQ10" s="899"/>
      <c r="BR10" s="899"/>
      <c r="BS10" s="899"/>
      <c r="BT10" s="899"/>
      <c r="BU10" s="899"/>
      <c r="BV10" s="899"/>
      <c r="BW10" s="899"/>
      <c r="BX10" s="899"/>
      <c r="BY10" s="899"/>
      <c r="BZ10" s="899"/>
      <c r="CA10" s="899"/>
      <c r="CB10" s="899"/>
      <c r="CC10" s="899"/>
      <c r="CD10" s="899"/>
      <c r="CE10" s="899"/>
      <c r="CF10" s="899"/>
      <c r="CG10" s="899"/>
      <c r="CH10" s="899"/>
      <c r="CI10" s="899"/>
      <c r="CJ10" s="899"/>
      <c r="CK10" s="899"/>
      <c r="CL10" s="899"/>
      <c r="CM10" s="899"/>
      <c r="CN10" s="899"/>
      <c r="CO10" s="899"/>
      <c r="CP10" s="899"/>
      <c r="CQ10" s="899"/>
      <c r="CR10" s="899"/>
      <c r="CS10" s="899"/>
      <c r="CT10" s="899"/>
      <c r="CU10" s="899"/>
      <c r="CV10" s="899"/>
      <c r="CW10" s="899"/>
      <c r="CX10" s="899"/>
      <c r="CY10" s="899"/>
      <c r="CZ10" s="899"/>
      <c r="DA10" s="899"/>
      <c r="DB10" s="899"/>
      <c r="DC10" s="899"/>
      <c r="DD10" s="899"/>
      <c r="DE10" s="899"/>
      <c r="DF10" s="899"/>
      <c r="DG10" s="899"/>
      <c r="DH10" s="899"/>
      <c r="DI10" s="899"/>
      <c r="DJ10" s="899"/>
      <c r="DK10" s="899"/>
      <c r="DL10" s="899"/>
      <c r="DM10" s="899"/>
      <c r="DN10" s="899"/>
      <c r="DO10" s="899"/>
      <c r="DP10" s="899"/>
      <c r="DQ10" s="899"/>
      <c r="DR10" s="899"/>
      <c r="DS10" s="899"/>
      <c r="DT10" s="899"/>
      <c r="DU10" s="899"/>
      <c r="DV10" s="899"/>
      <c r="DW10" s="899"/>
      <c r="DX10" s="899"/>
      <c r="DY10" s="899"/>
      <c r="DZ10" s="899"/>
      <c r="EA10" s="899"/>
      <c r="EB10" s="899"/>
      <c r="EC10" s="899"/>
      <c r="ED10" s="899"/>
      <c r="EE10" s="899"/>
      <c r="EF10" s="899"/>
      <c r="EG10" s="899"/>
      <c r="EH10" s="899"/>
      <c r="EI10" s="899"/>
      <c r="EJ10" s="899"/>
      <c r="EK10" s="899"/>
      <c r="EL10" s="899"/>
      <c r="EM10" s="899"/>
      <c r="EN10" s="899"/>
      <c r="EO10" s="899"/>
      <c r="EP10" s="899"/>
      <c r="EQ10" s="899"/>
      <c r="ER10" s="899"/>
      <c r="ES10" s="899"/>
      <c r="ET10" s="899"/>
      <c r="EU10" s="899"/>
      <c r="EV10" s="899"/>
      <c r="EW10" s="899"/>
      <c r="EX10" s="899"/>
      <c r="EY10" s="899"/>
      <c r="EZ10" s="899"/>
      <c r="FA10" s="899"/>
      <c r="FB10" s="899"/>
      <c r="FC10" s="899"/>
      <c r="FD10" s="899"/>
      <c r="FE10" s="899"/>
      <c r="FF10" s="899"/>
      <c r="FG10" s="899"/>
      <c r="FH10" s="899"/>
      <c r="FI10" s="899"/>
      <c r="FJ10" s="899"/>
      <c r="FK10" s="899"/>
      <c r="FL10" s="899"/>
      <c r="FM10" s="899"/>
      <c r="FN10" s="899"/>
      <c r="FO10" s="899"/>
      <c r="FP10" s="899"/>
      <c r="FQ10" s="899"/>
      <c r="FR10" s="899"/>
      <c r="FS10" s="899"/>
      <c r="FT10" s="899"/>
      <c r="FU10" s="899"/>
      <c r="FV10" s="899"/>
      <c r="FW10" s="899"/>
      <c r="FX10" s="899"/>
      <c r="FY10" s="899"/>
      <c r="FZ10" s="899"/>
      <c r="GA10" s="899"/>
      <c r="GB10" s="899"/>
      <c r="GC10" s="899"/>
      <c r="GD10" s="899"/>
      <c r="GE10" s="899"/>
      <c r="GF10" s="899"/>
      <c r="GG10" s="899"/>
      <c r="GH10" s="899"/>
      <c r="GI10" s="899"/>
      <c r="GJ10" s="899"/>
      <c r="GK10" s="899"/>
      <c r="GL10" s="899"/>
      <c r="GM10" s="899"/>
      <c r="GN10" s="899"/>
      <c r="GO10" s="899"/>
      <c r="GP10" s="899"/>
      <c r="GQ10" s="899"/>
      <c r="GR10" s="899"/>
      <c r="GS10" s="899"/>
      <c r="GT10" s="899"/>
      <c r="GU10" s="899"/>
      <c r="GV10" s="899"/>
      <c r="GW10" s="899"/>
      <c r="GX10" s="899"/>
      <c r="GY10" s="899"/>
      <c r="GZ10" s="899"/>
      <c r="HA10" s="899"/>
      <c r="HB10" s="899"/>
      <c r="HC10" s="899"/>
      <c r="HD10" s="899"/>
      <c r="HE10" s="899"/>
      <c r="HF10" s="899"/>
      <c r="HG10" s="899"/>
      <c r="HH10" s="899"/>
      <c r="HI10" s="899"/>
      <c r="HJ10" s="899"/>
      <c r="HK10" s="899"/>
      <c r="HL10" s="899"/>
      <c r="HM10" s="899"/>
      <c r="HN10" s="899"/>
      <c r="HO10" s="899"/>
      <c r="HP10" s="899"/>
      <c r="HQ10" s="899"/>
      <c r="HR10" s="899"/>
      <c r="HS10" s="899"/>
      <c r="HT10" s="899"/>
      <c r="HU10" s="899"/>
      <c r="HV10" s="899"/>
      <c r="HW10" s="899"/>
      <c r="HX10" s="899"/>
      <c r="HY10" s="899"/>
      <c r="HZ10" s="899"/>
      <c r="IA10" s="899"/>
      <c r="IB10" s="899"/>
      <c r="IC10" s="899"/>
      <c r="ID10" s="899"/>
      <c r="IE10" s="899"/>
      <c r="IF10" s="899"/>
      <c r="IG10" s="899"/>
      <c r="IH10" s="899"/>
      <c r="II10" s="899"/>
      <c r="IJ10" s="899"/>
      <c r="IK10" s="899"/>
      <c r="IL10" s="899"/>
      <c r="IM10" s="899"/>
      <c r="IN10" s="899"/>
      <c r="IO10" s="899"/>
      <c r="IP10" s="899"/>
      <c r="IQ10" s="899"/>
      <c r="IR10" s="899"/>
    </row>
    <row r="11" spans="1:252" s="1004" customFormat="1" ht="15.75">
      <c r="A11" s="1005"/>
      <c r="B11" s="105"/>
      <c r="C11" s="105"/>
      <c r="D11" s="105"/>
      <c r="E11" s="105"/>
      <c r="F11" s="105"/>
      <c r="G11" s="899"/>
      <c r="H11" s="105"/>
      <c r="I11" s="105"/>
      <c r="K11" s="110"/>
      <c r="L11" s="900"/>
      <c r="M11" s="900"/>
      <c r="N11" s="110"/>
      <c r="O11" s="110"/>
      <c r="P11" s="110"/>
      <c r="Q11" s="1005"/>
      <c r="R11" s="1006"/>
      <c r="S11" s="835"/>
      <c r="T11" s="1006"/>
      <c r="U11" s="835"/>
      <c r="V11" s="835"/>
      <c r="W11" s="899"/>
      <c r="X11" s="899"/>
      <c r="Y11" s="899"/>
      <c r="Z11" s="899"/>
      <c r="AA11" s="899"/>
      <c r="AB11" s="899"/>
      <c r="AC11" s="899"/>
      <c r="AD11" s="899"/>
      <c r="AE11" s="899"/>
      <c r="AF11" s="899"/>
      <c r="AG11" s="899"/>
      <c r="AH11" s="899"/>
      <c r="AI11" s="899"/>
      <c r="AJ11" s="899"/>
      <c r="AK11" s="899"/>
      <c r="AL11" s="899"/>
      <c r="AM11" s="899"/>
      <c r="AN11" s="899"/>
      <c r="AO11" s="899"/>
      <c r="AP11" s="899"/>
      <c r="AQ11" s="899"/>
      <c r="AR11" s="899"/>
      <c r="AS11" s="899"/>
      <c r="AT11" s="899"/>
      <c r="AU11" s="899"/>
      <c r="AV11" s="899"/>
      <c r="AW11" s="899"/>
      <c r="AX11" s="899"/>
      <c r="AY11" s="899"/>
      <c r="AZ11" s="899"/>
      <c r="BA11" s="899"/>
      <c r="BB11" s="899"/>
      <c r="BC11" s="899"/>
      <c r="BD11" s="899"/>
      <c r="BE11" s="899"/>
      <c r="BF11" s="899"/>
      <c r="BG11" s="899"/>
      <c r="BH11" s="899"/>
      <c r="BI11" s="899"/>
      <c r="BJ11" s="899"/>
      <c r="BK11" s="899"/>
      <c r="BL11" s="899"/>
      <c r="BM11" s="899"/>
      <c r="BN11" s="899"/>
      <c r="BO11" s="899"/>
      <c r="BP11" s="899"/>
      <c r="BQ11" s="899"/>
      <c r="BR11" s="899"/>
      <c r="BS11" s="899"/>
      <c r="BT11" s="899"/>
      <c r="BU11" s="899"/>
      <c r="BV11" s="899"/>
      <c r="BW11" s="899"/>
      <c r="BX11" s="899"/>
      <c r="BY11" s="899"/>
      <c r="BZ11" s="899"/>
      <c r="CA11" s="899"/>
      <c r="CB11" s="899"/>
      <c r="CC11" s="899"/>
      <c r="CD11" s="899"/>
      <c r="CE11" s="899"/>
      <c r="CF11" s="899"/>
      <c r="CG11" s="899"/>
      <c r="CH11" s="899"/>
      <c r="CI11" s="899"/>
      <c r="CJ11" s="899"/>
      <c r="CK11" s="899"/>
      <c r="CL11" s="899"/>
      <c r="CM11" s="899"/>
      <c r="CN11" s="899"/>
      <c r="CO11" s="899"/>
      <c r="CP11" s="899"/>
      <c r="CQ11" s="899"/>
      <c r="CR11" s="899"/>
      <c r="CS11" s="899"/>
      <c r="CT11" s="899"/>
      <c r="CU11" s="899"/>
      <c r="CV11" s="899"/>
      <c r="CW11" s="899"/>
      <c r="CX11" s="899"/>
      <c r="CY11" s="899"/>
      <c r="CZ11" s="899"/>
      <c r="DA11" s="899"/>
      <c r="DB11" s="899"/>
      <c r="DC11" s="899"/>
      <c r="DD11" s="899"/>
      <c r="DE11" s="899"/>
      <c r="DF11" s="899"/>
      <c r="DG11" s="899"/>
      <c r="DH11" s="899"/>
      <c r="DI11" s="899"/>
      <c r="DJ11" s="899"/>
      <c r="DK11" s="899"/>
      <c r="DL11" s="899"/>
      <c r="DM11" s="899"/>
      <c r="DN11" s="899"/>
      <c r="DO11" s="899"/>
      <c r="DP11" s="899"/>
      <c r="DQ11" s="899"/>
      <c r="DR11" s="899"/>
      <c r="DS11" s="899"/>
      <c r="DT11" s="899"/>
      <c r="DU11" s="899"/>
      <c r="DV11" s="899"/>
      <c r="DW11" s="899"/>
      <c r="DX11" s="899"/>
      <c r="DY11" s="899"/>
      <c r="DZ11" s="899"/>
      <c r="EA11" s="899"/>
      <c r="EB11" s="899"/>
      <c r="EC11" s="899"/>
      <c r="ED11" s="899"/>
      <c r="EE11" s="899"/>
      <c r="EF11" s="899"/>
      <c r="EG11" s="899"/>
      <c r="EH11" s="899"/>
      <c r="EI11" s="899"/>
      <c r="EJ11" s="899"/>
      <c r="EK11" s="899"/>
      <c r="EL11" s="899"/>
      <c r="EM11" s="899"/>
      <c r="EN11" s="899"/>
      <c r="EO11" s="899"/>
      <c r="EP11" s="899"/>
      <c r="EQ11" s="899"/>
      <c r="ER11" s="899"/>
      <c r="ES11" s="899"/>
      <c r="ET11" s="899"/>
      <c r="EU11" s="899"/>
      <c r="EV11" s="899"/>
      <c r="EW11" s="899"/>
      <c r="EX11" s="899"/>
      <c r="EY11" s="899"/>
      <c r="EZ11" s="899"/>
      <c r="FA11" s="899"/>
      <c r="FB11" s="899"/>
      <c r="FC11" s="899"/>
      <c r="FD11" s="899"/>
      <c r="FE11" s="899"/>
      <c r="FF11" s="899"/>
      <c r="FG11" s="899"/>
      <c r="FH11" s="899"/>
      <c r="FI11" s="899"/>
      <c r="FJ11" s="899"/>
      <c r="FK11" s="899"/>
      <c r="FL11" s="899"/>
      <c r="FM11" s="899"/>
      <c r="FN11" s="899"/>
      <c r="FO11" s="899"/>
      <c r="FP11" s="899"/>
      <c r="FQ11" s="899"/>
      <c r="FR11" s="899"/>
      <c r="FS11" s="899"/>
      <c r="FT11" s="899"/>
      <c r="FU11" s="899"/>
      <c r="FV11" s="899"/>
      <c r="FW11" s="899"/>
      <c r="FX11" s="899"/>
      <c r="FY11" s="899"/>
      <c r="FZ11" s="899"/>
      <c r="GA11" s="899"/>
      <c r="GB11" s="899"/>
      <c r="GC11" s="899"/>
      <c r="GD11" s="899"/>
      <c r="GE11" s="899"/>
      <c r="GF11" s="899"/>
      <c r="GG11" s="899"/>
      <c r="GH11" s="899"/>
      <c r="GI11" s="899"/>
      <c r="GJ11" s="899"/>
      <c r="GK11" s="899"/>
      <c r="GL11" s="899"/>
      <c r="GM11" s="899"/>
      <c r="GN11" s="899"/>
      <c r="GO11" s="899"/>
      <c r="GP11" s="899"/>
      <c r="GQ11" s="899"/>
      <c r="GR11" s="899"/>
      <c r="GS11" s="899"/>
      <c r="GT11" s="899"/>
      <c r="GU11" s="899"/>
      <c r="GV11" s="899"/>
      <c r="GW11" s="899"/>
      <c r="GX11" s="899"/>
      <c r="GY11" s="899"/>
      <c r="GZ11" s="899"/>
      <c r="HA11" s="899"/>
      <c r="HB11" s="899"/>
      <c r="HC11" s="899"/>
      <c r="HD11" s="899"/>
      <c r="HE11" s="899"/>
      <c r="HF11" s="899"/>
      <c r="HG11" s="899"/>
      <c r="HH11" s="899"/>
      <c r="HI11" s="899"/>
      <c r="HJ11" s="899"/>
      <c r="HK11" s="899"/>
      <c r="HL11" s="899"/>
      <c r="HM11" s="899"/>
      <c r="HN11" s="899"/>
      <c r="HO11" s="899"/>
      <c r="HP11" s="899"/>
      <c r="HQ11" s="899"/>
      <c r="HR11" s="899"/>
      <c r="HS11" s="899"/>
      <c r="HT11" s="899"/>
      <c r="HU11" s="899"/>
      <c r="HV11" s="899"/>
      <c r="HW11" s="899"/>
      <c r="HX11" s="899"/>
      <c r="HY11" s="899"/>
      <c r="HZ11" s="899"/>
      <c r="IA11" s="899"/>
      <c r="IB11" s="899"/>
      <c r="IC11" s="899"/>
      <c r="ID11" s="899"/>
      <c r="IE11" s="899"/>
      <c r="IF11" s="899"/>
      <c r="IG11" s="899"/>
      <c r="IH11" s="899"/>
      <c r="II11" s="899"/>
      <c r="IJ11" s="899"/>
      <c r="IK11" s="899"/>
      <c r="IL11" s="899"/>
      <c r="IM11" s="899"/>
      <c r="IN11" s="899"/>
      <c r="IO11" s="899"/>
      <c r="IP11" s="899"/>
      <c r="IQ11" s="899"/>
      <c r="IR11" s="899"/>
    </row>
    <row r="12" spans="1:252" ht="16.350000000000001" customHeight="1">
      <c r="A12" s="1005"/>
      <c r="B12" s="110" t="s">
        <v>80</v>
      </c>
      <c r="C12" s="1008"/>
      <c r="D12" s="110"/>
      <c r="E12" s="105"/>
      <c r="F12" s="110" t="s">
        <v>81</v>
      </c>
      <c r="G12" s="1008"/>
      <c r="H12" s="110"/>
      <c r="I12" s="105"/>
      <c r="J12" s="110" t="s">
        <v>82</v>
      </c>
      <c r="K12" s="110"/>
      <c r="L12" s="900"/>
      <c r="M12" s="110"/>
      <c r="N12" s="110"/>
      <c r="O12" s="110"/>
      <c r="P12" s="110"/>
      <c r="Q12" s="1005"/>
      <c r="R12" s="1009"/>
      <c r="S12" s="3914" t="s">
        <v>904</v>
      </c>
      <c r="T12" s="3914"/>
      <c r="U12" s="3914"/>
      <c r="V12" s="835"/>
    </row>
    <row r="13" spans="1:252" ht="13.35" customHeight="1">
      <c r="A13" s="1005"/>
      <c r="B13" s="1010"/>
      <c r="C13" s="1010"/>
      <c r="D13" s="1010"/>
      <c r="E13" s="1005"/>
      <c r="F13" s="1010"/>
      <c r="G13" s="1011"/>
      <c r="H13" s="1010"/>
      <c r="I13" s="1005"/>
      <c r="J13" s="1010"/>
      <c r="K13" s="1010"/>
      <c r="L13" s="1010"/>
      <c r="M13" s="1010"/>
      <c r="N13" s="1010"/>
      <c r="O13" s="1010"/>
      <c r="P13" s="1010"/>
      <c r="Q13" s="1005"/>
      <c r="R13" s="1012"/>
      <c r="S13" s="1005"/>
      <c r="T13" s="1013"/>
      <c r="U13" s="834"/>
      <c r="V13" s="835"/>
    </row>
    <row r="14" spans="1:252" ht="16.350000000000001" customHeight="1">
      <c r="A14" s="1005"/>
      <c r="B14" s="750" t="s">
        <v>7</v>
      </c>
      <c r="C14" s="105"/>
      <c r="D14" s="751" t="str">
        <f>'Exhibit A'!F11</f>
        <v>11 MOS. ENDED</v>
      </c>
      <c r="E14" s="105"/>
      <c r="F14" s="750" t="s">
        <v>7</v>
      </c>
      <c r="G14" s="752"/>
      <c r="H14" s="750" t="str">
        <f>D14</f>
        <v>11 MOS. ENDED</v>
      </c>
      <c r="I14" s="105"/>
      <c r="J14" s="750" t="s">
        <v>7</v>
      </c>
      <c r="K14" s="105"/>
      <c r="L14" s="750" t="str">
        <f>D14</f>
        <v>11 MOS. ENDED</v>
      </c>
      <c r="M14" s="105"/>
      <c r="N14" s="750" t="s">
        <v>7</v>
      </c>
      <c r="O14" s="105"/>
      <c r="P14" s="750" t="str">
        <f>H14</f>
        <v>11 MOS. ENDED</v>
      </c>
      <c r="Q14" s="1005"/>
      <c r="R14" s="1012"/>
      <c r="S14" s="3461" t="s">
        <v>8</v>
      </c>
      <c r="T14" s="210"/>
      <c r="U14" s="759" t="s">
        <v>9</v>
      </c>
      <c r="V14" s="835"/>
    </row>
    <row r="15" spans="1:252" ht="16.350000000000001" customHeight="1">
      <c r="A15" s="1005"/>
      <c r="B15" s="916" t="str">
        <f>'Exhibit A'!D12</f>
        <v>FEB. 2020</v>
      </c>
      <c r="C15" s="105"/>
      <c r="D15" s="916" t="str">
        <f>'Exhibit A'!F12</f>
        <v>FEB. 29, 2020</v>
      </c>
      <c r="E15" s="105"/>
      <c r="F15" s="753" t="str">
        <f>+B15</f>
        <v>FEB. 2020</v>
      </c>
      <c r="G15" s="105"/>
      <c r="H15" s="754" t="str">
        <f>D15</f>
        <v>FEB. 29, 2020</v>
      </c>
      <c r="I15" s="105"/>
      <c r="J15" s="753" t="str">
        <f>+F15</f>
        <v>FEB. 2020</v>
      </c>
      <c r="K15" s="105"/>
      <c r="L15" s="754" t="str">
        <f>D15</f>
        <v>FEB. 29, 2020</v>
      </c>
      <c r="M15" s="105"/>
      <c r="N15" s="3655" t="str">
        <f>'Exhibit A'!AB12</f>
        <v>FEB. 2019</v>
      </c>
      <c r="O15" s="105"/>
      <c r="P15" s="916" t="str">
        <f>'Exhibit A'!AD12</f>
        <v>FEB. 28, 2019</v>
      </c>
      <c r="Q15" s="1005"/>
      <c r="R15" s="1012"/>
      <c r="S15" s="3462" t="s">
        <v>12</v>
      </c>
      <c r="T15" s="209"/>
      <c r="U15" s="762" t="s">
        <v>13</v>
      </c>
      <c r="V15" s="835"/>
    </row>
    <row r="16" spans="1:252" ht="13.35" customHeight="1">
      <c r="A16" s="1005"/>
      <c r="B16" s="1007"/>
      <c r="C16" s="1005"/>
      <c r="D16" s="1007" t="s">
        <v>15</v>
      </c>
      <c r="E16" s="1005"/>
      <c r="F16" s="1010"/>
      <c r="G16" s="1005"/>
      <c r="H16" s="1014" t="s">
        <v>15</v>
      </c>
      <c r="I16" s="1007"/>
      <c r="J16" s="1015"/>
      <c r="K16" s="1005"/>
      <c r="L16" s="1016"/>
      <c r="M16" s="1007"/>
      <c r="N16" s="1007"/>
      <c r="O16" s="1005"/>
      <c r="P16" s="1007"/>
      <c r="Q16" s="1005"/>
      <c r="R16" s="1017"/>
      <c r="S16" s="835"/>
      <c r="T16" s="1007"/>
      <c r="U16" s="835"/>
      <c r="V16" s="835"/>
    </row>
    <row r="17" spans="1:245" ht="16.350000000000001" customHeight="1">
      <c r="A17" s="105" t="s">
        <v>14</v>
      </c>
      <c r="B17" s="1018"/>
      <c r="C17" s="1018"/>
      <c r="D17" s="1018"/>
      <c r="E17" s="1018"/>
      <c r="F17" s="1019"/>
      <c r="G17" s="1018"/>
      <c r="H17" s="1020"/>
      <c r="I17" s="1019"/>
      <c r="J17" s="1021"/>
      <c r="K17" s="1018"/>
      <c r="L17" s="1020"/>
      <c r="M17" s="1019"/>
      <c r="N17" s="1019"/>
      <c r="O17" s="1018"/>
      <c r="P17" s="1019"/>
      <c r="Q17" s="1005"/>
      <c r="R17" s="1022"/>
      <c r="S17" s="835"/>
      <c r="T17" s="1019"/>
      <c r="U17" s="835"/>
      <c r="V17" s="835"/>
    </row>
    <row r="18" spans="1:245" ht="16.350000000000001" customHeight="1">
      <c r="A18" s="1005" t="s">
        <v>20</v>
      </c>
      <c r="B18" s="1023">
        <f>+'Exhibit L'!V16</f>
        <v>5.3000000000000114</v>
      </c>
      <c r="C18" s="905"/>
      <c r="D18" s="904">
        <f>+'Exhibit L'!AA16</f>
        <v>123.4</v>
      </c>
      <c r="E18" s="905"/>
      <c r="F18" s="1024">
        <f>'Exhibit M'!V16</f>
        <v>9.9999999999999867E-2</v>
      </c>
      <c r="G18" s="905"/>
      <c r="H18" s="1025">
        <f>+'Exhibit M'!AA16</f>
        <v>1.3</v>
      </c>
      <c r="I18" s="1026"/>
      <c r="J18" s="1027">
        <f>SUM(B18)+SUM(F18)</f>
        <v>5.400000000000011</v>
      </c>
      <c r="K18" s="905"/>
      <c r="L18" s="1025">
        <f>D18+SUM(H18)</f>
        <v>124.7</v>
      </c>
      <c r="M18" s="1026"/>
      <c r="N18" s="3656">
        <v>5.2999999999999989</v>
      </c>
      <c r="O18" s="905"/>
      <c r="P18" s="3656">
        <f>'Exhibit L'!AD16+'Exhibit M'!AD16</f>
        <v>111</v>
      </c>
      <c r="Q18" s="1028"/>
      <c r="R18" s="1029"/>
      <c r="S18" s="1137">
        <f>ROUND(SUM(L18-P18),1)</f>
        <v>13.7</v>
      </c>
      <c r="T18" s="1030"/>
      <c r="U18" s="1409">
        <f>ROUND(IF(S18=0,0,S18/ABS(P18)),3)</f>
        <v>0.123</v>
      </c>
      <c r="V18" s="1031"/>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1032"/>
      <c r="AS18" s="1032"/>
      <c r="AT18" s="1032"/>
      <c r="AU18" s="1032"/>
      <c r="AV18" s="1032"/>
      <c r="AW18" s="1032"/>
      <c r="AX18" s="1032"/>
      <c r="AY18" s="1032"/>
      <c r="AZ18" s="1032"/>
      <c r="BA18" s="1032"/>
      <c r="BB18" s="1032"/>
      <c r="BC18" s="1032"/>
      <c r="BD18" s="1032"/>
      <c r="BE18" s="1032"/>
      <c r="BF18" s="1032"/>
      <c r="BG18" s="1032"/>
      <c r="BH18" s="1032"/>
      <c r="BI18" s="1032"/>
      <c r="BJ18" s="1032"/>
      <c r="BK18" s="1032"/>
      <c r="BL18" s="1032"/>
      <c r="BM18" s="1032"/>
      <c r="BN18" s="1032"/>
      <c r="BO18" s="1032"/>
      <c r="BP18" s="1032"/>
      <c r="BQ18" s="1032"/>
      <c r="BR18" s="1032"/>
      <c r="BS18" s="1032"/>
      <c r="BT18" s="1032"/>
      <c r="BU18" s="1032"/>
      <c r="BV18" s="1032"/>
      <c r="BW18" s="1032"/>
      <c r="BX18" s="1032"/>
      <c r="BY18" s="1032"/>
      <c r="BZ18" s="1032"/>
      <c r="CA18" s="1032"/>
      <c r="CB18" s="1032"/>
      <c r="CC18" s="1032"/>
      <c r="CD18" s="1032"/>
      <c r="CE18" s="1032"/>
      <c r="CF18" s="1032"/>
      <c r="CG18" s="1032"/>
      <c r="CH18" s="1032"/>
      <c r="CI18" s="1032"/>
      <c r="CJ18" s="1032"/>
      <c r="CK18" s="1032"/>
      <c r="CL18" s="1032"/>
      <c r="CM18" s="1032"/>
      <c r="CN18" s="1032"/>
      <c r="CO18" s="1032"/>
      <c r="CP18" s="1032"/>
      <c r="CQ18" s="1032"/>
      <c r="CR18" s="1032"/>
      <c r="CS18" s="1032"/>
      <c r="CT18" s="1032"/>
      <c r="CU18" s="1032"/>
      <c r="CV18" s="1032"/>
      <c r="CW18" s="1032"/>
      <c r="CX18" s="1032"/>
      <c r="CY18" s="1032"/>
      <c r="CZ18" s="1032"/>
      <c r="DA18" s="1032"/>
      <c r="DB18" s="1032"/>
      <c r="DC18" s="1032"/>
      <c r="DD18" s="1032"/>
      <c r="DE18" s="1032"/>
      <c r="DF18" s="1032"/>
      <c r="DG18" s="1032"/>
      <c r="DH18" s="1032"/>
      <c r="DI18" s="1032"/>
      <c r="DJ18" s="1032"/>
      <c r="DK18" s="1032"/>
      <c r="DL18" s="1032"/>
      <c r="DM18" s="1032"/>
      <c r="DN18" s="1032"/>
      <c r="DO18" s="1032"/>
      <c r="DP18" s="1032"/>
      <c r="DQ18" s="1032"/>
      <c r="DR18" s="1032"/>
      <c r="DS18" s="1032"/>
      <c r="DT18" s="1032"/>
      <c r="DU18" s="1032"/>
      <c r="DV18" s="1032"/>
      <c r="DW18" s="1032"/>
      <c r="DX18" s="1032"/>
      <c r="DY18" s="1032"/>
      <c r="DZ18" s="1032"/>
      <c r="EA18" s="1032"/>
      <c r="EB18" s="1032"/>
      <c r="EC18" s="1032"/>
      <c r="ED18" s="1032"/>
      <c r="EE18" s="1032"/>
      <c r="EF18" s="1032"/>
      <c r="EG18" s="1032"/>
      <c r="EH18" s="1032"/>
      <c r="EI18" s="1032"/>
      <c r="EJ18" s="1032"/>
      <c r="EK18" s="1032"/>
      <c r="EL18" s="1032"/>
      <c r="EM18" s="1032"/>
      <c r="EN18" s="1032"/>
      <c r="EO18" s="1032"/>
      <c r="EP18" s="1032"/>
      <c r="EQ18" s="1032"/>
      <c r="ER18" s="1032"/>
      <c r="ES18" s="1032"/>
      <c r="ET18" s="1032"/>
      <c r="EU18" s="1032"/>
      <c r="EV18" s="1032"/>
      <c r="EW18" s="1032"/>
      <c r="EX18" s="1032"/>
      <c r="EY18" s="1032"/>
      <c r="EZ18" s="1032"/>
      <c r="FA18" s="1032"/>
      <c r="FB18" s="1032"/>
      <c r="FC18" s="1032"/>
      <c r="FD18" s="1032"/>
      <c r="FE18" s="1032"/>
      <c r="FF18" s="1032"/>
      <c r="FG18" s="1032"/>
      <c r="FH18" s="1032"/>
      <c r="FI18" s="1032"/>
      <c r="FJ18" s="1032"/>
      <c r="FK18" s="1032"/>
      <c r="FL18" s="1032"/>
      <c r="FM18" s="1032"/>
      <c r="FN18" s="1032"/>
      <c r="FO18" s="1032"/>
      <c r="FP18" s="1032"/>
      <c r="FQ18" s="1032"/>
      <c r="FR18" s="1032"/>
      <c r="FS18" s="1032"/>
      <c r="FT18" s="1032"/>
      <c r="FU18" s="1032"/>
      <c r="FV18" s="1032"/>
      <c r="FW18" s="1032"/>
      <c r="FX18" s="1032"/>
      <c r="FY18" s="1032"/>
      <c r="FZ18" s="1032"/>
      <c r="GA18" s="1032"/>
      <c r="GB18" s="1032"/>
      <c r="GC18" s="1032"/>
      <c r="GD18" s="1032"/>
      <c r="GE18" s="1032"/>
      <c r="GF18" s="1032"/>
      <c r="GG18" s="1032"/>
      <c r="GH18" s="1032"/>
      <c r="GI18" s="1032"/>
      <c r="GJ18" s="1032"/>
      <c r="GK18" s="1032"/>
      <c r="GL18" s="1032"/>
      <c r="GM18" s="1032"/>
      <c r="GN18" s="1032"/>
      <c r="GO18" s="1032"/>
      <c r="GP18" s="1032"/>
      <c r="GQ18" s="1032"/>
      <c r="GR18" s="1032"/>
      <c r="GS18" s="1032"/>
      <c r="GT18" s="1032"/>
      <c r="GU18" s="1032"/>
      <c r="GV18" s="1032"/>
      <c r="GW18" s="1032"/>
      <c r="GX18" s="1032"/>
      <c r="GY18" s="1032"/>
      <c r="GZ18" s="1032"/>
      <c r="HA18" s="1032"/>
      <c r="HB18" s="1032"/>
      <c r="HC18" s="1032"/>
      <c r="HD18" s="1032"/>
      <c r="HE18" s="1032"/>
      <c r="HF18" s="1032"/>
      <c r="HG18" s="1032"/>
      <c r="HH18" s="1032"/>
      <c r="HI18" s="1032"/>
      <c r="HJ18" s="1032"/>
      <c r="HK18" s="1032"/>
      <c r="HL18" s="1032"/>
      <c r="HM18" s="1032"/>
      <c r="HN18" s="1032"/>
      <c r="HO18" s="1032"/>
      <c r="HP18" s="1032"/>
      <c r="HQ18" s="1032"/>
      <c r="HR18" s="1032"/>
      <c r="HS18" s="1032"/>
      <c r="HT18" s="1032"/>
      <c r="HU18" s="1032"/>
      <c r="HV18" s="1032"/>
      <c r="HW18" s="1032"/>
      <c r="HX18" s="1032"/>
      <c r="HY18" s="1032"/>
      <c r="HZ18" s="1032"/>
      <c r="IA18" s="1032"/>
      <c r="IB18" s="1032"/>
      <c r="IC18" s="1032"/>
      <c r="ID18" s="1032"/>
      <c r="IE18" s="1032"/>
      <c r="IF18" s="1032"/>
      <c r="IG18" s="1032"/>
      <c r="IH18" s="1032"/>
      <c r="II18" s="1032"/>
      <c r="IJ18" s="1032"/>
      <c r="IK18" s="1032"/>
    </row>
    <row r="19" spans="1:245" ht="15.75">
      <c r="A19" s="105" t="s">
        <v>22</v>
      </c>
      <c r="B19" s="111">
        <f>ROUND(SUM(B18),1)</f>
        <v>5.3</v>
      </c>
      <c r="C19" s="112"/>
      <c r="D19" s="111">
        <f>ROUND(SUM(D18),1)</f>
        <v>123.4</v>
      </c>
      <c r="E19" s="112"/>
      <c r="F19" s="113">
        <f>ROUND(SUM(F18),1)</f>
        <v>0.1</v>
      </c>
      <c r="G19" s="112"/>
      <c r="H19" s="114">
        <f>ROUND(SUM(H18),1)</f>
        <v>1.3</v>
      </c>
      <c r="I19" s="115"/>
      <c r="J19" s="116">
        <f>ROUND(SUM(J18),1)</f>
        <v>5.4</v>
      </c>
      <c r="K19" s="112"/>
      <c r="L19" s="114">
        <f>ROUND(SUM(L18),1)</f>
        <v>124.7</v>
      </c>
      <c r="M19" s="115"/>
      <c r="N19" s="111">
        <f>ROUND(SUM(N18),1)</f>
        <v>5.3</v>
      </c>
      <c r="O19" s="112"/>
      <c r="P19" s="111">
        <f>ROUND(SUM(P18),1)</f>
        <v>111</v>
      </c>
      <c r="Q19" s="752"/>
      <c r="R19" s="1033"/>
      <c r="S19" s="1060">
        <f>ROUND(SUM(S18),3)</f>
        <v>13.7</v>
      </c>
      <c r="T19" s="658"/>
      <c r="U19" s="1061">
        <f>ROUND(+S19/P19,3)</f>
        <v>0.123</v>
      </c>
      <c r="V19" s="835"/>
    </row>
    <row r="20" spans="1:245" ht="15.75">
      <c r="A20" s="105"/>
      <c r="B20" s="906"/>
      <c r="C20" s="906"/>
      <c r="D20" s="906"/>
      <c r="E20" s="906"/>
      <c r="F20" s="906"/>
      <c r="G20" s="906"/>
      <c r="H20" s="1034"/>
      <c r="I20" s="1035"/>
      <c r="J20" s="1036"/>
      <c r="K20" s="906"/>
      <c r="L20" s="1037"/>
      <c r="M20" s="1035"/>
      <c r="N20" s="1035"/>
      <c r="O20" s="906"/>
      <c r="P20" s="1035"/>
      <c r="R20" s="1022"/>
      <c r="S20" s="1059"/>
      <c r="T20" s="1019"/>
      <c r="U20" s="835"/>
      <c r="V20" s="835"/>
    </row>
    <row r="21" spans="1:245" ht="16.350000000000001" customHeight="1">
      <c r="A21" s="105" t="s">
        <v>23</v>
      </c>
      <c r="B21" s="906"/>
      <c r="C21" s="906"/>
      <c r="D21" s="906"/>
      <c r="E21" s="906"/>
      <c r="F21" s="906"/>
      <c r="G21" s="906"/>
      <c r="H21" s="1037"/>
      <c r="I21" s="1035"/>
      <c r="J21" s="1036"/>
      <c r="K21" s="906"/>
      <c r="L21" s="1037"/>
      <c r="M21" s="1035"/>
      <c r="N21" s="1035"/>
      <c r="O21" s="906"/>
      <c r="P21" s="1035"/>
      <c r="R21" s="1022"/>
      <c r="S21" s="1059"/>
      <c r="T21" s="1019"/>
      <c r="U21" s="835"/>
      <c r="V21" s="835"/>
    </row>
    <row r="22" spans="1:245" ht="16.350000000000001" customHeight="1">
      <c r="A22" s="1005" t="s">
        <v>36</v>
      </c>
      <c r="B22" s="906"/>
      <c r="C22" s="906"/>
      <c r="D22" s="906"/>
      <c r="E22" s="906"/>
      <c r="F22" s="906"/>
      <c r="G22" s="906"/>
      <c r="H22" s="1037"/>
      <c r="I22" s="1035"/>
      <c r="J22" s="1036"/>
      <c r="K22" s="906"/>
      <c r="L22" s="1037"/>
      <c r="M22" s="1035"/>
      <c r="N22" s="1035"/>
      <c r="O22" s="906"/>
      <c r="P22" s="1035"/>
      <c r="R22" s="1022"/>
      <c r="S22" s="1059"/>
      <c r="T22" s="1019"/>
      <c r="U22" s="835"/>
      <c r="V22" s="835"/>
    </row>
    <row r="23" spans="1:245" ht="16.350000000000001" customHeight="1">
      <c r="A23" s="1005" t="s">
        <v>68</v>
      </c>
      <c r="B23" s="693">
        <f>+'Exhibit L'!V22</f>
        <v>5.3000000000000034</v>
      </c>
      <c r="C23" s="906"/>
      <c r="D23" s="693">
        <f>+'Exhibit L'!AA22</f>
        <v>62.5</v>
      </c>
      <c r="E23" s="906"/>
      <c r="F23" s="1038">
        <f>+'Exhibit M'!V22</f>
        <v>0</v>
      </c>
      <c r="G23" s="906"/>
      <c r="H23" s="1039">
        <f>+'Exhibit M'!AA22</f>
        <v>0.2</v>
      </c>
      <c r="I23" s="1035"/>
      <c r="J23" s="1040">
        <f>SUM(B23)+SUM(F23)</f>
        <v>5.3000000000000034</v>
      </c>
      <c r="K23" s="906"/>
      <c r="L23" s="1041">
        <f>SUM(D23)+SUM(H23)</f>
        <v>62.7</v>
      </c>
      <c r="M23" s="1035"/>
      <c r="N23" s="1042">
        <v>5.2</v>
      </c>
      <c r="O23" s="906"/>
      <c r="P23" s="1042">
        <f>'Exhibit L'!AD22+'Exhibit M'!AD22</f>
        <v>62.1</v>
      </c>
      <c r="R23" s="1022"/>
      <c r="S23" s="1059">
        <f>ROUND(SUM(L23-P23),1)</f>
        <v>0.6</v>
      </c>
      <c r="T23" s="1019"/>
      <c r="U23" s="1409">
        <f>ROUND(IF(S23=0,0,S23/ABS(P23)),3)</f>
        <v>0.01</v>
      </c>
      <c r="V23" s="835"/>
    </row>
    <row r="24" spans="1:245" ht="16.350000000000001" customHeight="1">
      <c r="A24" s="1005" t="s">
        <v>69</v>
      </c>
      <c r="B24" s="693">
        <f>+'Exhibit L'!V23</f>
        <v>1</v>
      </c>
      <c r="C24" s="906"/>
      <c r="D24" s="1042">
        <f>+'Exhibit L'!AA23</f>
        <v>31.7</v>
      </c>
      <c r="E24" s="906"/>
      <c r="F24" s="1038">
        <f>+'Exhibit M'!V23</f>
        <v>0</v>
      </c>
      <c r="G24" s="906"/>
      <c r="H24" s="1039">
        <f>+'Exhibit M'!AA23</f>
        <v>0</v>
      </c>
      <c r="I24" s="1035"/>
      <c r="J24" s="1040">
        <f>SUM(B24)+SUM(F24)</f>
        <v>1</v>
      </c>
      <c r="K24" s="906"/>
      <c r="L24" s="1041">
        <f>SUM(D24)+SUM(H24)</f>
        <v>31.7</v>
      </c>
      <c r="M24" s="1035"/>
      <c r="N24" s="1042">
        <v>1.8</v>
      </c>
      <c r="O24" s="1035"/>
      <c r="P24" s="1042">
        <f>'Exhibit L'!AD23+'Exhibit M'!AD23</f>
        <v>15.3</v>
      </c>
      <c r="R24" s="1022"/>
      <c r="S24" s="1059">
        <f>ROUND(SUM(L24-P24),1)</f>
        <v>16.399999999999999</v>
      </c>
      <c r="T24" s="1019"/>
      <c r="U24" s="1409">
        <f>ROUND(IF(S24=0,0,S24/ABS(P24)),3)</f>
        <v>1.0720000000000001</v>
      </c>
      <c r="V24" s="835"/>
    </row>
    <row r="25" spans="1:245" ht="16.350000000000001" customHeight="1">
      <c r="A25" s="1005" t="s">
        <v>70</v>
      </c>
      <c r="B25" s="693">
        <f>+'Exhibit L'!V24</f>
        <v>3.4000000000000137</v>
      </c>
      <c r="C25" s="906"/>
      <c r="D25" s="1043">
        <f>+'Exhibit L'!AA24</f>
        <v>36.700000000000003</v>
      </c>
      <c r="E25" s="906"/>
      <c r="F25" s="1038">
        <f>+'Exhibit M'!V24</f>
        <v>0</v>
      </c>
      <c r="G25" s="906"/>
      <c r="H25" s="1044">
        <f>+'Exhibit M'!AA24</f>
        <v>0.1</v>
      </c>
      <c r="I25" s="1035"/>
      <c r="J25" s="1040">
        <f>SUM(B25)+SUM(F25)</f>
        <v>3.4000000000000137</v>
      </c>
      <c r="K25" s="906"/>
      <c r="L25" s="1045">
        <f>SUM(D25)+SUM(H25)</f>
        <v>36.800000000000004</v>
      </c>
      <c r="M25" s="1035"/>
      <c r="N25" s="1042">
        <v>3.3</v>
      </c>
      <c r="O25" s="3657"/>
      <c r="P25" s="1042">
        <f>'Exhibit L'!AD24+'Exhibit M'!AD24</f>
        <v>44.2</v>
      </c>
      <c r="R25" s="1022"/>
      <c r="S25" s="1059">
        <f>ROUND(SUM(L25-P25),1)</f>
        <v>-7.4</v>
      </c>
      <c r="T25" s="1019"/>
      <c r="U25" s="2277">
        <f>ROUND(IF(P25=0,1,S25/ABS(P25)),3)</f>
        <v>-0.16700000000000001</v>
      </c>
      <c r="V25" s="835"/>
    </row>
    <row r="26" spans="1:245" ht="15.75">
      <c r="A26" s="105" t="s">
        <v>58</v>
      </c>
      <c r="B26" s="111">
        <f>ROUND(SUM(B23:B25),1)</f>
        <v>9.6999999999999993</v>
      </c>
      <c r="C26" s="112"/>
      <c r="D26" s="111">
        <f>ROUND(SUM(D23:D25),1)</f>
        <v>130.9</v>
      </c>
      <c r="E26" s="112"/>
      <c r="F26" s="111">
        <f>ROUND(SUM(F23:F25),1)</f>
        <v>0</v>
      </c>
      <c r="G26" s="112"/>
      <c r="H26" s="114">
        <f>ROUND(SUM(H23:H25),1)</f>
        <v>0.3</v>
      </c>
      <c r="I26" s="115"/>
      <c r="J26" s="116">
        <f>ROUND(SUM(J23:J25),1)</f>
        <v>9.6999999999999993</v>
      </c>
      <c r="K26" s="112"/>
      <c r="L26" s="114">
        <f>ROUND(SUM(L23:L25),1)</f>
        <v>131.19999999999999</v>
      </c>
      <c r="M26" s="115"/>
      <c r="N26" s="111">
        <f>ROUND(SUM(N23:N25),1)</f>
        <v>10.3</v>
      </c>
      <c r="O26" s="112"/>
      <c r="P26" s="111">
        <f>ROUND(SUM(P23:P25),1)</f>
        <v>121.6</v>
      </c>
      <c r="Q26" s="752"/>
      <c r="R26" s="1001"/>
      <c r="S26" s="1060">
        <f>ROUND(SUM(S23:S25),3)</f>
        <v>9.6</v>
      </c>
      <c r="T26" s="658"/>
      <c r="U26" s="1464">
        <f>ROUND(S26/P26,3)</f>
        <v>7.9000000000000001E-2</v>
      </c>
      <c r="V26" s="835"/>
    </row>
    <row r="27" spans="1:245" ht="15.75">
      <c r="A27" s="105"/>
      <c r="B27" s="906"/>
      <c r="C27" s="906"/>
      <c r="D27" s="906"/>
      <c r="E27" s="906"/>
      <c r="F27" s="906"/>
      <c r="G27" s="906"/>
      <c r="H27" s="1037"/>
      <c r="I27" s="1035"/>
      <c r="J27" s="1036"/>
      <c r="K27" s="906"/>
      <c r="L27" s="1037"/>
      <c r="M27" s="1035"/>
      <c r="N27" s="1035"/>
      <c r="O27" s="906"/>
      <c r="P27" s="1035"/>
      <c r="R27" s="1022"/>
      <c r="S27" s="1059"/>
      <c r="T27" s="1019"/>
      <c r="U27" s="835"/>
      <c r="V27" s="835"/>
    </row>
    <row r="28" spans="1:245" ht="16.350000000000001" customHeight="1">
      <c r="A28" s="105" t="s">
        <v>44</v>
      </c>
      <c r="B28" s="906"/>
      <c r="C28" s="906"/>
      <c r="D28" s="906"/>
      <c r="E28" s="906"/>
      <c r="F28" s="906"/>
      <c r="G28" s="906"/>
      <c r="H28" s="1037"/>
      <c r="I28" s="1035"/>
      <c r="J28" s="1036"/>
      <c r="K28" s="906"/>
      <c r="L28" s="1037"/>
      <c r="M28" s="1035"/>
      <c r="N28" s="1035"/>
      <c r="O28" s="906"/>
      <c r="P28" s="1035"/>
      <c r="R28" s="1022"/>
      <c r="S28" s="1059"/>
      <c r="T28" s="1019"/>
      <c r="U28" s="835"/>
      <c r="V28" s="835"/>
    </row>
    <row r="29" spans="1:245" ht="15.75">
      <c r="A29" s="105" t="s">
        <v>72</v>
      </c>
      <c r="B29" s="120">
        <f>ROUND(SUM(B19-B26),1)</f>
        <v>-4.4000000000000004</v>
      </c>
      <c r="C29" s="112"/>
      <c r="D29" s="120">
        <f>ROUND(SUM(D19-D26),1)</f>
        <v>-7.5</v>
      </c>
      <c r="E29" s="112"/>
      <c r="F29" s="120">
        <f>ROUND(SUM(F19-F26),1)</f>
        <v>0.1</v>
      </c>
      <c r="G29" s="112"/>
      <c r="H29" s="121">
        <f>ROUND(SUM(H19-H26),1)</f>
        <v>1</v>
      </c>
      <c r="I29" s="115"/>
      <c r="J29" s="122">
        <f>ROUND(SUM(J19-J26),1)</f>
        <v>-4.3</v>
      </c>
      <c r="K29" s="115"/>
      <c r="L29" s="121">
        <f>ROUND(SUM(L19-L26),1)</f>
        <v>-6.5</v>
      </c>
      <c r="M29" s="115"/>
      <c r="N29" s="120">
        <f>ROUND(SUM(N19-N26),1)</f>
        <v>-5</v>
      </c>
      <c r="O29" s="115"/>
      <c r="P29" s="120">
        <f>ROUND(SUM(P19-P26),1)</f>
        <v>-10.6</v>
      </c>
      <c r="Q29" s="752"/>
      <c r="R29" s="1022"/>
      <c r="S29" s="1597">
        <f>ROUND(SUM(L29-P29),1)</f>
        <v>4.0999999999999996</v>
      </c>
      <c r="T29" s="1019"/>
      <c r="U29" s="2172">
        <f>ROUND(IF(P29=0,1,S29/ABS(P29)),3)</f>
        <v>0.38700000000000001</v>
      </c>
      <c r="V29" s="835"/>
    </row>
    <row r="30" spans="1:245">
      <c r="A30" s="1005"/>
      <c r="B30" s="906"/>
      <c r="C30" s="906"/>
      <c r="D30" s="906"/>
      <c r="E30" s="906"/>
      <c r="F30" s="906"/>
      <c r="G30" s="906"/>
      <c r="H30" s="1037"/>
      <c r="I30" s="1035"/>
      <c r="J30" s="1036"/>
      <c r="K30" s="906"/>
      <c r="L30" s="1037"/>
      <c r="M30" s="1035"/>
      <c r="N30" s="1035"/>
      <c r="O30" s="906"/>
      <c r="P30" s="1035"/>
      <c r="R30" s="1022"/>
      <c r="S30" s="1059"/>
      <c r="T30" s="1019"/>
      <c r="U30" s="835"/>
      <c r="V30" s="835"/>
    </row>
    <row r="31" spans="1:245" ht="16.350000000000001" customHeight="1">
      <c r="A31" s="105" t="s">
        <v>46</v>
      </c>
      <c r="B31" s="906"/>
      <c r="C31" s="906"/>
      <c r="D31" s="906"/>
      <c r="E31" s="906"/>
      <c r="F31" s="906"/>
      <c r="G31" s="906"/>
      <c r="H31" s="1037"/>
      <c r="I31" s="1035"/>
      <c r="J31" s="1036"/>
      <c r="K31" s="906"/>
      <c r="L31" s="1037"/>
      <c r="M31" s="1035"/>
      <c r="N31" s="1035"/>
      <c r="O31" s="906"/>
      <c r="P31" s="1035"/>
      <c r="R31" s="1022"/>
      <c r="S31" s="1059"/>
      <c r="T31" s="1019"/>
      <c r="U31" s="835"/>
      <c r="V31" s="835"/>
    </row>
    <row r="32" spans="1:245" ht="16.350000000000001" customHeight="1">
      <c r="A32" s="1005" t="s">
        <v>48</v>
      </c>
      <c r="B32" s="1038">
        <f>+'Exhibit L'!V31</f>
        <v>0</v>
      </c>
      <c r="C32" s="906"/>
      <c r="D32" s="1038">
        <f>+'Exhibit L'!AA31</f>
        <v>0</v>
      </c>
      <c r="E32" s="906"/>
      <c r="F32" s="1038">
        <f>+'Exhibit M'!V31</f>
        <v>0</v>
      </c>
      <c r="G32" s="693"/>
      <c r="H32" s="1046">
        <f>+'Exhibit M'!AA31</f>
        <v>0</v>
      </c>
      <c r="I32" s="1035"/>
      <c r="J32" s="1047">
        <f>SUM(B32)+SUM(F32)</f>
        <v>0</v>
      </c>
      <c r="K32" s="906"/>
      <c r="L32" s="1039">
        <f>SUM(D32)+SUM(H32)</f>
        <v>0</v>
      </c>
      <c r="M32" s="1035"/>
      <c r="N32" s="1042">
        <v>0</v>
      </c>
      <c r="O32" s="1035"/>
      <c r="P32" s="1043">
        <f>'Exhibit L'!AD31+'Exhibit M'!AD31</f>
        <v>0</v>
      </c>
      <c r="R32" s="1048"/>
      <c r="S32" s="1059">
        <f>ROUND(SUM(L32-P32),1)</f>
        <v>0</v>
      </c>
      <c r="T32" s="677"/>
      <c r="U32" s="1409">
        <f>ROUND(IF(S32=0,0,S32/ABS(P32)),3)</f>
        <v>0</v>
      </c>
      <c r="V32" s="835"/>
    </row>
    <row r="33" spans="1:245" ht="16.350000000000001" customHeight="1">
      <c r="A33" s="1005" t="s">
        <v>73</v>
      </c>
      <c r="B33" s="1038">
        <f>+'Exhibit L'!VP32</f>
        <v>0</v>
      </c>
      <c r="C33" s="906"/>
      <c r="D33" s="1049">
        <f>+'Exhibit L'!AA32</f>
        <v>0</v>
      </c>
      <c r="E33" s="906"/>
      <c r="F33" s="1038">
        <f>+'Exhibit M'!V32</f>
        <v>0</v>
      </c>
      <c r="G33" s="906"/>
      <c r="H33" s="1046">
        <f>+'Exhibit M'!AA32</f>
        <v>0</v>
      </c>
      <c r="I33" s="1035"/>
      <c r="J33" s="1047">
        <f>SUM(B33)+SUM(F33)</f>
        <v>0</v>
      </c>
      <c r="K33" s="906"/>
      <c r="L33" s="1050">
        <f>SUM(D33)+SUM(H33)</f>
        <v>0</v>
      </c>
      <c r="M33" s="1035"/>
      <c r="N33" s="1042">
        <v>0</v>
      </c>
      <c r="O33" s="3657"/>
      <c r="P33" s="1043">
        <f>'Exhibit L'!AD32+'Exhibit M'!AD32</f>
        <v>0</v>
      </c>
      <c r="R33" s="1051"/>
      <c r="S33" s="1059">
        <f>ROUND(SUM(L33-P33),1)</f>
        <v>0</v>
      </c>
      <c r="T33" s="677"/>
      <c r="U33" s="1409">
        <f>ROUND(IF(S33=0,0,S33/ABS(P33)),3)</f>
        <v>0</v>
      </c>
      <c r="V33" s="835"/>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52"/>
      <c r="S34" s="3463">
        <f>ROUND(SUM(S32-S33),3)</f>
        <v>0</v>
      </c>
      <c r="T34" s="1427"/>
      <c r="U34" s="1093">
        <f>ROUND(IF(P34=0,0,S34/ABS(P34)),3)</f>
        <v>0</v>
      </c>
      <c r="V34" s="835"/>
    </row>
    <row r="35" spans="1:245" ht="15.75">
      <c r="A35" s="105"/>
      <c r="B35" s="1053"/>
      <c r="C35" s="906"/>
      <c r="D35" s="1053"/>
      <c r="E35" s="906"/>
      <c r="F35" s="1035"/>
      <c r="G35" s="906"/>
      <c r="H35" s="1037"/>
      <c r="I35" s="1035"/>
      <c r="J35" s="1036"/>
      <c r="K35" s="906"/>
      <c r="L35" s="1054"/>
      <c r="M35" s="1035"/>
      <c r="N35" s="1035"/>
      <c r="O35" s="906"/>
      <c r="P35" s="1035"/>
      <c r="R35" s="1022"/>
      <c r="S35" s="1059"/>
      <c r="T35" s="1019"/>
      <c r="U35" s="835"/>
      <c r="V35" s="835"/>
    </row>
    <row r="36" spans="1:245" ht="15.75" customHeight="1">
      <c r="A36" s="105" t="s">
        <v>44</v>
      </c>
      <c r="B36" s="906"/>
      <c r="C36" s="906"/>
      <c r="D36" s="906"/>
      <c r="E36" s="906"/>
      <c r="F36" s="906"/>
      <c r="G36" s="906"/>
      <c r="H36" s="1037"/>
      <c r="I36" s="1035"/>
      <c r="J36" s="1036"/>
      <c r="K36" s="906"/>
      <c r="L36" s="1037"/>
      <c r="M36" s="1035"/>
      <c r="N36" s="1035"/>
      <c r="O36" s="906"/>
      <c r="P36" s="1035"/>
      <c r="R36" s="1022"/>
      <c r="S36" s="1059"/>
      <c r="T36" s="1019"/>
      <c r="U36" s="835"/>
      <c r="V36" s="835"/>
    </row>
    <row r="37" spans="1:245" ht="15.75" customHeight="1">
      <c r="A37" s="105" t="s">
        <v>74</v>
      </c>
      <c r="B37" s="906"/>
      <c r="C37" s="906"/>
      <c r="D37" s="906"/>
      <c r="E37" s="906"/>
      <c r="F37" s="906"/>
      <c r="G37" s="906"/>
      <c r="H37" s="1037"/>
      <c r="I37" s="1035"/>
      <c r="J37" s="1036"/>
      <c r="K37" s="906"/>
      <c r="L37" s="1037"/>
      <c r="M37" s="1035"/>
      <c r="N37" s="1035"/>
      <c r="O37" s="906"/>
      <c r="P37" s="1035"/>
      <c r="R37" s="1022"/>
      <c r="S37" s="1059"/>
      <c r="T37" s="1019"/>
      <c r="U37" s="835"/>
      <c r="V37" s="835"/>
    </row>
    <row r="38" spans="1:245" ht="15.75" customHeight="1">
      <c r="A38" s="105" t="s">
        <v>75</v>
      </c>
      <c r="B38" s="906"/>
      <c r="C38" s="906"/>
      <c r="D38" s="906"/>
      <c r="E38" s="906"/>
      <c r="F38" s="1055"/>
      <c r="G38" s="906"/>
      <c r="H38" s="1037"/>
      <c r="I38" s="1035"/>
      <c r="J38" s="1036"/>
      <c r="K38" s="906"/>
      <c r="L38" s="1037"/>
      <c r="M38" s="1035"/>
      <c r="N38" s="1035"/>
      <c r="O38" s="906"/>
      <c r="P38" s="1035"/>
      <c r="R38" s="1022"/>
      <c r="S38" s="1059"/>
      <c r="T38" s="1019"/>
      <c r="U38" s="835"/>
      <c r="V38" s="835"/>
    </row>
    <row r="39" spans="1:245" ht="15.75" customHeight="1">
      <c r="A39" s="105" t="s">
        <v>76</v>
      </c>
      <c r="B39" s="128">
        <f>ROUND(SUM(B29+B34),1)</f>
        <v>-4.4000000000000004</v>
      </c>
      <c r="C39" s="112"/>
      <c r="D39" s="128">
        <f>ROUND(SUM(D29+D34),1)</f>
        <v>-7.5</v>
      </c>
      <c r="E39" s="112"/>
      <c r="F39" s="128">
        <f>ROUND(SUM(F29+F34),1)</f>
        <v>0.1</v>
      </c>
      <c r="G39" s="112"/>
      <c r="H39" s="129">
        <f>ROUND(SUM(H29+H34),1)</f>
        <v>1</v>
      </c>
      <c r="I39" s="115"/>
      <c r="J39" s="130">
        <f>ROUND(SUM(J29+J34),1)</f>
        <v>-4.3</v>
      </c>
      <c r="K39" s="112"/>
      <c r="L39" s="129">
        <f>ROUND(SUM(L29+L34),1)</f>
        <v>-6.5</v>
      </c>
      <c r="M39" s="115"/>
      <c r="N39" s="128">
        <f>ROUND(SUM(N29+N34),1)</f>
        <v>-5</v>
      </c>
      <c r="O39" s="115"/>
      <c r="P39" s="128">
        <f>ROUND(SUM(P29+P34),1)</f>
        <v>-10.6</v>
      </c>
      <c r="Q39" s="752"/>
      <c r="R39" s="1022"/>
      <c r="S39" s="1490">
        <f>ROUND(SUM(L39-P39),1)</f>
        <v>4.0999999999999996</v>
      </c>
      <c r="T39" s="1019"/>
      <c r="U39" s="2173">
        <f>ROUND(IF(P39=0,1,S39/ABS(P39)),3)</f>
        <v>0.38700000000000001</v>
      </c>
      <c r="V39" s="835"/>
    </row>
    <row r="40" spans="1:245" ht="15.75">
      <c r="A40" s="105"/>
      <c r="B40" s="906"/>
      <c r="C40" s="906"/>
      <c r="D40" s="906"/>
      <c r="E40" s="906"/>
      <c r="F40" s="906"/>
      <c r="G40" s="906"/>
      <c r="H40" s="1037"/>
      <c r="I40" s="1035"/>
      <c r="J40" s="1036"/>
      <c r="K40" s="906"/>
      <c r="L40" s="1037"/>
      <c r="M40" s="1035"/>
      <c r="N40" s="1035"/>
      <c r="O40" s="906"/>
      <c r="P40" s="1035"/>
      <c r="R40" s="1022"/>
      <c r="T40" s="1419"/>
      <c r="U40" s="931"/>
      <c r="V40" s="835"/>
    </row>
    <row r="41" spans="1:245" s="752" customFormat="1" ht="15.75">
      <c r="A41" s="105" t="s">
        <v>53</v>
      </c>
      <c r="B41" s="131">
        <f>+'Exhibit L'!V13</f>
        <v>-6.1</v>
      </c>
      <c r="C41" s="112"/>
      <c r="D41" s="131">
        <f>+'Exhibit L'!AA13</f>
        <v>-3</v>
      </c>
      <c r="E41" s="112"/>
      <c r="F41" s="131">
        <f>+'Exhibit M'!V13</f>
        <v>14.1</v>
      </c>
      <c r="G41" s="112"/>
      <c r="H41" s="132">
        <f>+'Exhibit M'!AA13</f>
        <v>13.2</v>
      </c>
      <c r="I41" s="115"/>
      <c r="J41" s="133">
        <f>ROUND(SUM(B41)+SUM(F41),1)</f>
        <v>8</v>
      </c>
      <c r="K41" s="112"/>
      <c r="L41" s="129">
        <f>ROUND(SUM(D41+H41),1)</f>
        <v>10.199999999999999</v>
      </c>
      <c r="M41" s="115"/>
      <c r="N41" s="120">
        <v>4.3000000000000007</v>
      </c>
      <c r="O41" s="112"/>
      <c r="P41" s="120">
        <f>'Exhibit L'!AD13+'Exhibit M'!AD13</f>
        <v>9.9</v>
      </c>
      <c r="R41" s="1002"/>
      <c r="S41" s="1655">
        <f>ROUND(SUM(+L41-P41),1)</f>
        <v>0.3</v>
      </c>
      <c r="T41" s="91"/>
      <c r="U41" s="1410">
        <f>ROUND(IF(S41=0,0,S41/ABS(P41)),3)</f>
        <v>0.03</v>
      </c>
      <c r="V41" s="1056"/>
    </row>
    <row r="42" spans="1:245" ht="16.5" thickBot="1">
      <c r="A42" s="105" t="s">
        <v>78</v>
      </c>
      <c r="B42" s="134">
        <f>ROUND(SUM(B41)+SUM(B39),1)</f>
        <v>-10.5</v>
      </c>
      <c r="C42" s="135"/>
      <c r="D42" s="134">
        <f>ROUND(SUM(D41)+SUM(D39),1)</f>
        <v>-10.5</v>
      </c>
      <c r="E42" s="135"/>
      <c r="F42" s="136">
        <f>ROUND(SUM(F41)+SUM(F39),1)</f>
        <v>14.2</v>
      </c>
      <c r="G42" s="137"/>
      <c r="H42" s="811">
        <f>ROUND(SUM(H41)+SUM(H39),1)</f>
        <v>14.2</v>
      </c>
      <c r="I42" s="812"/>
      <c r="J42" s="811">
        <f>ROUND(SUM(J41)+SUM(J39),1)</f>
        <v>3.7</v>
      </c>
      <c r="K42" s="139"/>
      <c r="L42" s="138">
        <f>ROUND(SUM(L41)+SUM(L39),1)</f>
        <v>3.7</v>
      </c>
      <c r="M42" s="139"/>
      <c r="N42" s="811">
        <f>ROUND(SUM(N41)+SUM(N39),1)</f>
        <v>-0.7</v>
      </c>
      <c r="O42" s="139"/>
      <c r="P42" s="811">
        <f>ROUND(SUM(P41)+SUM(P39),1)</f>
        <v>-0.7</v>
      </c>
      <c r="Q42" s="263"/>
      <c r="R42" s="1029"/>
      <c r="S42" s="3464">
        <f>ROUND(SUM(S39+S41),3)</f>
        <v>4.4000000000000004</v>
      </c>
      <c r="T42" s="1212"/>
      <c r="U42" s="3708">
        <f>-ROUND(S42/P42,3)</f>
        <v>6.2859999999999996</v>
      </c>
      <c r="V42" s="835"/>
    </row>
    <row r="43" spans="1:245" ht="15.75" thickTop="1">
      <c r="A43" s="1005"/>
      <c r="B43" s="1057"/>
      <c r="C43" s="1028"/>
      <c r="D43" s="1057"/>
      <c r="E43" s="1028"/>
      <c r="F43" s="1057"/>
      <c r="G43" s="1028"/>
      <c r="H43" s="1057"/>
      <c r="I43" s="1030"/>
      <c r="J43" s="1057"/>
      <c r="K43" s="1028"/>
      <c r="L43" s="1057"/>
      <c r="M43" s="1028"/>
      <c r="N43" s="1057"/>
      <c r="O43" s="1028"/>
      <c r="P43" s="1057"/>
      <c r="Q43" s="1028"/>
      <c r="R43" s="1058"/>
      <c r="S43" s="1031"/>
      <c r="T43" s="1058"/>
      <c r="U43" s="1031"/>
      <c r="V43" s="1031"/>
      <c r="W43" s="1032"/>
      <c r="X43" s="1032"/>
      <c r="Y43" s="1032"/>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2"/>
      <c r="BH43" s="1032"/>
      <c r="BI43" s="1032"/>
      <c r="BJ43" s="1032"/>
      <c r="BK43" s="1032"/>
      <c r="BL43" s="1032"/>
      <c r="BM43" s="1032"/>
      <c r="BN43" s="1032"/>
      <c r="BO43" s="1032"/>
      <c r="BP43" s="1032"/>
      <c r="BQ43" s="1032"/>
      <c r="BR43" s="1032"/>
      <c r="BS43" s="1032"/>
      <c r="BT43" s="1032"/>
      <c r="BU43" s="1032"/>
      <c r="BV43" s="1032"/>
      <c r="BW43" s="1032"/>
      <c r="BX43" s="1032"/>
      <c r="BY43" s="1032"/>
      <c r="BZ43" s="1032"/>
      <c r="CA43" s="1032"/>
      <c r="CB43" s="1032"/>
      <c r="CC43" s="1032"/>
      <c r="CD43" s="1032"/>
      <c r="CE43" s="1032"/>
      <c r="CF43" s="1032"/>
      <c r="CG43" s="1032"/>
      <c r="CH43" s="1032"/>
      <c r="CI43" s="1032"/>
      <c r="CJ43" s="1032"/>
      <c r="CK43" s="1032"/>
      <c r="CL43" s="1032"/>
      <c r="CM43" s="1032"/>
      <c r="CN43" s="1032"/>
      <c r="CO43" s="1032"/>
      <c r="CP43" s="1032"/>
      <c r="CQ43" s="1032"/>
      <c r="CR43" s="1032"/>
      <c r="CS43" s="1032"/>
      <c r="CT43" s="1032"/>
      <c r="CU43" s="1032"/>
      <c r="CV43" s="1032"/>
      <c r="CW43" s="1032"/>
      <c r="CX43" s="1032"/>
      <c r="CY43" s="1032"/>
      <c r="CZ43" s="1032"/>
      <c r="DA43" s="1032"/>
      <c r="DB43" s="1032"/>
      <c r="DC43" s="1032"/>
      <c r="DD43" s="1032"/>
      <c r="DE43" s="1032"/>
      <c r="DF43" s="1032"/>
      <c r="DG43" s="1032"/>
      <c r="DH43" s="1032"/>
      <c r="DI43" s="1032"/>
      <c r="DJ43" s="1032"/>
      <c r="DK43" s="1032"/>
      <c r="DL43" s="1032"/>
      <c r="DM43" s="1032"/>
      <c r="DN43" s="1032"/>
      <c r="DO43" s="1032"/>
      <c r="DP43" s="1032"/>
      <c r="DQ43" s="1032"/>
      <c r="DR43" s="1032"/>
      <c r="DS43" s="1032"/>
      <c r="DT43" s="1032"/>
      <c r="DU43" s="1032"/>
      <c r="DV43" s="1032"/>
      <c r="DW43" s="1032"/>
      <c r="DX43" s="1032"/>
      <c r="DY43" s="1032"/>
      <c r="DZ43" s="1032"/>
      <c r="EA43" s="1032"/>
      <c r="EB43" s="1032"/>
      <c r="EC43" s="1032"/>
      <c r="ED43" s="1032"/>
      <c r="EE43" s="1032"/>
      <c r="EF43" s="1032"/>
      <c r="EG43" s="1032"/>
      <c r="EH43" s="1032"/>
      <c r="EI43" s="1032"/>
      <c r="EJ43" s="1032"/>
      <c r="EK43" s="1032"/>
      <c r="EL43" s="1032"/>
      <c r="EM43" s="1032"/>
      <c r="EN43" s="1032"/>
      <c r="EO43" s="1032"/>
      <c r="EP43" s="1032"/>
      <c r="EQ43" s="1032"/>
      <c r="ER43" s="1032"/>
      <c r="ES43" s="1032"/>
      <c r="ET43" s="1032"/>
      <c r="EU43" s="1032"/>
      <c r="EV43" s="1032"/>
      <c r="EW43" s="1032"/>
      <c r="EX43" s="1032"/>
      <c r="EY43" s="1032"/>
      <c r="EZ43" s="1032"/>
      <c r="FA43" s="1032"/>
      <c r="FB43" s="1032"/>
      <c r="FC43" s="1032"/>
      <c r="FD43" s="1032"/>
      <c r="FE43" s="1032"/>
      <c r="FF43" s="1032"/>
      <c r="FG43" s="1032"/>
      <c r="FH43" s="1032"/>
      <c r="FI43" s="1032"/>
      <c r="FJ43" s="1032"/>
      <c r="FK43" s="1032"/>
      <c r="FL43" s="1032"/>
      <c r="FM43" s="1032"/>
      <c r="FN43" s="1032"/>
      <c r="FO43" s="1032"/>
      <c r="FP43" s="1032"/>
      <c r="FQ43" s="1032"/>
      <c r="FR43" s="1032"/>
      <c r="FS43" s="1032"/>
      <c r="FT43" s="1032"/>
      <c r="FU43" s="1032"/>
      <c r="FV43" s="1032"/>
      <c r="FW43" s="1032"/>
      <c r="FX43" s="1032"/>
      <c r="FY43" s="1032"/>
      <c r="FZ43" s="1032"/>
      <c r="GA43" s="1032"/>
      <c r="GB43" s="1032"/>
      <c r="GC43" s="1032"/>
      <c r="GD43" s="1032"/>
      <c r="GE43" s="1032"/>
      <c r="GF43" s="1032"/>
      <c r="GG43" s="1032"/>
      <c r="GH43" s="1032"/>
      <c r="GI43" s="1032"/>
      <c r="GJ43" s="1032"/>
      <c r="GK43" s="1032"/>
      <c r="GL43" s="1032"/>
      <c r="GM43" s="1032"/>
      <c r="GN43" s="1032"/>
      <c r="GO43" s="1032"/>
      <c r="GP43" s="1032"/>
      <c r="GQ43" s="1032"/>
      <c r="GR43" s="1032"/>
      <c r="GS43" s="1032"/>
      <c r="GT43" s="1032"/>
      <c r="GU43" s="1032"/>
      <c r="GV43" s="1032"/>
      <c r="GW43" s="1032"/>
      <c r="GX43" s="1032"/>
      <c r="GY43" s="1032"/>
      <c r="GZ43" s="1032"/>
      <c r="HA43" s="1032"/>
      <c r="HB43" s="1032"/>
      <c r="HC43" s="1032"/>
      <c r="HD43" s="1032"/>
      <c r="HE43" s="1032"/>
      <c r="HF43" s="1032"/>
      <c r="HG43" s="1032"/>
      <c r="HH43" s="1032"/>
      <c r="HI43" s="1032"/>
      <c r="HJ43" s="1032"/>
      <c r="HK43" s="1032"/>
      <c r="HL43" s="1032"/>
      <c r="HM43" s="1032"/>
      <c r="HN43" s="1032"/>
      <c r="HO43" s="1032"/>
      <c r="HP43" s="1032"/>
      <c r="HQ43" s="1032"/>
      <c r="HR43" s="1032"/>
      <c r="HS43" s="1032"/>
      <c r="HT43" s="1032"/>
      <c r="HU43" s="1032"/>
      <c r="HV43" s="1032"/>
      <c r="HW43" s="1032"/>
      <c r="HX43" s="1032"/>
      <c r="HY43" s="1032"/>
      <c r="HZ43" s="1032"/>
      <c r="IA43" s="1032"/>
      <c r="IB43" s="1032"/>
      <c r="IC43" s="1032"/>
      <c r="ID43" s="1032"/>
      <c r="IE43" s="1032"/>
      <c r="IF43" s="1032"/>
      <c r="IG43" s="1032"/>
      <c r="IH43" s="1032"/>
      <c r="II43" s="1032"/>
      <c r="IJ43" s="1032"/>
      <c r="IK43" s="1032"/>
    </row>
    <row r="44" spans="1:245">
      <c r="A44" s="1005"/>
      <c r="B44" s="1005"/>
      <c r="C44" s="1005"/>
      <c r="D44" s="1005"/>
      <c r="E44" s="1005"/>
      <c r="F44" s="1004"/>
      <c r="G44" s="1005"/>
      <c r="H44" s="1005"/>
      <c r="I44" s="1005"/>
      <c r="J44" s="1005"/>
      <c r="K44" s="1005"/>
      <c r="L44" s="1005"/>
      <c r="M44" s="1005"/>
      <c r="N44" s="1005"/>
      <c r="O44" s="1005"/>
      <c r="P44" s="1005"/>
      <c r="Q44" s="1005"/>
      <c r="R44" s="1006"/>
      <c r="S44" s="1377"/>
      <c r="T44" s="1006"/>
      <c r="U44" s="835"/>
      <c r="V44" s="835"/>
    </row>
    <row r="45" spans="1:245">
      <c r="A45" s="1005"/>
      <c r="B45" s="1005"/>
      <c r="C45" s="1005"/>
      <c r="D45" s="1005"/>
      <c r="E45" s="1005"/>
      <c r="F45" s="1004" t="s">
        <v>15</v>
      </c>
      <c r="G45" s="1005"/>
      <c r="H45" s="1005"/>
      <c r="I45" s="1005"/>
      <c r="J45" s="1005"/>
      <c r="K45" s="1005"/>
      <c r="L45" s="1005"/>
      <c r="N45" s="1005"/>
      <c r="O45" s="1005"/>
      <c r="P45" s="1005"/>
      <c r="Q45" s="1005"/>
      <c r="R45" s="1006"/>
      <c r="S45" s="835"/>
      <c r="T45" s="1006"/>
      <c r="U45" s="835"/>
      <c r="V45" s="835"/>
    </row>
    <row r="46" spans="1:245">
      <c r="A46" s="902"/>
      <c r="B46" s="1005"/>
      <c r="C46" s="1005"/>
      <c r="D46" s="1005"/>
      <c r="E46" s="1005"/>
      <c r="F46" s="1005"/>
      <c r="G46" s="1005"/>
      <c r="H46" s="1005"/>
      <c r="I46" s="1005"/>
      <c r="J46" s="1005"/>
      <c r="K46" s="1005"/>
      <c r="L46" s="1005"/>
      <c r="M46" s="1005"/>
      <c r="N46" s="1005"/>
      <c r="O46" s="1005"/>
      <c r="P46" s="1005"/>
      <c r="Q46" s="1005"/>
      <c r="R46" s="1006"/>
      <c r="S46" s="835"/>
      <c r="T46" s="1006"/>
      <c r="U46" s="835"/>
      <c r="V46" s="835"/>
    </row>
    <row r="47" spans="1:245">
      <c r="A47" s="1005"/>
      <c r="B47" s="1005"/>
      <c r="C47" s="1005"/>
      <c r="D47" s="1005"/>
      <c r="E47" s="1005"/>
      <c r="F47" s="1005"/>
      <c r="G47" s="1005"/>
      <c r="H47" s="1005"/>
      <c r="I47" s="1005"/>
      <c r="J47" s="1005"/>
      <c r="K47" s="1005"/>
      <c r="L47" s="1005"/>
      <c r="M47" s="1005"/>
      <c r="N47" s="1005"/>
      <c r="O47" s="1005"/>
      <c r="P47" s="1005"/>
      <c r="Q47" s="1005"/>
      <c r="R47" s="1006"/>
      <c r="S47" s="835"/>
      <c r="T47" s="1006"/>
      <c r="U47" s="835"/>
      <c r="V47" s="835"/>
    </row>
    <row r="48" spans="1:245">
      <c r="A48" s="1005"/>
      <c r="B48" s="1005"/>
      <c r="C48" s="1005"/>
      <c r="D48" s="1005"/>
      <c r="E48" s="1005"/>
      <c r="F48" s="1005"/>
      <c r="G48" s="1005"/>
      <c r="H48" s="1005"/>
      <c r="I48" s="1005"/>
      <c r="J48" s="1005"/>
      <c r="K48" s="1005"/>
      <c r="L48" s="1005"/>
      <c r="M48" s="1005"/>
      <c r="N48" s="1005"/>
      <c r="O48" s="1005"/>
      <c r="P48" s="1005"/>
      <c r="Q48" s="1005"/>
      <c r="R48" s="1006"/>
      <c r="S48" s="835"/>
      <c r="T48" s="1006"/>
      <c r="U48" s="835"/>
      <c r="V48" s="835"/>
    </row>
    <row r="49" spans="1:22">
      <c r="A49" s="1005"/>
      <c r="B49" s="1005"/>
      <c r="C49" s="1005"/>
      <c r="D49" s="1005"/>
      <c r="E49" s="1005"/>
      <c r="F49" s="1005"/>
      <c r="G49" s="1005"/>
      <c r="H49" s="1005"/>
      <c r="I49" s="1005"/>
      <c r="J49" s="1005"/>
      <c r="K49" s="1005"/>
      <c r="L49" s="1005"/>
      <c r="M49" s="1005"/>
      <c r="N49" s="1005"/>
      <c r="O49" s="1005"/>
      <c r="P49" s="1005"/>
      <c r="Q49" s="1005"/>
      <c r="R49" s="1006"/>
      <c r="S49" s="835"/>
      <c r="T49" s="1006"/>
      <c r="U49" s="835"/>
      <c r="V49" s="835"/>
    </row>
    <row r="50" spans="1:22">
      <c r="A50" s="1005"/>
      <c r="B50" s="1005"/>
      <c r="C50" s="1005"/>
      <c r="D50" s="1005"/>
      <c r="E50" s="1005"/>
      <c r="F50" s="1005"/>
      <c r="G50" s="1005"/>
      <c r="H50" s="1005"/>
      <c r="I50" s="1005"/>
      <c r="J50" s="1005"/>
      <c r="K50" s="1005"/>
      <c r="L50" s="1005"/>
      <c r="M50" s="1005"/>
      <c r="N50" s="1005"/>
      <c r="O50" s="1005"/>
      <c r="P50" s="1005"/>
      <c r="Q50" s="1005"/>
      <c r="R50" s="1006"/>
      <c r="S50" s="835"/>
      <c r="T50" s="1006"/>
      <c r="U50" s="835"/>
      <c r="V50" s="835"/>
    </row>
    <row r="51" spans="1:22">
      <c r="A51" s="1005"/>
      <c r="B51" s="1005"/>
      <c r="C51" s="1005"/>
      <c r="D51" s="1005"/>
      <c r="E51" s="1005"/>
      <c r="F51" s="1005"/>
      <c r="G51" s="1005"/>
      <c r="H51" s="1005"/>
      <c r="I51" s="1005"/>
      <c r="J51" s="1005"/>
      <c r="K51" s="1005"/>
      <c r="L51" s="1005"/>
      <c r="M51" s="1005"/>
      <c r="N51" s="1005"/>
      <c r="O51" s="1005"/>
      <c r="P51" s="1005"/>
      <c r="Q51" s="1005"/>
      <c r="R51" s="1006"/>
      <c r="S51" s="835"/>
      <c r="T51" s="1006"/>
      <c r="U51" s="835"/>
      <c r="V51" s="835"/>
    </row>
    <row r="52" spans="1:22">
      <c r="A52" s="1005"/>
      <c r="B52" s="1005"/>
      <c r="C52" s="1005"/>
      <c r="D52" s="1005"/>
      <c r="E52" s="1005"/>
      <c r="F52" s="1005"/>
      <c r="G52" s="1005"/>
      <c r="H52" s="1005"/>
      <c r="I52" s="1005"/>
      <c r="J52" s="1005"/>
      <c r="K52" s="1005"/>
      <c r="L52" s="1005"/>
      <c r="M52" s="1005"/>
      <c r="N52" s="1005"/>
      <c r="O52" s="1005"/>
      <c r="P52" s="1005"/>
      <c r="Q52" s="1005"/>
      <c r="R52" s="1006"/>
      <c r="S52" s="835"/>
      <c r="T52" s="1006"/>
      <c r="U52" s="835"/>
      <c r="V52" s="835"/>
    </row>
    <row r="53" spans="1:22">
      <c r="A53" s="1005"/>
      <c r="B53" s="1005"/>
      <c r="C53" s="1005"/>
      <c r="D53" s="1005"/>
      <c r="E53" s="1005"/>
      <c r="F53" s="1005"/>
      <c r="G53" s="1005"/>
      <c r="H53" s="1005"/>
      <c r="I53" s="1005"/>
      <c r="J53" s="1005"/>
      <c r="K53" s="1005"/>
      <c r="L53" s="1005"/>
      <c r="M53" s="1005"/>
      <c r="N53" s="1005"/>
      <c r="O53" s="1005"/>
      <c r="P53" s="1005"/>
      <c r="Q53" s="1005"/>
      <c r="R53" s="1006"/>
      <c r="S53" s="835"/>
      <c r="T53" s="1006"/>
      <c r="U53" s="835"/>
      <c r="V53" s="835"/>
    </row>
    <row r="54" spans="1:22">
      <c r="A54" s="1005"/>
      <c r="B54" s="1005"/>
      <c r="C54" s="1005"/>
      <c r="D54" s="1005"/>
      <c r="E54" s="1005"/>
      <c r="F54" s="1005"/>
      <c r="G54" s="1005"/>
      <c r="H54" s="1005"/>
      <c r="I54" s="1005"/>
      <c r="J54" s="1005"/>
      <c r="K54" s="1005"/>
      <c r="L54" s="1005"/>
      <c r="M54" s="1005"/>
      <c r="N54" s="1005"/>
      <c r="O54" s="1005"/>
      <c r="P54" s="1005"/>
      <c r="Q54" s="1005"/>
      <c r="R54" s="1006"/>
      <c r="S54" s="835"/>
      <c r="T54" s="1006"/>
      <c r="U54" s="835"/>
      <c r="V54" s="835"/>
    </row>
    <row r="55" spans="1:22">
      <c r="A55" s="1005"/>
      <c r="B55" s="1005"/>
      <c r="C55" s="1005"/>
      <c r="D55" s="1005"/>
      <c r="E55" s="1005"/>
      <c r="F55" s="1005"/>
      <c r="G55" s="1005"/>
      <c r="H55" s="1005"/>
      <c r="I55" s="1005"/>
      <c r="J55" s="1005"/>
      <c r="K55" s="1005"/>
      <c r="L55" s="1005"/>
      <c r="M55" s="1005"/>
      <c r="N55" s="1005"/>
      <c r="O55" s="1005"/>
      <c r="P55" s="1005"/>
      <c r="Q55" s="1005"/>
      <c r="R55" s="1006"/>
      <c r="S55" s="835"/>
      <c r="T55" s="1006"/>
      <c r="U55" s="835"/>
      <c r="V55" s="835"/>
    </row>
    <row r="56" spans="1:22">
      <c r="A56" s="1005"/>
      <c r="B56" s="1005"/>
      <c r="C56" s="1005"/>
      <c r="D56" s="1005"/>
      <c r="E56" s="1005"/>
      <c r="F56" s="1005"/>
      <c r="G56" s="1005"/>
      <c r="H56" s="1005"/>
      <c r="I56" s="1005"/>
      <c r="J56" s="1005"/>
      <c r="K56" s="1005"/>
      <c r="L56" s="1005"/>
      <c r="M56" s="1005"/>
      <c r="N56" s="1005"/>
      <c r="O56" s="1005"/>
      <c r="P56" s="1005"/>
      <c r="Q56" s="1005"/>
      <c r="R56" s="1007"/>
      <c r="S56" s="1005"/>
    </row>
    <row r="57" spans="1:22">
      <c r="A57" s="1005"/>
      <c r="B57" s="1005"/>
      <c r="C57" s="1005"/>
      <c r="D57" s="1005"/>
      <c r="E57" s="1005"/>
      <c r="F57" s="1005"/>
      <c r="G57" s="1005"/>
      <c r="H57" s="1005"/>
      <c r="I57" s="1005"/>
      <c r="J57" s="1005"/>
      <c r="K57" s="1005"/>
      <c r="L57" s="1005"/>
      <c r="M57" s="1005"/>
      <c r="N57" s="1005"/>
      <c r="O57" s="1005"/>
      <c r="P57" s="1005"/>
      <c r="Q57" s="1005"/>
      <c r="R57" s="1007"/>
      <c r="S57" s="1005"/>
    </row>
    <row r="58" spans="1:22">
      <c r="A58" s="1005"/>
      <c r="B58" s="1005"/>
      <c r="C58" s="1005"/>
      <c r="D58" s="1005"/>
      <c r="E58" s="1005"/>
      <c r="F58" s="1005"/>
      <c r="G58" s="1005"/>
      <c r="H58" s="1005"/>
      <c r="I58" s="1005"/>
      <c r="J58" s="1005"/>
      <c r="K58" s="1005"/>
      <c r="L58" s="1005"/>
      <c r="M58" s="1005"/>
      <c r="N58" s="1005"/>
      <c r="O58" s="1005"/>
      <c r="P58" s="1005"/>
      <c r="Q58" s="1005"/>
      <c r="R58" s="1007"/>
      <c r="S58" s="1005"/>
    </row>
    <row r="59" spans="1:22">
      <c r="A59" s="1005"/>
      <c r="B59" s="1005"/>
      <c r="C59" s="1005"/>
      <c r="D59" s="1005"/>
      <c r="E59" s="1005"/>
      <c r="F59" s="1005"/>
      <c r="G59" s="1005"/>
      <c r="H59" s="1005"/>
      <c r="I59" s="1005"/>
      <c r="J59" s="1005"/>
      <c r="K59" s="1005"/>
      <c r="L59" s="1005"/>
      <c r="M59" s="1005"/>
      <c r="N59" s="1005"/>
      <c r="O59" s="1005"/>
      <c r="P59" s="1005"/>
      <c r="Q59" s="1005"/>
      <c r="R59" s="1007"/>
      <c r="S59" s="1005"/>
    </row>
    <row r="60" spans="1:22">
      <c r="A60" s="1005"/>
      <c r="B60" s="1005"/>
      <c r="C60" s="1005"/>
      <c r="D60" s="1005"/>
      <c r="E60" s="1005"/>
      <c r="F60" s="1005"/>
      <c r="G60" s="1005"/>
      <c r="H60" s="1005"/>
      <c r="I60" s="1005"/>
      <c r="J60" s="1005"/>
      <c r="K60" s="1005"/>
      <c r="L60" s="1005"/>
      <c r="M60" s="1005"/>
      <c r="N60" s="1005"/>
      <c r="O60" s="1005"/>
      <c r="P60" s="1005"/>
      <c r="Q60" s="1005"/>
      <c r="R60" s="1007"/>
      <c r="S60" s="1005"/>
    </row>
    <row r="61" spans="1:22">
      <c r="A61" s="1005"/>
      <c r="B61" s="1005"/>
      <c r="C61" s="1005"/>
      <c r="D61" s="1005"/>
      <c r="E61" s="1005"/>
      <c r="F61" s="1005"/>
      <c r="G61" s="1005"/>
      <c r="H61" s="1005"/>
      <c r="I61" s="1005"/>
      <c r="J61" s="1005"/>
      <c r="K61" s="1005"/>
      <c r="L61" s="1005"/>
      <c r="M61" s="1005"/>
      <c r="N61" s="1005"/>
      <c r="O61" s="1005"/>
      <c r="P61" s="1005"/>
      <c r="Q61" s="1005"/>
      <c r="R61" s="1007"/>
      <c r="S61" s="1005"/>
    </row>
  </sheetData>
  <mergeCells count="1">
    <mergeCell ref="S12:U12"/>
  </mergeCells>
  <pageMargins left="0.25" right="0" top="0.5" bottom="0.5" header="0" footer="0.25"/>
  <pageSetup scale="58"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2" style="101" customWidth="1"/>
    <col min="9" max="9" width="14.88671875" style="101" customWidth="1"/>
    <col min="10" max="10" width="2.109375" style="101" customWidth="1"/>
    <col min="11" max="11" width="14.109375" style="101" customWidth="1"/>
    <col min="12" max="16384" width="8.88671875" style="101"/>
  </cols>
  <sheetData>
    <row r="1" spans="1:11">
      <c r="A1" s="934" t="s">
        <v>979</v>
      </c>
    </row>
    <row r="2" spans="1:11">
      <c r="A2" s="836"/>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row>
    <row r="5" spans="1:11" ht="17.25" customHeight="1">
      <c r="A5" s="3915" t="s">
        <v>1397</v>
      </c>
      <c r="B5" s="3916"/>
      <c r="C5" s="3916"/>
      <c r="D5" s="3916"/>
      <c r="E5" s="3916"/>
      <c r="F5" s="143"/>
      <c r="G5" s="146"/>
      <c r="H5" s="143"/>
      <c r="I5" s="143"/>
      <c r="J5" s="143"/>
      <c r="K5" s="143"/>
    </row>
    <row r="6" spans="1:11" ht="17.25" customHeight="1">
      <c r="A6" s="831" t="s">
        <v>1595</v>
      </c>
      <c r="B6" s="147"/>
      <c r="C6" s="148"/>
      <c r="D6" s="143"/>
      <c r="E6" s="148"/>
      <c r="F6" s="143"/>
      <c r="G6" s="143"/>
      <c r="H6" s="143"/>
      <c r="I6" s="143"/>
      <c r="J6" s="143"/>
      <c r="K6" s="143"/>
    </row>
    <row r="7" spans="1:11" ht="18">
      <c r="A7" s="191" t="s">
        <v>1417</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917" t="s">
        <v>1147</v>
      </c>
      <c r="D11" s="3917"/>
      <c r="E11" s="3917"/>
      <c r="F11" s="3917"/>
      <c r="G11" s="3917"/>
      <c r="H11" s="3917"/>
      <c r="I11" s="3917"/>
      <c r="J11" s="1188"/>
      <c r="K11" s="1189"/>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885</v>
      </c>
      <c r="J13" s="153"/>
      <c r="K13" s="153" t="s">
        <v>885</v>
      </c>
    </row>
    <row r="14" spans="1:11" ht="15.75">
      <c r="A14" s="31"/>
      <c r="B14" s="151"/>
      <c r="C14" s="154" t="s">
        <v>1094</v>
      </c>
      <c r="D14" s="152"/>
      <c r="E14" s="153" t="s">
        <v>1095</v>
      </c>
      <c r="F14" s="152"/>
      <c r="G14" s="152"/>
      <c r="H14" s="152"/>
      <c r="I14" s="153" t="s">
        <v>86</v>
      </c>
      <c r="J14" s="153"/>
      <c r="K14" s="153" t="s">
        <v>86</v>
      </c>
    </row>
    <row r="15" spans="1:11" ht="15.75">
      <c r="A15" s="31"/>
      <c r="B15" s="151"/>
      <c r="C15" s="153" t="s">
        <v>1133</v>
      </c>
      <c r="D15" s="152"/>
      <c r="E15" s="153" t="s">
        <v>1133</v>
      </c>
      <c r="F15" s="152"/>
      <c r="G15" s="152"/>
      <c r="H15" s="152"/>
      <c r="I15" s="153" t="s">
        <v>1094</v>
      </c>
      <c r="J15" s="153"/>
      <c r="K15" s="153" t="s">
        <v>1095</v>
      </c>
    </row>
    <row r="16" spans="1:11" ht="15.75">
      <c r="A16" s="31"/>
      <c r="B16" s="151"/>
      <c r="C16" s="153" t="s">
        <v>1134</v>
      </c>
      <c r="D16" s="152"/>
      <c r="E16" s="153" t="s">
        <v>1447</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30" t="s">
        <v>88</v>
      </c>
      <c r="B19" s="160" t="s">
        <v>15</v>
      </c>
      <c r="C19" s="161"/>
      <c r="D19" s="160"/>
      <c r="E19" s="161"/>
      <c r="F19" s="160"/>
      <c r="G19" s="99"/>
      <c r="H19" s="160"/>
      <c r="I19" s="99"/>
      <c r="J19" s="99"/>
      <c r="K19" s="52"/>
    </row>
    <row r="20" spans="1:13">
      <c r="A20" s="162" t="s">
        <v>89</v>
      </c>
      <c r="B20" s="160" t="s">
        <v>15</v>
      </c>
      <c r="C20" s="1922">
        <f>'Exh D General Fund  '!C20+'Exh D Special Revenue'!C20+'Exh D Debt Service'!C20</f>
        <v>48472</v>
      </c>
      <c r="D20" s="2190"/>
      <c r="E20" s="1922">
        <f>+'Exh D General Fund  '!E20+'Exh D Special Revenue'!E20+'Exh D Debt Service'!E20</f>
        <v>49978</v>
      </c>
      <c r="F20" s="163"/>
      <c r="G20" s="50">
        <f>+'Exh D General Fund  '!G20+'Exh D Special Revenue'!G20+'Exh D Debt Service'!G20</f>
        <v>49913.2</v>
      </c>
      <c r="H20" s="163"/>
      <c r="I20" s="50">
        <f>ROUND(SUM(G20)-SUM(C20),1)</f>
        <v>1441.2</v>
      </c>
      <c r="J20" s="164"/>
      <c r="K20" s="50">
        <f>ROUND(SUM(G20)-SUM(E20),1)</f>
        <v>-64.8</v>
      </c>
      <c r="M20" s="1190"/>
    </row>
    <row r="21" spans="1:13">
      <c r="A21" s="830" t="s">
        <v>90</v>
      </c>
      <c r="B21" s="158" t="s">
        <v>15</v>
      </c>
      <c r="C21" s="118">
        <f>+'Exh D General Fund  '!C21+'Exh D Debt Service'!C21+'Exh D Special Revenue'!C21+'Exh D Capital Projects'!C20</f>
        <v>16719</v>
      </c>
      <c r="D21" s="118"/>
      <c r="E21" s="118">
        <f>+'Exh D General Fund  '!E21+'Exh D Special Revenue'!E21+'Exh D Debt Service'!E21+'Exh D Capital Projects'!E20</f>
        <v>16529</v>
      </c>
      <c r="F21" s="66"/>
      <c r="G21" s="66">
        <f>+'Exh D General Fund  '!G21+'Exh D Special Revenue'!G21+'Exh D Debt Service'!G21+'Exh D Capital Projects'!G20</f>
        <v>16558.8</v>
      </c>
      <c r="H21" s="66"/>
      <c r="I21" s="66">
        <f t="shared" ref="I21:I25" si="0">ROUND(SUM(G21)-SUM(C21),1)</f>
        <v>-160.19999999999999</v>
      </c>
      <c r="J21" s="164"/>
      <c r="K21" s="66">
        <f>ROUND(SUM(G21)-SUM(E21),1)</f>
        <v>29.8</v>
      </c>
      <c r="M21" s="1190"/>
    </row>
    <row r="22" spans="1:13" ht="15" customHeight="1">
      <c r="A22" s="830" t="s">
        <v>91</v>
      </c>
      <c r="B22" s="160" t="s">
        <v>15</v>
      </c>
      <c r="C22" s="118">
        <f>+'Exh D General Fund  '!C22+'Exh D Special Revenue'!C22+'Exh D Capital Projects'!C21</f>
        <v>6304</v>
      </c>
      <c r="D22" s="119"/>
      <c r="E22" s="118">
        <f>+'Exh D General Fund  '!E22+'Exh D Special Revenue'!E22+'Exh D Capital Projects'!E21</f>
        <v>6619</v>
      </c>
      <c r="F22" s="77"/>
      <c r="G22" s="66">
        <f>+'Exh D General Fund  '!G22+'Exh D Special Revenue'!G22+'Exh D Capital Projects'!G21</f>
        <v>6631</v>
      </c>
      <c r="H22" s="77"/>
      <c r="I22" s="66">
        <f t="shared" si="0"/>
        <v>327</v>
      </c>
      <c r="J22" s="164"/>
      <c r="K22" s="66">
        <f t="shared" ref="K22:K25" si="1">ROUND(SUM(G22)-SUM(E22),1)</f>
        <v>12</v>
      </c>
      <c r="M22" s="1190"/>
    </row>
    <row r="23" spans="1:13" ht="14.25" customHeight="1">
      <c r="A23" s="830" t="s">
        <v>92</v>
      </c>
      <c r="B23" s="158" t="s">
        <v>15</v>
      </c>
      <c r="C23" s="118">
        <f>+'Exh D General Fund  '!C23+'Exh D Capital Projects'!C22+'Exh D Debt Service'!C22</f>
        <v>2097</v>
      </c>
      <c r="D23" s="118"/>
      <c r="E23" s="118">
        <f>+'Exh D General Fund  '!E23+'Exh D Debt Service'!E22+'Exh D Capital Projects'!E22</f>
        <v>2086</v>
      </c>
      <c r="F23" s="66"/>
      <c r="G23" s="66">
        <f>+'Exh D General Fund  '!G23+'Exh D Debt Service'!G22+'Exh D Capital Projects'!G22</f>
        <v>2076.2999999999997</v>
      </c>
      <c r="H23" s="66"/>
      <c r="I23" s="66">
        <f t="shared" si="0"/>
        <v>-20.7</v>
      </c>
      <c r="J23" s="164"/>
      <c r="K23" s="66">
        <f t="shared" si="1"/>
        <v>-9.6999999999999993</v>
      </c>
      <c r="M23" s="1190"/>
    </row>
    <row r="24" spans="1:13">
      <c r="A24" s="830" t="s">
        <v>20</v>
      </c>
      <c r="B24" s="158" t="s">
        <v>15</v>
      </c>
      <c r="C24" s="118">
        <f>+'Exh D General Fund  '!C24+'Exh D Special Revenue'!C23+'Exh D Debt Service'!C23+'Exh D Capital Projects'!C23</f>
        <v>25327</v>
      </c>
      <c r="D24" s="118"/>
      <c r="E24" s="118">
        <f>+'Exh D General Fund  '!E24+'Exh D Special Revenue'!E23+'Exh D Debt Service'!E23+'Exh D Capital Projects'!E23</f>
        <v>25321</v>
      </c>
      <c r="F24" s="66"/>
      <c r="G24" s="66">
        <f>+'Exh D General Fund  '!G24+'Exh D Special Revenue'!G23+'Exh D Debt Service'!G23+'Exh D Capital Projects'!G23</f>
        <v>25695.800000000003</v>
      </c>
      <c r="H24" s="66"/>
      <c r="I24" s="66">
        <f t="shared" si="0"/>
        <v>368.8</v>
      </c>
      <c r="J24" s="165"/>
      <c r="K24" s="66">
        <f t="shared" si="1"/>
        <v>374.8</v>
      </c>
      <c r="M24" s="1190"/>
    </row>
    <row r="25" spans="1:13" ht="15" customHeight="1">
      <c r="A25" s="830" t="s">
        <v>21</v>
      </c>
      <c r="B25" s="158" t="s">
        <v>15</v>
      </c>
      <c r="C25" s="685">
        <f>+'Exh D General Fund  '!C25+'Exh D Debt Service'!C24+'Exh D Special Revenue'!C24+'Exh D Capital Projects'!C24</f>
        <v>58818</v>
      </c>
      <c r="D25" s="118"/>
      <c r="E25" s="685">
        <f>+'Exh D General Fund  '!E25+'Exh D Special Revenue'!E24+'Exh D Debt Service'!E24+'Exh D Capital Projects'!E24</f>
        <v>59926</v>
      </c>
      <c r="F25" s="66"/>
      <c r="G25" s="277">
        <f>+'Exh D General Fund  '!G25+'Exh D Special Revenue'!G24+'Exh D Debt Service'!G24+'Exh D Capital Projects'!G24</f>
        <v>60603.090000000004</v>
      </c>
      <c r="H25" s="66"/>
      <c r="I25" s="66">
        <f t="shared" si="0"/>
        <v>1785.1</v>
      </c>
      <c r="J25" s="165"/>
      <c r="K25" s="66">
        <f t="shared" si="1"/>
        <v>677.1</v>
      </c>
      <c r="M25" s="1190"/>
    </row>
    <row r="26" spans="1:13" ht="15.75">
      <c r="A26" s="173" t="s">
        <v>93</v>
      </c>
      <c r="B26" s="151" t="s">
        <v>15</v>
      </c>
      <c r="C26" s="1515">
        <f>ROUND(SUM(C20:C25),1)</f>
        <v>157737</v>
      </c>
      <c r="D26" s="112"/>
      <c r="E26" s="1515">
        <f>ROUND(SUM(E20:E25),1)</f>
        <v>160459</v>
      </c>
      <c r="F26" s="62"/>
      <c r="G26" s="215">
        <f>ROUND(SUM(G20:G25),1)</f>
        <v>161478.20000000001</v>
      </c>
      <c r="H26" s="62"/>
      <c r="I26" s="215">
        <f>ROUND(SUM(I20:I25),1)</f>
        <v>3741.2</v>
      </c>
      <c r="J26" s="166"/>
      <c r="K26" s="215">
        <f>ROUND(SUM(K20:K25),1)</f>
        <v>1019.2</v>
      </c>
      <c r="M26" s="1190"/>
    </row>
    <row r="27" spans="1:13">
      <c r="A27" s="31"/>
      <c r="B27" s="158" t="s">
        <v>15</v>
      </c>
      <c r="C27" s="126"/>
      <c r="D27" s="118"/>
      <c r="E27" s="126"/>
      <c r="F27" s="66"/>
      <c r="G27" s="88"/>
      <c r="H27" s="66"/>
      <c r="I27" s="88"/>
      <c r="J27" s="59"/>
      <c r="K27" s="88"/>
      <c r="M27" s="1190"/>
    </row>
    <row r="28" spans="1:13" ht="15.75">
      <c r="A28" s="29" t="s">
        <v>23</v>
      </c>
      <c r="B28" s="158" t="s">
        <v>15</v>
      </c>
      <c r="C28" s="118"/>
      <c r="D28" s="118"/>
      <c r="E28" s="118"/>
      <c r="F28" s="66"/>
      <c r="G28" s="66"/>
      <c r="H28" s="66"/>
      <c r="I28" s="66"/>
      <c r="J28" s="165"/>
      <c r="K28" s="56"/>
      <c r="M28" s="1190"/>
    </row>
    <row r="29" spans="1:13">
      <c r="A29" s="830" t="s">
        <v>94</v>
      </c>
      <c r="B29" s="158" t="s">
        <v>15</v>
      </c>
      <c r="C29" s="685">
        <f>+'Exh D General Fund  '!C34+'Exh D Special Revenue'!C29+'Exh D Capital Projects'!C30</f>
        <v>113787</v>
      </c>
      <c r="D29" s="118"/>
      <c r="E29" s="685">
        <f>+'Exh D General Fund  '!E34+'Exh D Special Revenue'!E29+'Exh D Capital Projects'!E30</f>
        <v>114224</v>
      </c>
      <c r="F29" s="66"/>
      <c r="G29" s="277">
        <f>+'Exh D General Fund  '!G34+'Exh D Special Revenue'!G29+'Exh D Capital Projects'!G30</f>
        <v>114012</v>
      </c>
      <c r="H29" s="66"/>
      <c r="I29" s="66">
        <f>ROUND(SUM(G29)-SUM(C29),1)</f>
        <v>225</v>
      </c>
      <c r="J29" s="165"/>
      <c r="K29" s="66">
        <f>ROUND(SUM(G29)-SUM(E29),1)</f>
        <v>-212</v>
      </c>
      <c r="M29" s="1190"/>
    </row>
    <row r="30" spans="1:13">
      <c r="A30" s="830" t="s">
        <v>95</v>
      </c>
      <c r="B30" s="158" t="s">
        <v>15</v>
      </c>
      <c r="C30" s="119">
        <f>+'Exh D General Fund  '!C35+'Exh D Special Revenue'!C30+'Exh D Debt Service'!C29</f>
        <v>20065</v>
      </c>
      <c r="D30" s="118"/>
      <c r="E30" s="119">
        <f>+'Exh D General Fund  '!E35+'Exh D Special Revenue'!E30+'Exh D Debt Service'!E29</f>
        <v>19983</v>
      </c>
      <c r="F30" s="66"/>
      <c r="G30" s="77">
        <f>+'Exh D General Fund  '!G35+'Exh D Special Revenue'!G30+'Exh D Debt Service'!G29</f>
        <v>19903.3</v>
      </c>
      <c r="H30" s="66"/>
      <c r="I30" s="66">
        <f>ROUND(SUM(G30)-SUM(C30),1)</f>
        <v>-161.69999999999999</v>
      </c>
      <c r="J30" s="165"/>
      <c r="K30" s="66">
        <f t="shared" ref="K30:K33" si="2">ROUND(SUM(G30)-SUM(E30),1)</f>
        <v>-79.7</v>
      </c>
      <c r="M30" s="1190"/>
    </row>
    <row r="31" spans="1:13">
      <c r="A31" s="830" t="s">
        <v>70</v>
      </c>
      <c r="B31" s="158" t="s">
        <v>15</v>
      </c>
      <c r="C31" s="685">
        <f>+'Exh D General Fund  '!C36+'Exh D Special Revenue'!C31</f>
        <v>8341</v>
      </c>
      <c r="D31" s="118"/>
      <c r="E31" s="685">
        <f>+'Exh D General Fund  '!E36+'Exh D Special Revenue'!E31</f>
        <v>8262</v>
      </c>
      <c r="F31" s="66"/>
      <c r="G31" s="277">
        <f>+'Exh D General Fund  '!G36+'Exh D Special Revenue'!G31</f>
        <v>8189.4000000000005</v>
      </c>
      <c r="H31" s="66"/>
      <c r="I31" s="66">
        <f>ROUND(SUM(G31)-SUM(C31),1)</f>
        <v>-151.6</v>
      </c>
      <c r="J31" s="165"/>
      <c r="K31" s="66">
        <f t="shared" si="2"/>
        <v>-72.599999999999994</v>
      </c>
      <c r="M31" s="1190"/>
    </row>
    <row r="32" spans="1:13">
      <c r="A32" s="830" t="s">
        <v>96</v>
      </c>
      <c r="B32" s="158" t="s">
        <v>15</v>
      </c>
      <c r="C32" s="119">
        <f>+'Exh D Debt Service'!C30</f>
        <v>2317</v>
      </c>
      <c r="D32" s="118"/>
      <c r="E32" s="119">
        <f>+'Exh D Debt Service'!E30</f>
        <v>2276</v>
      </c>
      <c r="F32" s="66"/>
      <c r="G32" s="77">
        <f>+'Exh D Debt Service'!G30</f>
        <v>2276.6999999999998</v>
      </c>
      <c r="H32" s="66"/>
      <c r="I32" s="66">
        <f>ROUND(SUM(G32)-SUM(C32),1)</f>
        <v>-40.299999999999997</v>
      </c>
      <c r="J32" s="165"/>
      <c r="K32" s="66">
        <f t="shared" si="2"/>
        <v>0.7</v>
      </c>
      <c r="M32" s="1190"/>
    </row>
    <row r="33" spans="1:14" ht="15" customHeight="1">
      <c r="A33" s="830" t="s">
        <v>42</v>
      </c>
      <c r="B33" s="158" t="s">
        <v>15</v>
      </c>
      <c r="C33" s="685">
        <f>+'Exh D Special Revenue'!C32+'Exh D Capital Projects'!C31</f>
        <v>7906</v>
      </c>
      <c r="D33" s="118"/>
      <c r="E33" s="685">
        <f>+'Exh D Special Revenue'!E32+'Exh D Capital Projects'!E31</f>
        <v>6504</v>
      </c>
      <c r="F33" s="66"/>
      <c r="G33" s="277">
        <f>+'Exh D Special Revenue'!G32+'Exh D Capital Projects'!G31</f>
        <v>6453.2000000000007</v>
      </c>
      <c r="H33" s="66"/>
      <c r="I33" s="66">
        <f>ROUND(SUM(G33)-SUM(C33),1)</f>
        <v>-1452.8</v>
      </c>
      <c r="J33" s="165"/>
      <c r="K33" s="66">
        <f t="shared" si="2"/>
        <v>-50.8</v>
      </c>
      <c r="M33" s="1190"/>
    </row>
    <row r="34" spans="1:14" ht="15.75" customHeight="1">
      <c r="A34" s="173" t="s">
        <v>97</v>
      </c>
      <c r="B34" s="151" t="s">
        <v>15</v>
      </c>
      <c r="C34" s="1110">
        <f>ROUND(SUM(C29:C33),1)</f>
        <v>152416</v>
      </c>
      <c r="D34" s="112"/>
      <c r="E34" s="1110">
        <f>ROUND(SUM(E29:E33),1)</f>
        <v>151249</v>
      </c>
      <c r="F34" s="62"/>
      <c r="G34" s="296">
        <f>ROUND(SUM(G29:G33),1)</f>
        <v>150834.6</v>
      </c>
      <c r="H34" s="62"/>
      <c r="I34" s="296">
        <f>ROUND(SUM(I29:I33),1)</f>
        <v>-1581.4</v>
      </c>
      <c r="J34" s="166"/>
      <c r="K34" s="296">
        <f>ROUND(SUM(K29:K33),1)</f>
        <v>-414.4</v>
      </c>
      <c r="M34" s="1190"/>
    </row>
    <row r="35" spans="1:14">
      <c r="A35" s="31"/>
      <c r="B35" s="158"/>
      <c r="C35" s="118"/>
      <c r="D35" s="118"/>
      <c r="E35" s="118"/>
      <c r="F35" s="66"/>
      <c r="G35" s="66"/>
      <c r="H35" s="66"/>
      <c r="I35" s="66"/>
      <c r="J35" s="165"/>
      <c r="K35" s="56"/>
      <c r="M35" s="1190"/>
    </row>
    <row r="36" spans="1:14" ht="15.75">
      <c r="A36" s="173" t="s">
        <v>44</v>
      </c>
      <c r="B36" s="158"/>
      <c r="C36" s="118"/>
      <c r="D36" s="118"/>
      <c r="E36" s="118"/>
      <c r="F36" s="66"/>
      <c r="G36" s="66"/>
      <c r="H36" s="66"/>
      <c r="I36" s="66"/>
      <c r="J36" s="165"/>
      <c r="K36" s="56"/>
      <c r="M36" s="1190"/>
    </row>
    <row r="37" spans="1:14" ht="15.75">
      <c r="A37" s="173" t="s">
        <v>45</v>
      </c>
      <c r="B37" s="158" t="s">
        <v>15</v>
      </c>
      <c r="C37" s="113">
        <f>ROUND(SUM(+C26-C34),1)</f>
        <v>5321</v>
      </c>
      <c r="D37" s="118"/>
      <c r="E37" s="113">
        <f>ROUND(SUM(+E26-E34),1)</f>
        <v>9210</v>
      </c>
      <c r="F37" s="66"/>
      <c r="G37" s="74">
        <f>ROUND(SUM(+G26-G34),1)</f>
        <v>10643.6</v>
      </c>
      <c r="H37" s="66"/>
      <c r="I37" s="74">
        <f>ROUND(SUM(+I26-I34),1)</f>
        <v>5322.6</v>
      </c>
      <c r="J37" s="59"/>
      <c r="K37" s="839">
        <f>ROUND(SUM(+K26-K34),1)</f>
        <v>1433.6</v>
      </c>
      <c r="M37" s="1190"/>
    </row>
    <row r="38" spans="1:14">
      <c r="A38" s="31"/>
      <c r="B38" s="158"/>
      <c r="C38" s="118"/>
      <c r="D38" s="118"/>
      <c r="E38" s="118"/>
      <c r="F38" s="66"/>
      <c r="G38" s="66"/>
      <c r="H38" s="66"/>
      <c r="I38" s="66"/>
      <c r="J38" s="165"/>
      <c r="K38" s="56"/>
      <c r="M38" s="1190"/>
    </row>
    <row r="39" spans="1:14" ht="15.75">
      <c r="A39" s="173" t="s">
        <v>46</v>
      </c>
      <c r="B39" s="158"/>
      <c r="C39" s="118"/>
      <c r="D39" s="118"/>
      <c r="E39" s="118"/>
      <c r="F39" s="66"/>
      <c r="G39" s="66"/>
      <c r="H39" s="66"/>
      <c r="I39" s="66"/>
      <c r="J39" s="165"/>
      <c r="K39" s="56"/>
      <c r="M39" s="1190"/>
      <c r="N39" s="942" t="s">
        <v>15</v>
      </c>
    </row>
    <row r="40" spans="1:14">
      <c r="A40" s="830" t="s">
        <v>98</v>
      </c>
      <c r="B40" s="158" t="s">
        <v>15</v>
      </c>
      <c r="C40" s="1094">
        <f>'Exh D Captl Projects State Fed'!C25</f>
        <v>0</v>
      </c>
      <c r="D40" s="118"/>
      <c r="E40" s="1094">
        <f>'Exh D Captl Projects State Fed'!E25</f>
        <v>0</v>
      </c>
      <c r="F40" s="66"/>
      <c r="G40" s="278">
        <f>'Exh D Captl Projects State Fed'!G25</f>
        <v>0</v>
      </c>
      <c r="H40" s="66"/>
      <c r="I40" s="66">
        <f>ROUND(SUM(G40)-SUM(C40),1)</f>
        <v>0</v>
      </c>
      <c r="J40" s="171"/>
      <c r="K40" s="66">
        <f>ROUND(SUM(G40)-SUM(E40),1)</f>
        <v>0</v>
      </c>
      <c r="M40" s="1190"/>
    </row>
    <row r="41" spans="1:14">
      <c r="A41" s="830" t="s">
        <v>48</v>
      </c>
      <c r="B41" s="158" t="s">
        <v>15</v>
      </c>
      <c r="C41" s="119">
        <f>+'Exh D General Fund  '!C27+'Exh D General Fund  '!C28+'Exh D General Fund  '!C29+'Exh D General Fund  '!C30+'Exh D Special Revenue'!C25+'Exh D Debt Service'!C25+'Exh D Capital Projects'!C26</f>
        <v>37845</v>
      </c>
      <c r="D41" s="118"/>
      <c r="E41" s="119">
        <f>+'Exh D General Fund  '!E27+'Exh D General Fund  '!E28+'Exh D General Fund  '!E29+'Exh D General Fund  '!E30+'Exh D Special Revenue'!E25+'Exh D Debt Service'!E25+'Exh D Capital Projects'!E26</f>
        <v>42151</v>
      </c>
      <c r="F41" s="66"/>
      <c r="G41" s="77">
        <f>+'Exh D General Fund  '!G27+'Exh D General Fund  '!G28+'Exh D General Fund  '!G29+'Exh D General Fund  '!G30+'Exh D Special Revenue'!K25+'Exh D Debt Service'!G25+'Exh D Capital Projects'!K26</f>
        <v>39962.100000000006</v>
      </c>
      <c r="H41" s="66"/>
      <c r="I41" s="66">
        <f>ROUND(SUM(G41)-SUM(C41),1)</f>
        <v>2117.1</v>
      </c>
      <c r="J41" s="165"/>
      <c r="K41" s="66">
        <f t="shared" ref="K41:K42" si="3">ROUND(SUM(G41)-SUM(E41),1)</f>
        <v>-2188.9</v>
      </c>
      <c r="M41" s="1190"/>
    </row>
    <row r="42" spans="1:14">
      <c r="A42" s="830" t="s">
        <v>99</v>
      </c>
      <c r="B42" s="158" t="s">
        <v>15</v>
      </c>
      <c r="C42" s="2191">
        <f>-(+'Exh D General Fund  '!C38+'Exh D General Fund  '!C39+'Exh D General Fund  '!C40+'Exh D General Fund  '!C41+'Exh D General Fund  '!C42+'Exh D Special Revenue'!C33+'Exh D Debt Service'!C31+'Exh D Capital Projects'!C32)</f>
        <v>-37916</v>
      </c>
      <c r="D42" s="118"/>
      <c r="E42" s="2191">
        <f>-(+'Exh D General Fund  '!E38+'Exh D General Fund  '!E39+'Exh D General Fund  '!E40+'Exh D General Fund  '!E41+'Exh D General Fund  '!E42+'Exh D Special Revenue'!E33+'Exh D Debt Service'!E31+'Exh D Capital Projects'!E32)</f>
        <v>-42272</v>
      </c>
      <c r="F42" s="66"/>
      <c r="G42" s="282">
        <f>-(+'Exh D General Fund  '!G38+'Exh D General Fund  '!G39+'Exh D General Fund  '!G40+'Exh D General Fund  '!G41+'Exh D General Fund  '!G42+'Exh D Special Revenue'!K33+'Exh D Debt Service'!G31+'Exh D Capital Projects'!K32)</f>
        <v>-40087.600000000006</v>
      </c>
      <c r="H42" s="66"/>
      <c r="I42" s="539">
        <f>-ROUND(SUM(G42)-SUM(C42),1)</f>
        <v>2171.6</v>
      </c>
      <c r="J42" s="59"/>
      <c r="K42" s="66">
        <f t="shared" si="3"/>
        <v>2184.4</v>
      </c>
      <c r="M42" s="1190"/>
    </row>
    <row r="43" spans="1:14" ht="15.75">
      <c r="A43" s="173" t="s">
        <v>100</v>
      </c>
      <c r="B43" s="158" t="s">
        <v>15</v>
      </c>
      <c r="C43" s="120">
        <f>ROUND(+SUM(C40)+C41+C42,1)</f>
        <v>-71</v>
      </c>
      <c r="D43" s="118"/>
      <c r="E43" s="120">
        <f>ROUND(+SUM(E40)+E41+E42,1)</f>
        <v>-121</v>
      </c>
      <c r="F43" s="66"/>
      <c r="G43" s="284">
        <f>ROUND(+SUM(G40)+G41+G42,1)</f>
        <v>-125.5</v>
      </c>
      <c r="H43" s="66"/>
      <c r="I43" s="284">
        <f>ROUND(SUM(I40+I41-I42),1)</f>
        <v>-54.5</v>
      </c>
      <c r="J43" s="172"/>
      <c r="K43" s="1615">
        <f>ROUND(SUM(K40+K41+K42),1)</f>
        <v>-4.5</v>
      </c>
      <c r="M43" s="1190"/>
    </row>
    <row r="44" spans="1:14" ht="15.75">
      <c r="A44" s="173"/>
      <c r="B44" s="158"/>
      <c r="C44" s="119"/>
      <c r="D44" s="118"/>
      <c r="E44" s="119"/>
      <c r="F44" s="66"/>
      <c r="G44" s="77"/>
      <c r="H44" s="66"/>
      <c r="I44" s="77"/>
      <c r="J44" s="160"/>
      <c r="K44" s="78"/>
      <c r="M44" s="1190"/>
    </row>
    <row r="45" spans="1:14" ht="15.75">
      <c r="A45" s="29" t="s">
        <v>101</v>
      </c>
      <c r="B45" s="158"/>
      <c r="C45" s="118"/>
      <c r="D45" s="118"/>
      <c r="E45" s="118"/>
      <c r="F45" s="66"/>
      <c r="G45" s="66"/>
      <c r="H45" s="66"/>
      <c r="I45" s="66"/>
      <c r="J45" s="165"/>
      <c r="K45" s="56"/>
      <c r="M45" s="1190"/>
    </row>
    <row r="46" spans="1:14" ht="15" customHeight="1">
      <c r="A46" s="29" t="s">
        <v>102</v>
      </c>
      <c r="B46" s="158"/>
      <c r="C46" s="118"/>
      <c r="D46" s="118"/>
      <c r="E46" s="118"/>
      <c r="F46" s="66"/>
      <c r="G46" s="66"/>
      <c r="H46" s="66"/>
      <c r="I46" s="66"/>
      <c r="J46" s="165"/>
      <c r="K46" s="56"/>
      <c r="M46" s="1190"/>
    </row>
    <row r="47" spans="1:14" ht="15.75">
      <c r="A47" s="173" t="s">
        <v>103</v>
      </c>
      <c r="B47" s="174" t="s">
        <v>15</v>
      </c>
      <c r="C47" s="115">
        <f>ROUND(SUM(C26)-SUM(C34)+C43,1)</f>
        <v>5250</v>
      </c>
      <c r="D47" s="1119"/>
      <c r="E47" s="115">
        <f>ROUND(SUM(E26)-SUM(E34)+E43,1)</f>
        <v>9089</v>
      </c>
      <c r="F47" s="84"/>
      <c r="G47" s="76">
        <f>ROUND(SUM(G26)-SUM(G34)+G43,1)</f>
        <v>10518.1</v>
      </c>
      <c r="H47" s="84"/>
      <c r="I47" s="76">
        <f>ROUND(SUM(I26)-SUM(I34)+I43,1)</f>
        <v>5268.1</v>
      </c>
      <c r="J47" s="166"/>
      <c r="K47" s="76">
        <f>ROUND(SUM(K26)-SUM(K34)+K43,1)</f>
        <v>1429.1</v>
      </c>
      <c r="M47" s="1190"/>
    </row>
    <row r="48" spans="1:14">
      <c r="A48" s="34"/>
      <c r="B48" s="176"/>
      <c r="C48" s="1834"/>
      <c r="D48" s="2192"/>
      <c r="E48" s="1834"/>
      <c r="F48" s="689"/>
      <c r="G48" s="342"/>
      <c r="H48" s="689"/>
      <c r="I48" s="342"/>
      <c r="J48" s="178"/>
      <c r="K48" s="342"/>
      <c r="M48" s="1190"/>
    </row>
    <row r="49" spans="1:13" ht="15.75">
      <c r="A49" s="173" t="s">
        <v>104</v>
      </c>
      <c r="B49" s="179" t="s">
        <v>15</v>
      </c>
      <c r="C49" s="115">
        <f>'Exh D General Fund  '!C49+'Exh D Special Revenue'!C40+'Exh D Debt Service'!C38+'Exh D Capital Projects'!C39</f>
        <v>9975</v>
      </c>
      <c r="D49" s="2192"/>
      <c r="E49" s="115">
        <f>'Exh D General Fund  '!E49+'Exh D Special Revenue'!E40+'Exh D Debt Service'!E38+'Exh D Capital Projects'!E39</f>
        <v>9975</v>
      </c>
      <c r="F49" s="689"/>
      <c r="G49" s="76">
        <f>'Exh D General Fund  '!G49+'Exh D Special Revenue'!G40+'Exh D Debt Service'!G38+'Exh D Capital Projects'!G39</f>
        <v>9975</v>
      </c>
      <c r="H49" s="689"/>
      <c r="I49" s="76">
        <f>ROUND(SUM(G49-C49),1)</f>
        <v>0</v>
      </c>
      <c r="J49" s="166"/>
      <c r="K49" s="1567">
        <v>0</v>
      </c>
      <c r="M49" s="1190"/>
    </row>
    <row r="50" spans="1:13" ht="16.5" thickBot="1">
      <c r="A50" s="1616" t="s">
        <v>1596</v>
      </c>
      <c r="B50" s="180" t="s">
        <v>15</v>
      </c>
      <c r="C50" s="1517">
        <f>ROUND(SUM(C47:C49),1)</f>
        <v>15225</v>
      </c>
      <c r="D50" s="2104"/>
      <c r="E50" s="1517">
        <f>ROUND(SUM(E47:E49),1)</f>
        <v>19064</v>
      </c>
      <c r="F50" s="181"/>
      <c r="G50" s="98">
        <f>ROUND(SUM(G47:G49),1)</f>
        <v>20493.099999999999</v>
      </c>
      <c r="H50" s="181"/>
      <c r="I50" s="98">
        <f>ROUND(SUM(I47:I49),1)</f>
        <v>5268.1</v>
      </c>
      <c r="J50" s="182"/>
      <c r="K50" s="98">
        <f>ROUND(SUM(K47:K49),1)</f>
        <v>1429.1</v>
      </c>
      <c r="M50" s="1190"/>
    </row>
    <row r="51" spans="1:13" ht="15.75" thickTop="1">
      <c r="A51" s="34"/>
      <c r="B51" s="176"/>
      <c r="C51" s="2193"/>
      <c r="D51" s="2194"/>
      <c r="E51" s="2193"/>
      <c r="F51" s="177"/>
      <c r="G51" s="177"/>
      <c r="H51" s="177"/>
      <c r="I51" s="177"/>
      <c r="J51" s="177"/>
      <c r="K51" s="176"/>
      <c r="M51" s="1190"/>
    </row>
    <row r="52" spans="1:13">
      <c r="A52" s="947" t="s">
        <v>1413</v>
      </c>
      <c r="G52" s="1190"/>
      <c r="K52" s="1213"/>
      <c r="M52" s="1190"/>
    </row>
    <row r="53" spans="1:13">
      <c r="A53" s="947" t="s">
        <v>1603</v>
      </c>
      <c r="G53" s="1190"/>
    </row>
    <row r="54" spans="1:13">
      <c r="A54" s="184"/>
    </row>
    <row r="55" spans="1:13">
      <c r="A55" s="183"/>
      <c r="G55" s="1190"/>
    </row>
    <row r="56" spans="1:13">
      <c r="A56" s="183"/>
    </row>
  </sheetData>
  <mergeCells count="2">
    <mergeCell ref="A5:E5"/>
    <mergeCell ref="C11:I11"/>
  </mergeCells>
  <printOptions horizontalCentered="1"/>
  <pageMargins left="0.7" right="0.7" top="0.75" bottom="1" header="0.5" footer="0.25"/>
  <pageSetup scale="61"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4" style="101" customWidth="1"/>
    <col min="9" max="9" width="15.109375" style="101" customWidth="1"/>
    <col min="10" max="10" width="2.109375" style="101" customWidth="1"/>
    <col min="11" max="11" width="15.109375" style="101" customWidth="1"/>
    <col min="12" max="16384" width="8.88671875" style="101"/>
  </cols>
  <sheetData>
    <row r="1" spans="1:11">
      <c r="A1" s="934" t="s">
        <v>979</v>
      </c>
    </row>
    <row r="2" spans="1:11">
      <c r="A2" s="836"/>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c r="K4" s="833"/>
    </row>
    <row r="5" spans="1:11" ht="17.25" customHeight="1">
      <c r="A5" s="3918" t="str">
        <f>'Exh D-Governmental  '!A5:E5</f>
        <v>FISCAL YEAR 2019-2020</v>
      </c>
      <c r="B5" s="3919"/>
      <c r="C5" s="3919"/>
      <c r="D5" s="3919"/>
      <c r="E5" s="3919"/>
      <c r="F5" s="143"/>
      <c r="G5" s="146"/>
      <c r="H5" s="143"/>
      <c r="I5" s="833"/>
      <c r="J5" s="143"/>
    </row>
    <row r="6" spans="1:11" ht="17.25" customHeight="1">
      <c r="A6" s="1503" t="str">
        <f>'Exh D-Governmental  '!A6</f>
        <v>FOR ELEVEN MONTHS ENDED FEBRUARY 29, 2020</v>
      </c>
      <c r="B6" s="147"/>
      <c r="C6" s="148"/>
      <c r="D6" s="143"/>
      <c r="E6" s="148"/>
      <c r="F6" s="143"/>
      <c r="G6" s="143"/>
      <c r="H6" s="143"/>
      <c r="I6" s="143"/>
      <c r="J6" s="143"/>
      <c r="K6" s="143"/>
    </row>
    <row r="7" spans="1:11" ht="18">
      <c r="A7" s="191" t="s">
        <v>1417</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699"/>
      <c r="B11" s="151"/>
      <c r="C11" s="3917" t="s">
        <v>1451</v>
      </c>
      <c r="D11" s="3917"/>
      <c r="E11" s="3917"/>
      <c r="F11" s="3917"/>
      <c r="G11" s="3917"/>
      <c r="H11" s="3917"/>
      <c r="I11" s="3917"/>
      <c r="J11" s="1193"/>
      <c r="K11" s="1189"/>
    </row>
    <row r="12" spans="1:11" ht="15.75">
      <c r="A12" s="699"/>
      <c r="B12" s="151"/>
      <c r="C12" s="152"/>
      <c r="D12" s="152"/>
      <c r="E12" s="152"/>
      <c r="F12" s="152"/>
      <c r="G12" s="152"/>
      <c r="H12" s="152"/>
      <c r="I12" s="153" t="s">
        <v>85</v>
      </c>
      <c r="J12" s="153"/>
      <c r="K12" s="153" t="s">
        <v>85</v>
      </c>
    </row>
    <row r="13" spans="1:11" ht="15.75">
      <c r="A13" s="699"/>
      <c r="B13" s="151"/>
      <c r="C13" s="152"/>
      <c r="D13" s="152"/>
      <c r="E13" s="152"/>
      <c r="F13" s="152"/>
      <c r="G13" s="152"/>
      <c r="H13" s="152"/>
      <c r="I13" s="153" t="s">
        <v>885</v>
      </c>
      <c r="J13" s="153"/>
      <c r="K13" s="153" t="s">
        <v>885</v>
      </c>
    </row>
    <row r="14" spans="1:11" ht="15.75">
      <c r="A14" s="699"/>
      <c r="B14" s="151"/>
      <c r="C14" s="154" t="s">
        <v>1094</v>
      </c>
      <c r="D14" s="152"/>
      <c r="E14" s="153" t="s">
        <v>1095</v>
      </c>
      <c r="F14" s="152"/>
      <c r="G14" s="152"/>
      <c r="H14" s="152"/>
      <c r="I14" s="153" t="s">
        <v>86</v>
      </c>
      <c r="J14" s="153"/>
      <c r="K14" s="153" t="s">
        <v>86</v>
      </c>
    </row>
    <row r="15" spans="1:11" ht="15.75">
      <c r="A15" s="699"/>
      <c r="B15" s="151"/>
      <c r="C15" s="199" t="s">
        <v>1133</v>
      </c>
      <c r="D15" s="198"/>
      <c r="E15" s="199" t="s">
        <v>1133</v>
      </c>
      <c r="F15" s="152"/>
      <c r="G15" s="152"/>
      <c r="H15" s="152"/>
      <c r="I15" s="153" t="s">
        <v>1094</v>
      </c>
      <c r="J15" s="153"/>
      <c r="K15" s="153" t="s">
        <v>1095</v>
      </c>
    </row>
    <row r="16" spans="1:11" ht="15.75">
      <c r="A16" s="699"/>
      <c r="B16" s="151"/>
      <c r="C16" s="199" t="s">
        <v>1134</v>
      </c>
      <c r="D16" s="198"/>
      <c r="E16" s="199" t="s">
        <v>1447</v>
      </c>
      <c r="F16" s="152"/>
      <c r="G16" s="154" t="s">
        <v>85</v>
      </c>
      <c r="H16" s="152"/>
      <c r="I16" s="153" t="s">
        <v>87</v>
      </c>
      <c r="J16" s="153"/>
      <c r="K16" s="153" t="s">
        <v>87</v>
      </c>
    </row>
    <row r="17" spans="1:12">
      <c r="A17" s="155"/>
      <c r="B17" s="156"/>
      <c r="C17" s="1681"/>
      <c r="D17" s="148"/>
      <c r="E17" s="1681"/>
      <c r="F17" s="143"/>
      <c r="G17" s="157"/>
      <c r="H17" s="143"/>
      <c r="I17" s="157"/>
      <c r="J17" s="156"/>
      <c r="K17" s="157"/>
    </row>
    <row r="18" spans="1:12" ht="15.75">
      <c r="A18" s="29" t="s">
        <v>14</v>
      </c>
      <c r="B18" s="935"/>
      <c r="C18" s="1682"/>
      <c r="D18" s="1682"/>
      <c r="E18" s="1682"/>
      <c r="F18" s="666"/>
      <c r="G18" s="666"/>
      <c r="H18" s="666"/>
      <c r="I18" s="935"/>
      <c r="J18" s="666"/>
      <c r="K18" s="935"/>
    </row>
    <row r="19" spans="1:12" ht="15" customHeight="1">
      <c r="A19" s="830" t="s">
        <v>88</v>
      </c>
      <c r="B19" s="936" t="s">
        <v>15</v>
      </c>
      <c r="C19" s="2195"/>
      <c r="D19" s="1980"/>
      <c r="E19" s="2195"/>
      <c r="F19" s="936"/>
      <c r="G19" s="937"/>
      <c r="H19" s="936"/>
      <c r="I19" s="1212"/>
      <c r="J19" s="937"/>
      <c r="K19" s="1212"/>
    </row>
    <row r="20" spans="1:12">
      <c r="A20" s="830" t="s">
        <v>89</v>
      </c>
      <c r="B20" s="936" t="s">
        <v>15</v>
      </c>
      <c r="C20" s="905">
        <f>'Exh D General Fund  '!C20+'Exh D Special Revenue State Fed'!C20+'Exh D Debt Service'!C20</f>
        <v>48472</v>
      </c>
      <c r="D20" s="904"/>
      <c r="E20" s="905">
        <f>'Exh D General Fund  '!E20+'Exh D Special Revenue State Fed'!E20+'Exh D Debt Service'!E20</f>
        <v>49978</v>
      </c>
      <c r="F20" s="669"/>
      <c r="G20" s="667">
        <f>+'Exh A Supp'!T15</f>
        <v>49913.2</v>
      </c>
      <c r="H20" s="669"/>
      <c r="I20" s="982">
        <f t="shared" ref="I20:I25" si="0">ROUND(SUM(G20)-SUM(C20),1)</f>
        <v>1441.2</v>
      </c>
      <c r="J20" s="938"/>
      <c r="K20" s="982">
        <f>ROUND(SUM(G20)-SUM(E20),1)</f>
        <v>-64.8</v>
      </c>
    </row>
    <row r="21" spans="1:12">
      <c r="A21" s="830" t="s">
        <v>90</v>
      </c>
      <c r="B21" s="935" t="s">
        <v>15</v>
      </c>
      <c r="C21" s="906">
        <f>'Exh D General Fund  '!C21+'Exh D Special Revenue State Fed'!C21+'Exh D Debt Service'!C21</f>
        <v>16137</v>
      </c>
      <c r="D21" s="906"/>
      <c r="E21" s="906">
        <f>'Exh D General Fund  '!E21+'Exh D Special Revenue State Fed'!E21+'Exh D Debt Service'!E21</f>
        <v>15947</v>
      </c>
      <c r="F21" s="652"/>
      <c r="G21" s="652">
        <f>+'Exh A Supp'!T16</f>
        <v>15983.9</v>
      </c>
      <c r="H21" s="652"/>
      <c r="I21" s="954">
        <f t="shared" si="0"/>
        <v>-153.1</v>
      </c>
      <c r="J21" s="938"/>
      <c r="K21" s="954">
        <f>ROUND(SUM(G21)-SUM(E21),1)</f>
        <v>36.9</v>
      </c>
    </row>
    <row r="22" spans="1:12" ht="15" customHeight="1">
      <c r="A22" s="830" t="s">
        <v>91</v>
      </c>
      <c r="B22" s="936" t="s">
        <v>15</v>
      </c>
      <c r="C22" s="906">
        <f>'Exh D General Fund  '!C22+'Exh D Special Revenue State Fed'!C22</f>
        <v>5692</v>
      </c>
      <c r="D22" s="693"/>
      <c r="E22" s="906">
        <f>'Exh D General Fund  '!E22+'Exh D Special Revenue State Fed'!E22</f>
        <v>5997</v>
      </c>
      <c r="F22" s="690"/>
      <c r="G22" s="652">
        <f>+'Exh A Supp'!T17</f>
        <v>6016.3</v>
      </c>
      <c r="H22" s="690"/>
      <c r="I22" s="954">
        <f t="shared" si="0"/>
        <v>324.3</v>
      </c>
      <c r="J22" s="938"/>
      <c r="K22" s="954">
        <f t="shared" ref="K22:K25" si="1">ROUND(SUM(G22)-SUM(E22),1)</f>
        <v>19.3</v>
      </c>
    </row>
    <row r="23" spans="1:12" ht="14.25" customHeight="1">
      <c r="A23" s="830" t="s">
        <v>92</v>
      </c>
      <c r="B23" s="935" t="s">
        <v>15</v>
      </c>
      <c r="C23" s="906">
        <f>'Exh D General Fund  '!C23+'Exh D Debt Service'!C22</f>
        <v>1989</v>
      </c>
      <c r="D23" s="906"/>
      <c r="E23" s="906">
        <f>'Exh D General Fund  '!E23+'Exh D Debt Service'!E22</f>
        <v>1979</v>
      </c>
      <c r="F23" s="652"/>
      <c r="G23" s="652">
        <f>+'Exh A Supp'!T18</f>
        <v>1969.1</v>
      </c>
      <c r="H23" s="652"/>
      <c r="I23" s="954">
        <f t="shared" si="0"/>
        <v>-19.899999999999999</v>
      </c>
      <c r="J23" s="938"/>
      <c r="K23" s="954">
        <f t="shared" si="1"/>
        <v>-9.9</v>
      </c>
    </row>
    <row r="24" spans="1:12">
      <c r="A24" s="830" t="s">
        <v>20</v>
      </c>
      <c r="B24" s="935" t="s">
        <v>15</v>
      </c>
      <c r="C24" s="906">
        <f>'Exh D General Fund  '!C24+'Exh D Special Revenue State Fed'!C23+'Exh D Debt Service'!C23</f>
        <v>19621</v>
      </c>
      <c r="D24" s="906"/>
      <c r="E24" s="906">
        <f>'Exh D General Fund  '!E24+'Exh D Special Revenue State Fed'!E23+'Exh D Debt Service'!E23</f>
        <v>20518</v>
      </c>
      <c r="F24" s="652"/>
      <c r="G24" s="652">
        <f>+'Exh A Supp'!T19</f>
        <v>20875.5</v>
      </c>
      <c r="H24" s="652"/>
      <c r="I24" s="954">
        <f t="shared" si="0"/>
        <v>1254.5</v>
      </c>
      <c r="J24" s="825"/>
      <c r="K24" s="954">
        <f t="shared" si="1"/>
        <v>357.5</v>
      </c>
    </row>
    <row r="25" spans="1:12" ht="15" customHeight="1">
      <c r="A25" s="830" t="s">
        <v>21</v>
      </c>
      <c r="B25" s="935" t="s">
        <v>15</v>
      </c>
      <c r="C25" s="694">
        <f>'Exh D General Fund  '!C25+'Exh D Special Revenue State Fed'!C24+'Exh D Debt Service'!C24</f>
        <v>40</v>
      </c>
      <c r="D25" s="906"/>
      <c r="E25" s="694">
        <f>'Exh D General Fund  '!E25+'Exh D Special Revenue State Fed'!E24+'Exh D Debt Service'!E24</f>
        <v>31</v>
      </c>
      <c r="F25" s="652"/>
      <c r="G25" s="652">
        <f>+'Exh A Supp'!T20</f>
        <v>65.3</v>
      </c>
      <c r="H25" s="652"/>
      <c r="I25" s="954">
        <f t="shared" si="0"/>
        <v>25.3</v>
      </c>
      <c r="J25" s="825"/>
      <c r="K25" s="954">
        <f t="shared" si="1"/>
        <v>34.299999999999997</v>
      </c>
    </row>
    <row r="26" spans="1:12" ht="15.75">
      <c r="A26" s="173" t="s">
        <v>93</v>
      </c>
      <c r="B26" s="151" t="s">
        <v>15</v>
      </c>
      <c r="C26" s="1515">
        <f>ROUND(SUM(C20:C25),1)</f>
        <v>91951</v>
      </c>
      <c r="D26" s="112"/>
      <c r="E26" s="1515">
        <f>ROUND(SUM(E20:E25),1)</f>
        <v>94450</v>
      </c>
      <c r="F26" s="933"/>
      <c r="G26" s="215">
        <f>ROUND(SUM(G20:G25),1)</f>
        <v>94823.3</v>
      </c>
      <c r="H26" s="933"/>
      <c r="I26" s="215">
        <f>ROUND(SUM(I20:I25),1)</f>
        <v>2872.3</v>
      </c>
      <c r="J26" s="166"/>
      <c r="K26" s="215">
        <f>ROUND(SUM(K20:K25),1)</f>
        <v>373.3</v>
      </c>
      <c r="L26" s="359"/>
    </row>
    <row r="27" spans="1:12">
      <c r="A27" s="699"/>
      <c r="B27" s="935" t="s">
        <v>15</v>
      </c>
      <c r="C27" s="1053"/>
      <c r="D27" s="906"/>
      <c r="E27" s="1053"/>
      <c r="F27" s="652"/>
      <c r="G27" s="697"/>
      <c r="H27" s="652"/>
      <c r="I27" s="697"/>
      <c r="J27" s="677"/>
      <c r="K27" s="697"/>
    </row>
    <row r="28" spans="1:12" ht="15.75">
      <c r="A28" s="29" t="s">
        <v>23</v>
      </c>
      <c r="B28" s="935" t="s">
        <v>15</v>
      </c>
      <c r="C28" s="906"/>
      <c r="D28" s="906"/>
      <c r="E28" s="906"/>
      <c r="F28" s="652"/>
      <c r="G28" s="652"/>
      <c r="H28" s="652"/>
      <c r="I28" s="954"/>
      <c r="J28" s="825"/>
      <c r="K28" s="954"/>
    </row>
    <row r="29" spans="1:12">
      <c r="A29" s="830" t="s">
        <v>94</v>
      </c>
      <c r="B29" s="935" t="s">
        <v>15</v>
      </c>
      <c r="C29" s="694">
        <f>'Exh D General Fund  '!C34+'Exh D Special Revenue State Fed'!C29</f>
        <v>56748</v>
      </c>
      <c r="D29" s="906"/>
      <c r="E29" s="694">
        <f>'Exh D General Fund  '!E34+'Exh D Special Revenue State Fed'!E29</f>
        <v>57969</v>
      </c>
      <c r="F29" s="652"/>
      <c r="G29" s="695">
        <f>+'Exh A Supp'!T35</f>
        <v>57563.1</v>
      </c>
      <c r="H29" s="652"/>
      <c r="I29" s="954">
        <f>ROUND(SUM(G29)-SUM(C29),1)</f>
        <v>815.1</v>
      </c>
      <c r="J29" s="825"/>
      <c r="K29" s="954">
        <f>ROUND(SUM(G29)-SUM(E29),1)</f>
        <v>-405.9</v>
      </c>
      <c r="L29" s="359"/>
    </row>
    <row r="30" spans="1:12">
      <c r="A30" s="830" t="s">
        <v>95</v>
      </c>
      <c r="B30" s="935" t="s">
        <v>15</v>
      </c>
      <c r="C30" s="693">
        <f>'Exh D General Fund  '!C35+'Exh D Special Revenue State Fed'!C30+'Exh D Debt Service'!C29</f>
        <v>18171</v>
      </c>
      <c r="D30" s="906"/>
      <c r="E30" s="693">
        <f>'Exh D General Fund  '!E35+'Exh D Special Revenue State Fed'!E30+'Exh D Debt Service'!E29</f>
        <v>18113</v>
      </c>
      <c r="F30" s="652"/>
      <c r="G30" s="690">
        <f>+'Exh A Supp'!T37+'Exh A Supp'!T38</f>
        <v>18063.800000000003</v>
      </c>
      <c r="H30" s="652"/>
      <c r="I30" s="954">
        <f>ROUND(SUM(G30)-SUM(C30),1)</f>
        <v>-107.2</v>
      </c>
      <c r="J30" s="825"/>
      <c r="K30" s="954">
        <f t="shared" ref="K30:K33" si="2">ROUND(SUM(G30)-SUM(E30),1)</f>
        <v>-49.2</v>
      </c>
      <c r="L30" s="359"/>
    </row>
    <row r="31" spans="1:12">
      <c r="A31" s="830" t="s">
        <v>70</v>
      </c>
      <c r="B31" s="935" t="s">
        <v>15</v>
      </c>
      <c r="C31" s="694">
        <f>'Exh D General Fund  '!C36+'Exh D Special Revenue State Fed'!C31</f>
        <v>8040</v>
      </c>
      <c r="D31" s="906"/>
      <c r="E31" s="694">
        <f>'Exh D General Fund  '!E36+'Exh D Special Revenue State Fed'!E31</f>
        <v>7963</v>
      </c>
      <c r="F31" s="652"/>
      <c r="G31" s="695">
        <f>+'Exh A Supp'!T39</f>
        <v>7881.9</v>
      </c>
      <c r="H31" s="652"/>
      <c r="I31" s="954">
        <f>ROUND(SUM(G31)-SUM(C31),1)</f>
        <v>-158.1</v>
      </c>
      <c r="J31" s="825"/>
      <c r="K31" s="954">
        <f t="shared" si="2"/>
        <v>-81.099999999999994</v>
      </c>
      <c r="L31" s="359"/>
    </row>
    <row r="32" spans="1:12">
      <c r="A32" s="830" t="s">
        <v>96</v>
      </c>
      <c r="B32" s="935" t="s">
        <v>15</v>
      </c>
      <c r="C32" s="693">
        <f>'Exh D Debt Service'!C30</f>
        <v>2317</v>
      </c>
      <c r="D32" s="906"/>
      <c r="E32" s="693">
        <f>'Exh D Debt Service'!E30</f>
        <v>2276</v>
      </c>
      <c r="F32" s="652"/>
      <c r="G32" s="695">
        <f>+'Exh A Supp'!T41</f>
        <v>2276.6999999999998</v>
      </c>
      <c r="H32" s="652"/>
      <c r="I32" s="954">
        <f>ROUND(SUM(G32)-SUM(C32),1)</f>
        <v>-40.299999999999997</v>
      </c>
      <c r="J32" s="825"/>
      <c r="K32" s="954">
        <f t="shared" si="2"/>
        <v>0.7</v>
      </c>
      <c r="L32" s="359"/>
    </row>
    <row r="33" spans="1:12">
      <c r="A33" s="830" t="s">
        <v>42</v>
      </c>
      <c r="B33" s="935"/>
      <c r="C33" s="693">
        <f>'Exh D Special Revenue State Fed'!C32</f>
        <v>0</v>
      </c>
      <c r="D33" s="906"/>
      <c r="E33" s="693">
        <f>'Exh D Special Revenue State Fed'!E32</f>
        <v>0</v>
      </c>
      <c r="F33" s="1566"/>
      <c r="G33" s="695">
        <f>'Exh D Special Revenue State Fed'!G32</f>
        <v>0</v>
      </c>
      <c r="H33" s="1566"/>
      <c r="I33" s="954">
        <f>ROUND(SUM(G33)-SUM(C33),1)</f>
        <v>0</v>
      </c>
      <c r="J33" s="825"/>
      <c r="K33" s="954">
        <f t="shared" si="2"/>
        <v>0</v>
      </c>
      <c r="L33" s="359"/>
    </row>
    <row r="34" spans="1:12" ht="15.75" customHeight="1">
      <c r="A34" s="173" t="s">
        <v>97</v>
      </c>
      <c r="B34" s="151" t="s">
        <v>15</v>
      </c>
      <c r="C34" s="1110">
        <f>ROUND(SUM(C29:C33),1)</f>
        <v>85276</v>
      </c>
      <c r="D34" s="112"/>
      <c r="E34" s="1110">
        <f>ROUND(SUM(E29:E33),1)</f>
        <v>86321</v>
      </c>
      <c r="F34" s="933"/>
      <c r="G34" s="296">
        <f>ROUND(SUM(G29:G33),1)</f>
        <v>85785.5</v>
      </c>
      <c r="H34" s="933"/>
      <c r="I34" s="296">
        <f>ROUND(SUM(I29:I33),1)</f>
        <v>509.5</v>
      </c>
      <c r="J34" s="166"/>
      <c r="K34" s="296">
        <f>ROUND(SUM(K29:K33),1)</f>
        <v>-535.5</v>
      </c>
      <c r="L34" s="359"/>
    </row>
    <row r="35" spans="1:12">
      <c r="A35" s="699"/>
      <c r="B35" s="935"/>
      <c r="C35" s="906"/>
      <c r="D35" s="906"/>
      <c r="E35" s="906"/>
      <c r="F35" s="652"/>
      <c r="G35" s="652"/>
      <c r="H35" s="652"/>
      <c r="I35" s="954"/>
      <c r="J35" s="825"/>
      <c r="K35" s="954"/>
      <c r="L35" s="359"/>
    </row>
    <row r="36" spans="1:12" ht="15.75">
      <c r="A36" s="173" t="s">
        <v>44</v>
      </c>
      <c r="B36" s="935"/>
      <c r="C36" s="906"/>
      <c r="D36" s="906"/>
      <c r="E36" s="906"/>
      <c r="F36" s="652"/>
      <c r="G36" s="652"/>
      <c r="H36" s="652"/>
      <c r="I36" s="954"/>
      <c r="J36" s="825"/>
      <c r="K36" s="954"/>
      <c r="L36" s="359"/>
    </row>
    <row r="37" spans="1:12" ht="15.75">
      <c r="A37" s="173" t="s">
        <v>45</v>
      </c>
      <c r="B37" s="935" t="s">
        <v>15</v>
      </c>
      <c r="C37" s="1121">
        <f>ROUND(SUM(+C26-C34),1)</f>
        <v>6675</v>
      </c>
      <c r="D37" s="906"/>
      <c r="E37" s="1121">
        <f>ROUND(SUM(+E26-E34),1)</f>
        <v>8129</v>
      </c>
      <c r="F37" s="652"/>
      <c r="G37" s="839">
        <f>ROUND(SUM(+G26-G34),1)</f>
        <v>9037.7999999999993</v>
      </c>
      <c r="H37" s="652"/>
      <c r="I37" s="839">
        <f>ROUND(SUM(+I26-I34),1)</f>
        <v>2362.8000000000002</v>
      </c>
      <c r="J37" s="677"/>
      <c r="K37" s="839">
        <f>ROUND(SUM(+K26-K34),1)</f>
        <v>908.8</v>
      </c>
      <c r="L37" s="359"/>
    </row>
    <row r="38" spans="1:12">
      <c r="A38" s="699"/>
      <c r="B38" s="935"/>
      <c r="C38" s="906"/>
      <c r="D38" s="906"/>
      <c r="E38" s="906"/>
      <c r="F38" s="652"/>
      <c r="G38" s="652"/>
      <c r="H38" s="652"/>
      <c r="I38" s="954"/>
      <c r="J38" s="825"/>
      <c r="K38" s="954"/>
      <c r="L38" s="359"/>
    </row>
    <row r="39" spans="1:12" ht="15.75">
      <c r="A39" s="173" t="s">
        <v>46</v>
      </c>
      <c r="B39" s="935"/>
      <c r="C39" s="906"/>
      <c r="D39" s="906"/>
      <c r="E39" s="906"/>
      <c r="F39" s="652"/>
      <c r="G39" s="652"/>
      <c r="H39" s="652"/>
      <c r="I39" s="954"/>
      <c r="J39" s="825"/>
      <c r="K39" s="954"/>
      <c r="L39" s="359"/>
    </row>
    <row r="40" spans="1:12">
      <c r="A40" s="830" t="s">
        <v>48</v>
      </c>
      <c r="B40" s="935" t="s">
        <v>15</v>
      </c>
      <c r="C40" s="693">
        <f>'Exh D General Fund  '!C27+'Exh D General Fund  '!C28+'Exh D General Fund  '!C29+'Exh D General Fund  '!C30+'Exh D Special Revenue State Fed'!C25+'Exh D Debt Service'!C25</f>
        <v>34897</v>
      </c>
      <c r="D40" s="906"/>
      <c r="E40" s="693">
        <f>'Exh D General Fund  '!E27+'Exh D General Fund  '!E28+'Exh D General Fund  '!E29+'Exh D General Fund  '!E30+'Exh D Special Revenue State Fed'!E25+'Exh D Debt Service'!E25</f>
        <v>38099</v>
      </c>
      <c r="F40" s="652"/>
      <c r="G40" s="690">
        <f>+'Exh A Supp'!T49</f>
        <v>36382.800000000003</v>
      </c>
      <c r="H40" s="1387" t="s">
        <v>1450</v>
      </c>
      <c r="I40" s="954">
        <f>ROUND(SUM(G40)-SUM(C40),1)</f>
        <v>1485.8</v>
      </c>
      <c r="J40" s="825"/>
      <c r="K40" s="954">
        <f>ROUND(SUM(G40)-SUM(E40),1)</f>
        <v>-1716.2</v>
      </c>
      <c r="L40" s="359"/>
    </row>
    <row r="41" spans="1:12">
      <c r="A41" s="830" t="s">
        <v>99</v>
      </c>
      <c r="B41" s="935" t="s">
        <v>15</v>
      </c>
      <c r="C41" s="1514">
        <f>-('Exh D General Fund  '!C38+'Exh D General Fund  '!C39+'Exh D General Fund  '!C40+'Exh D General Fund  '!C41+'Exh D General Fund  '!C42+'Exh D Special Revenue State Fed'!C33+'Exh D Debt Service'!C31)</f>
        <v>-35581</v>
      </c>
      <c r="D41" s="906"/>
      <c r="E41" s="1514">
        <f>-('Exh D General Fund  '!E38+'Exh D General Fund  '!E39+'Exh D General Fund  '!E40+'Exh D General Fund  '!E41+'Exh D General Fund  '!E42+'Exh D Special Revenue State Fed'!E33+'Exh D Debt Service'!E31)</f>
        <v>-39624</v>
      </c>
      <c r="F41" s="652"/>
      <c r="G41" s="690">
        <f>+'Exh A Supp'!T50</f>
        <v>-37770.699999999997</v>
      </c>
      <c r="H41" s="1387" t="s">
        <v>1450</v>
      </c>
      <c r="I41" s="954">
        <f>-ROUND(SUM(G41)-SUM(C41),1)</f>
        <v>2189.6999999999998</v>
      </c>
      <c r="J41" s="677"/>
      <c r="K41" s="954">
        <f>-ROUND(SUM(G41)-SUM(E41),1)</f>
        <v>-1853.3</v>
      </c>
      <c r="L41" s="359"/>
    </row>
    <row r="42" spans="1:12" ht="15.75">
      <c r="A42" s="173" t="s">
        <v>100</v>
      </c>
      <c r="B42" s="935" t="s">
        <v>15</v>
      </c>
      <c r="C42" s="1110">
        <f>ROUND(SUM(C40:C41),1)</f>
        <v>-684</v>
      </c>
      <c r="D42" s="906"/>
      <c r="E42" s="1110">
        <f>ROUND(SUM(E40:E41),1)</f>
        <v>-1525</v>
      </c>
      <c r="F42" s="652"/>
      <c r="G42" s="296">
        <f>ROUND(SUM(G40:G41),1)</f>
        <v>-1387.9</v>
      </c>
      <c r="H42" s="652"/>
      <c r="I42" s="296">
        <f>ROUND(SUM(I40-I41),1)</f>
        <v>-703.9</v>
      </c>
      <c r="J42" s="941"/>
      <c r="K42" s="296">
        <f>ROUND(SUM(K40-K41),1)</f>
        <v>137.1</v>
      </c>
      <c r="L42" s="359"/>
    </row>
    <row r="43" spans="1:12" ht="15.75">
      <c r="A43" s="173"/>
      <c r="B43" s="935"/>
      <c r="C43" s="693"/>
      <c r="D43" s="906"/>
      <c r="E43" s="693"/>
      <c r="F43" s="652"/>
      <c r="G43" s="690"/>
      <c r="H43" s="652"/>
      <c r="I43" s="955"/>
      <c r="J43" s="936"/>
      <c r="K43" s="955"/>
      <c r="L43" s="359"/>
    </row>
    <row r="44" spans="1:12" ht="15.75">
      <c r="A44" s="29" t="s">
        <v>101</v>
      </c>
      <c r="B44" s="935"/>
      <c r="C44" s="906"/>
      <c r="D44" s="906"/>
      <c r="E44" s="906"/>
      <c r="F44" s="652"/>
      <c r="G44" s="652"/>
      <c r="H44" s="652"/>
      <c r="I44" s="954"/>
      <c r="J44" s="825"/>
      <c r="K44" s="954"/>
      <c r="L44" s="359"/>
    </row>
    <row r="45" spans="1:12" ht="15" customHeight="1">
      <c r="A45" s="29" t="s">
        <v>102</v>
      </c>
      <c r="B45" s="935"/>
      <c r="C45" s="906"/>
      <c r="D45" s="906"/>
      <c r="E45" s="906"/>
      <c r="F45" s="652"/>
      <c r="G45" s="652"/>
      <c r="H45" s="652"/>
      <c r="I45" s="954"/>
      <c r="J45" s="825"/>
      <c r="K45" s="954"/>
      <c r="L45" s="359"/>
    </row>
    <row r="46" spans="1:12" ht="15.75">
      <c r="A46" s="173" t="s">
        <v>103</v>
      </c>
      <c r="B46" s="174" t="s">
        <v>15</v>
      </c>
      <c r="C46" s="115">
        <f>ROUND(SUM(C26)-SUM(C34)+C42,1)</f>
        <v>5991</v>
      </c>
      <c r="D46" s="1119"/>
      <c r="E46" s="115">
        <f>ROUND(SUM(E26)-SUM(E34)+E42,1)</f>
        <v>6604</v>
      </c>
      <c r="F46" s="84"/>
      <c r="G46" s="76">
        <f>ROUND(SUM(G26)-SUM(G34)+G42,1)</f>
        <v>7649.9</v>
      </c>
      <c r="H46" s="84"/>
      <c r="I46" s="76">
        <f>ROUND(SUM(I26)-SUM(I34)+I42,1)</f>
        <v>1658.9</v>
      </c>
      <c r="J46" s="166"/>
      <c r="K46" s="76">
        <f>ROUND(SUM(K26)-SUM(K34)+K42,1)</f>
        <v>1045.9000000000001</v>
      </c>
      <c r="L46" s="359"/>
    </row>
    <row r="47" spans="1:12">
      <c r="A47" s="942"/>
      <c r="B47" s="631"/>
      <c r="C47" s="1516"/>
      <c r="D47" s="1691"/>
      <c r="E47" s="1516"/>
      <c r="F47" s="943"/>
      <c r="G47" s="679"/>
      <c r="H47" s="943"/>
      <c r="I47" s="679"/>
      <c r="J47" s="944"/>
      <c r="K47" s="679"/>
      <c r="L47" s="359"/>
    </row>
    <row r="48" spans="1:12" ht="15.75">
      <c r="A48" s="173" t="str">
        <f>'Exh D-Governmental  '!A49</f>
        <v>Fund Balances (Deficits) at April 1</v>
      </c>
      <c r="B48" s="945" t="s">
        <v>15</v>
      </c>
      <c r="C48" s="115">
        <f>'Exh D General Fund  '!C49+'Exh D Special Revenue State Fed'!C40+'Exh D Debt Service'!C38</f>
        <v>12362</v>
      </c>
      <c r="D48" s="1691"/>
      <c r="E48" s="115">
        <f>'Exh D General Fund  '!E49+'Exh D Special Revenue State Fed'!E40+'Exh D Debt Service'!E38</f>
        <v>12362</v>
      </c>
      <c r="F48" s="943"/>
      <c r="G48" s="76">
        <f>'Exh A Supp'!T57</f>
        <v>12361.3</v>
      </c>
      <c r="H48" s="943"/>
      <c r="I48" s="839">
        <f>ROUND(SUM(G48)-SUM(C48),1)</f>
        <v>-0.7</v>
      </c>
      <c r="J48" s="166"/>
      <c r="K48" s="1567">
        <f>ROUND(SUM(G48)-SUM(E48),1)</f>
        <v>-0.7</v>
      </c>
      <c r="L48" s="359"/>
    </row>
    <row r="49" spans="1:12" ht="16.5" thickBot="1">
      <c r="A49" s="173" t="str">
        <f>'Exh D-Governmental  '!A50</f>
        <v>Fund Balances (Deficits) at February 29, 2020</v>
      </c>
      <c r="B49" s="180" t="s">
        <v>15</v>
      </c>
      <c r="C49" s="1517">
        <f>ROUND(SUM(C46:C48),1)</f>
        <v>18353</v>
      </c>
      <c r="D49" s="2104"/>
      <c r="E49" s="1517">
        <f>ROUND(SUM(E46:E48),1)</f>
        <v>18966</v>
      </c>
      <c r="F49" s="181"/>
      <c r="G49" s="98">
        <f>ROUND(SUM(G46:G48),1)</f>
        <v>20011.2</v>
      </c>
      <c r="H49" s="986"/>
      <c r="I49" s="98">
        <f>ROUND(SUM(I46:I48),1)</f>
        <v>1658.2</v>
      </c>
      <c r="J49" s="182"/>
      <c r="K49" s="98">
        <f>ROUND(SUM(K46:K48),1)</f>
        <v>1045.2</v>
      </c>
      <c r="L49" s="359"/>
    </row>
    <row r="50" spans="1:12" ht="15.75" thickTop="1">
      <c r="A50" s="942"/>
      <c r="B50" s="631"/>
      <c r="C50" s="1985"/>
      <c r="D50" s="962"/>
      <c r="E50" s="1985"/>
      <c r="F50" s="946"/>
      <c r="G50" s="946"/>
      <c r="H50" s="946"/>
      <c r="I50" s="946"/>
      <c r="J50" s="946"/>
      <c r="K50" s="946"/>
    </row>
    <row r="51" spans="1:12">
      <c r="A51" s="947" t="str">
        <f>'Exh D-Governmental  '!A52</f>
        <v>(*)    Source: 2019-20 Enacted Financial Plan dated May 13, 2019.</v>
      </c>
      <c r="G51" s="1190"/>
      <c r="I51" s="1190"/>
      <c r="K51" s="1190"/>
    </row>
    <row r="52" spans="1:12">
      <c r="A52" s="947" t="str">
        <f>'Exh D-Governmental  '!A53</f>
        <v>(**)   Source: 2020-21 Executive Budget with 30-day amendments dated February 24, 2020.</v>
      </c>
      <c r="G52" s="1190"/>
      <c r="I52" s="1190"/>
      <c r="K52" s="1190"/>
    </row>
    <row r="53" spans="1:12">
      <c r="A53" s="621" t="s">
        <v>1449</v>
      </c>
      <c r="I53" s="1190"/>
      <c r="K53" s="1190"/>
    </row>
    <row r="54" spans="1:12">
      <c r="A54" s="621" t="s">
        <v>1215</v>
      </c>
    </row>
    <row r="55" spans="1:12">
      <c r="A55" s="1522" t="s">
        <v>1448</v>
      </c>
      <c r="G55" s="1190"/>
    </row>
  </sheetData>
  <mergeCells count="2">
    <mergeCell ref="A5:E5"/>
    <mergeCell ref="C11:I11"/>
  </mergeCells>
  <printOptions horizontalCentered="1"/>
  <pageMargins left="0.7" right="0.7" top="0.75" bottom="1" header="0.3" footer="0.3"/>
  <pageSetup scale="59"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88671875" defaultRowHeight="15"/>
  <cols>
    <col min="1" max="1" width="59" style="942" customWidth="1"/>
    <col min="2" max="2" width="2" style="631" customWidth="1"/>
    <col min="3" max="3" width="15.109375" style="432" customWidth="1"/>
    <col min="4" max="4" width="1.88671875" style="946" customWidth="1"/>
    <col min="5" max="5" width="15.109375" style="432" customWidth="1"/>
    <col min="6" max="6" width="2.88671875" style="946" customWidth="1"/>
    <col min="7" max="7" width="15.109375" style="946" customWidth="1"/>
    <col min="8" max="8" width="4.109375" style="946" customWidth="1"/>
    <col min="9" max="9" width="15.109375" style="946" customWidth="1"/>
    <col min="10" max="10" width="2.109375" style="946" customWidth="1"/>
    <col min="11" max="11" width="12.88671875" style="631" customWidth="1"/>
    <col min="12" max="12" width="18.109375" style="432" bestFit="1" customWidth="1"/>
    <col min="13" max="13" width="2.88671875" style="946" customWidth="1"/>
    <col min="14" max="14" width="14.109375" style="946" customWidth="1"/>
    <col min="15" max="15" width="2.88671875" style="946" customWidth="1"/>
    <col min="16" max="16" width="15.88671875" style="946" bestFit="1" customWidth="1"/>
    <col min="17" max="17" width="2" style="631" customWidth="1"/>
    <col min="18" max="18" width="11.88671875" style="631" customWidth="1"/>
    <col min="19" max="19" width="11.44140625" style="631" customWidth="1"/>
    <col min="20" max="20" width="1.88671875" style="631" customWidth="1"/>
    <col min="21" max="21" width="11.88671875" style="631" customWidth="1"/>
    <col min="22" max="22" width="2.109375" style="631" customWidth="1"/>
    <col min="23" max="23" width="11.44140625" style="631" customWidth="1"/>
    <col min="24" max="24" width="0.5546875" style="631" customWidth="1"/>
    <col min="25" max="25" width="2.109375" style="631" customWidth="1"/>
    <col min="26" max="26" width="10.5546875" style="631" customWidth="1"/>
    <col min="27" max="27" width="11.109375" style="631" customWidth="1"/>
    <col min="28" max="28" width="2.109375" style="631" customWidth="1"/>
    <col min="29" max="29" width="11.109375" style="631" customWidth="1"/>
    <col min="30" max="30" width="2.109375" style="631" customWidth="1"/>
    <col min="31" max="31" width="12.44140625" style="631" customWidth="1"/>
    <col min="32" max="36" width="8.88671875" style="631"/>
    <col min="37" max="37" width="8.88671875" style="946"/>
    <col min="38" max="16384" width="8.88671875" style="942"/>
  </cols>
  <sheetData>
    <row r="1" spans="1:31">
      <c r="A1" s="948" t="s">
        <v>979</v>
      </c>
      <c r="B1" s="186"/>
      <c r="C1" s="426"/>
      <c r="D1" s="187"/>
      <c r="E1" s="426"/>
      <c r="F1" s="187"/>
      <c r="G1" s="187"/>
      <c r="H1" s="187"/>
      <c r="I1" s="187"/>
      <c r="J1" s="187"/>
      <c r="K1" s="186"/>
      <c r="L1" s="426"/>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7"/>
      <c r="D2" s="187"/>
      <c r="E2" s="427"/>
      <c r="F2" s="187"/>
      <c r="G2" s="187"/>
      <c r="H2" s="187"/>
      <c r="I2" s="187"/>
      <c r="J2" s="187"/>
      <c r="K2" s="186"/>
      <c r="L2" s="426"/>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8"/>
      <c r="D3" s="143"/>
      <c r="E3" s="428"/>
      <c r="F3" s="143"/>
      <c r="G3" s="143"/>
      <c r="H3" s="143"/>
      <c r="I3" s="832"/>
      <c r="K3" s="832" t="s">
        <v>84</v>
      </c>
      <c r="L3" s="429"/>
      <c r="M3" s="143"/>
      <c r="N3" s="143"/>
      <c r="O3" s="143"/>
      <c r="Q3" s="143"/>
      <c r="R3" s="156"/>
      <c r="S3" s="156"/>
      <c r="T3" s="156"/>
      <c r="U3" s="156"/>
      <c r="V3" s="156"/>
      <c r="W3" s="156"/>
      <c r="X3" s="156"/>
      <c r="Y3" s="156"/>
      <c r="Z3" s="156"/>
      <c r="AA3" s="156"/>
      <c r="AB3" s="156"/>
      <c r="AC3" s="156"/>
      <c r="AD3" s="156"/>
      <c r="AE3" s="192"/>
    </row>
    <row r="4" spans="1:31" ht="17.25" customHeight="1">
      <c r="A4" s="191" t="s">
        <v>83</v>
      </c>
      <c r="B4" s="148"/>
      <c r="C4" s="428"/>
      <c r="D4" s="143"/>
      <c r="E4" s="428"/>
      <c r="F4" s="143"/>
      <c r="G4" s="143"/>
      <c r="H4" s="143"/>
      <c r="I4" s="833"/>
      <c r="K4" s="833"/>
      <c r="L4" s="429"/>
      <c r="M4" s="143"/>
      <c r="N4" s="143"/>
      <c r="O4" s="143"/>
      <c r="Q4" s="143"/>
      <c r="R4" s="156"/>
      <c r="S4" s="156"/>
      <c r="T4" s="156"/>
      <c r="U4" s="156"/>
      <c r="V4" s="156"/>
      <c r="W4" s="156"/>
      <c r="X4" s="156"/>
      <c r="Y4" s="156"/>
      <c r="Z4" s="156"/>
      <c r="AA4" s="156"/>
      <c r="AB4" s="156"/>
      <c r="AC4" s="156"/>
      <c r="AD4" s="156"/>
      <c r="AE4" s="156"/>
    </row>
    <row r="5" spans="1:31" ht="17.25" customHeight="1">
      <c r="A5" s="3918" t="str">
        <f>'Exh D-Governmental  '!A5:E5</f>
        <v>FISCAL YEAR 2019-2020</v>
      </c>
      <c r="B5" s="3919"/>
      <c r="C5" s="3919"/>
      <c r="D5" s="3919"/>
      <c r="E5" s="3919"/>
      <c r="F5" s="143"/>
      <c r="G5" s="825"/>
      <c r="H5" s="143"/>
      <c r="I5" s="143"/>
      <c r="J5" s="143"/>
      <c r="K5" s="156"/>
      <c r="L5" s="429"/>
      <c r="M5" s="143"/>
      <c r="N5" s="143"/>
      <c r="O5" s="143"/>
      <c r="Q5" s="143"/>
      <c r="R5" s="156"/>
      <c r="S5" s="156"/>
      <c r="T5" s="156"/>
      <c r="U5" s="156"/>
      <c r="V5" s="156"/>
      <c r="W5" s="156"/>
      <c r="X5" s="156"/>
      <c r="Y5" s="156"/>
      <c r="Z5" s="156"/>
      <c r="AA5" s="156"/>
      <c r="AB5" s="156"/>
      <c r="AC5" s="156"/>
      <c r="AD5" s="156"/>
      <c r="AE5" s="156"/>
    </row>
    <row r="6" spans="1:31" ht="17.25" customHeight="1">
      <c r="A6" s="1503" t="str">
        <f>'Exh D-Governmental  '!A6</f>
        <v>FOR ELEVEN MONTHS ENDED FEBRUARY 29, 2020</v>
      </c>
      <c r="B6" s="3897"/>
      <c r="C6" s="3898"/>
      <c r="D6" s="3899"/>
      <c r="E6" s="3898"/>
      <c r="F6" s="143"/>
      <c r="G6" s="143"/>
      <c r="H6" s="143"/>
      <c r="I6" s="143"/>
      <c r="J6" s="143"/>
      <c r="K6" s="156"/>
      <c r="L6" s="429"/>
      <c r="M6" s="143"/>
      <c r="N6" s="143"/>
      <c r="O6" s="143"/>
      <c r="P6" s="143"/>
      <c r="Q6" s="143"/>
      <c r="R6" s="156"/>
      <c r="S6" s="156"/>
      <c r="T6" s="156"/>
      <c r="U6" s="156"/>
      <c r="V6" s="156"/>
      <c r="W6" s="156"/>
      <c r="X6" s="156"/>
      <c r="Y6" s="156"/>
      <c r="Z6" s="156"/>
      <c r="AA6" s="156"/>
      <c r="AB6" s="156"/>
      <c r="AC6" s="156"/>
      <c r="AD6" s="156"/>
      <c r="AE6" s="156"/>
    </row>
    <row r="7" spans="1:31" ht="18">
      <c r="A7" s="191" t="s">
        <v>1417</v>
      </c>
      <c r="B7" s="148"/>
      <c r="C7" s="428"/>
      <c r="D7" s="143"/>
      <c r="E7" s="428"/>
      <c r="F7" s="143"/>
      <c r="G7" s="143"/>
      <c r="H7" s="143"/>
      <c r="I7" s="143"/>
      <c r="J7" s="143"/>
      <c r="K7" s="156"/>
      <c r="L7" s="429"/>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8"/>
      <c r="D8" s="143"/>
      <c r="E8" s="428"/>
      <c r="F8" s="143"/>
      <c r="G8" s="143"/>
      <c r="H8" s="143"/>
      <c r="I8" s="143"/>
      <c r="J8" s="143"/>
      <c r="K8" s="156"/>
      <c r="L8" s="429"/>
      <c r="M8" s="143"/>
      <c r="N8" s="143"/>
      <c r="O8" s="143"/>
      <c r="P8" s="143"/>
      <c r="Q8" s="143"/>
      <c r="R8" s="156"/>
      <c r="S8" s="156"/>
      <c r="T8" s="156"/>
      <c r="U8" s="156"/>
      <c r="V8" s="156"/>
      <c r="W8" s="156"/>
      <c r="X8" s="156"/>
      <c r="Y8" s="156"/>
      <c r="Z8" s="156"/>
      <c r="AA8" s="156"/>
      <c r="AB8" s="156"/>
      <c r="AC8" s="156"/>
      <c r="AD8" s="156"/>
      <c r="AE8" s="156"/>
    </row>
    <row r="9" spans="1:31">
      <c r="A9" s="150"/>
      <c r="B9" s="156"/>
      <c r="C9" s="429"/>
      <c r="D9" s="143"/>
      <c r="E9" s="429"/>
      <c r="F9" s="143"/>
      <c r="G9" s="143"/>
      <c r="H9" s="143"/>
      <c r="I9" s="143"/>
      <c r="J9" s="143"/>
      <c r="K9" s="156"/>
      <c r="L9" s="429"/>
      <c r="M9" s="143"/>
      <c r="N9" s="143"/>
      <c r="O9" s="143"/>
      <c r="P9" s="143"/>
      <c r="Q9" s="143"/>
      <c r="R9" s="156"/>
      <c r="S9" s="156"/>
      <c r="T9" s="156"/>
      <c r="U9" s="156"/>
      <c r="V9" s="156"/>
      <c r="W9" s="156"/>
      <c r="X9" s="156"/>
      <c r="Y9" s="156"/>
      <c r="Z9" s="156"/>
      <c r="AA9" s="156"/>
      <c r="AB9" s="156"/>
      <c r="AC9" s="156"/>
      <c r="AD9" s="156"/>
      <c r="AE9" s="156"/>
    </row>
    <row r="10" spans="1:31">
      <c r="A10" s="150"/>
      <c r="B10" s="156"/>
      <c r="C10" s="429"/>
      <c r="D10" s="143"/>
      <c r="E10" s="429"/>
      <c r="F10" s="143"/>
      <c r="G10" s="143"/>
      <c r="H10" s="143"/>
      <c r="I10" s="143"/>
      <c r="J10" s="143"/>
      <c r="K10" s="156"/>
      <c r="L10" s="975"/>
      <c r="M10" s="147"/>
      <c r="N10" s="147"/>
      <c r="O10" s="147"/>
      <c r="P10" s="147"/>
      <c r="Q10" s="143"/>
      <c r="R10" s="156"/>
      <c r="S10" s="156"/>
      <c r="T10" s="156"/>
      <c r="U10" s="156"/>
      <c r="V10" s="156"/>
      <c r="W10" s="156"/>
      <c r="X10" s="156"/>
      <c r="Y10" s="156"/>
      <c r="Z10" s="156"/>
      <c r="AA10" s="156"/>
      <c r="AB10" s="156"/>
      <c r="AC10" s="156"/>
      <c r="AD10" s="156"/>
      <c r="AE10" s="156"/>
    </row>
    <row r="11" spans="1:31" ht="15.75">
      <c r="A11" s="699"/>
      <c r="C11" s="3920" t="s">
        <v>1148</v>
      </c>
      <c r="D11" s="3920"/>
      <c r="E11" s="3920"/>
      <c r="F11" s="3920"/>
      <c r="G11" s="3920"/>
      <c r="H11" s="3920"/>
      <c r="I11" s="3920"/>
      <c r="J11" s="1191"/>
      <c r="K11" s="1192"/>
      <c r="L11" s="433"/>
      <c r="M11" s="196"/>
      <c r="N11" s="196"/>
      <c r="O11" s="196"/>
      <c r="P11" s="196"/>
      <c r="Q11" s="151"/>
      <c r="R11" s="194"/>
      <c r="S11" s="194"/>
      <c r="T11" s="194"/>
      <c r="U11" s="194"/>
      <c r="V11" s="194"/>
      <c r="W11" s="194"/>
      <c r="X11" s="194"/>
      <c r="Y11" s="151"/>
      <c r="Z11" s="194"/>
      <c r="AA11" s="195"/>
      <c r="AB11" s="194"/>
      <c r="AC11" s="194"/>
      <c r="AD11" s="194"/>
      <c r="AE11" s="194"/>
    </row>
    <row r="12" spans="1:31" ht="15.75">
      <c r="A12" s="699"/>
      <c r="C12" s="430"/>
      <c r="D12" s="196"/>
      <c r="E12" s="430"/>
      <c r="F12" s="196"/>
      <c r="G12" s="197"/>
      <c r="H12" s="196"/>
      <c r="I12" s="196" t="s">
        <v>85</v>
      </c>
      <c r="J12" s="194"/>
      <c r="K12" s="196" t="s">
        <v>85</v>
      </c>
      <c r="L12" s="433"/>
      <c r="M12" s="196"/>
      <c r="N12" s="197"/>
      <c r="O12" s="196"/>
      <c r="P12" s="196"/>
      <c r="Q12" s="151"/>
      <c r="R12" s="194"/>
      <c r="S12" s="194"/>
      <c r="T12" s="194"/>
      <c r="U12" s="194"/>
      <c r="V12" s="194"/>
      <c r="W12" s="194"/>
      <c r="X12" s="194"/>
      <c r="Y12" s="151"/>
      <c r="Z12" s="194"/>
      <c r="AA12" s="195"/>
      <c r="AB12" s="194"/>
      <c r="AC12" s="194"/>
      <c r="AD12" s="194"/>
      <c r="AE12" s="194"/>
    </row>
    <row r="13" spans="1:31" ht="15.75">
      <c r="A13" s="699"/>
      <c r="B13" s="151"/>
      <c r="C13" s="431"/>
      <c r="D13" s="198"/>
      <c r="E13" s="431"/>
      <c r="F13" s="198"/>
      <c r="G13" s="198"/>
      <c r="H13" s="198"/>
      <c r="I13" s="199" t="s">
        <v>885</v>
      </c>
      <c r="J13" s="201"/>
      <c r="K13" s="199" t="s">
        <v>885</v>
      </c>
      <c r="L13" s="976"/>
      <c r="M13" s="977"/>
      <c r="N13" s="977"/>
      <c r="O13" s="977"/>
      <c r="P13" s="978"/>
      <c r="Q13" s="151"/>
      <c r="R13" s="151"/>
      <c r="S13" s="151"/>
      <c r="T13" s="151"/>
      <c r="U13" s="151"/>
      <c r="V13" s="151"/>
      <c r="W13" s="200"/>
      <c r="X13" s="201"/>
      <c r="Y13" s="151"/>
      <c r="Z13" s="151"/>
      <c r="AA13" s="151"/>
      <c r="AB13" s="151"/>
      <c r="AC13" s="151"/>
      <c r="AD13" s="151"/>
      <c r="AE13" s="200"/>
    </row>
    <row r="14" spans="1:31" ht="15.75">
      <c r="A14" s="699"/>
      <c r="B14" s="202"/>
      <c r="C14" s="154" t="s">
        <v>1094</v>
      </c>
      <c r="D14" s="942"/>
      <c r="E14" s="153" t="s">
        <v>1095</v>
      </c>
      <c r="F14" s="152"/>
      <c r="G14" s="152"/>
      <c r="H14" s="152"/>
      <c r="I14" s="153" t="s">
        <v>86</v>
      </c>
      <c r="J14" s="201"/>
      <c r="K14" s="153" t="s">
        <v>86</v>
      </c>
      <c r="L14" s="979"/>
      <c r="M14" s="151"/>
      <c r="N14" s="151"/>
      <c r="O14" s="151"/>
      <c r="P14" s="201"/>
      <c r="Q14" s="151"/>
      <c r="R14" s="200"/>
      <c r="S14" s="201"/>
      <c r="T14" s="151"/>
      <c r="U14" s="151"/>
      <c r="V14" s="151"/>
      <c r="W14" s="200"/>
      <c r="X14" s="201"/>
      <c r="Y14" s="151"/>
      <c r="Z14" s="200"/>
      <c r="AA14" s="201"/>
      <c r="AB14" s="151"/>
      <c r="AC14" s="151"/>
      <c r="AD14" s="151"/>
      <c r="AE14" s="200"/>
    </row>
    <row r="15" spans="1:31" ht="15.75">
      <c r="A15" s="699"/>
      <c r="B15" s="202"/>
      <c r="C15" s="153" t="s">
        <v>1133</v>
      </c>
      <c r="D15" s="152"/>
      <c r="E15" s="153" t="s">
        <v>1133</v>
      </c>
      <c r="F15" s="152"/>
      <c r="G15" s="152"/>
      <c r="H15" s="152"/>
      <c r="I15" s="153" t="s">
        <v>1094</v>
      </c>
      <c r="J15" s="201"/>
      <c r="K15" s="153" t="s">
        <v>1095</v>
      </c>
      <c r="L15" s="979"/>
      <c r="M15" s="151"/>
      <c r="N15" s="151"/>
      <c r="O15" s="151"/>
      <c r="P15" s="201"/>
      <c r="Q15" s="151"/>
      <c r="R15" s="200"/>
      <c r="S15" s="201"/>
      <c r="T15" s="151"/>
      <c r="U15" s="151"/>
      <c r="V15" s="151"/>
      <c r="W15" s="200"/>
      <c r="X15" s="201"/>
      <c r="Y15" s="151"/>
      <c r="Z15" s="200"/>
      <c r="AA15" s="201"/>
      <c r="AB15" s="151"/>
      <c r="AC15" s="151"/>
      <c r="AD15" s="151"/>
      <c r="AE15" s="200"/>
    </row>
    <row r="16" spans="1:31" ht="15.75">
      <c r="A16" s="699"/>
      <c r="B16" s="201"/>
      <c r="C16" s="153" t="s">
        <v>1134</v>
      </c>
      <c r="D16" s="152"/>
      <c r="E16" s="153" t="s">
        <v>1447</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35"/>
      <c r="C18" s="666"/>
      <c r="D18" s="666"/>
      <c r="E18" s="666"/>
      <c r="F18" s="666"/>
      <c r="G18" s="666"/>
      <c r="H18" s="666"/>
      <c r="I18" s="666"/>
      <c r="J18" s="935"/>
      <c r="K18" s="935"/>
      <c r="L18" s="935"/>
      <c r="M18" s="935"/>
      <c r="N18" s="935"/>
      <c r="O18" s="935"/>
      <c r="P18" s="935"/>
      <c r="Q18" s="935"/>
      <c r="R18" s="935"/>
      <c r="S18" s="935"/>
      <c r="T18" s="935"/>
      <c r="U18" s="935"/>
      <c r="V18" s="935"/>
      <c r="W18" s="935"/>
      <c r="X18" s="935"/>
      <c r="Y18" s="935"/>
      <c r="Z18" s="935"/>
      <c r="AA18" s="935"/>
      <c r="AB18" s="935"/>
      <c r="AC18" s="935"/>
      <c r="AD18" s="935"/>
      <c r="AE18" s="935"/>
    </row>
    <row r="19" spans="1:31">
      <c r="A19" s="830" t="s">
        <v>88</v>
      </c>
      <c r="B19" s="936"/>
      <c r="C19" s="666"/>
      <c r="D19" s="936"/>
      <c r="E19" s="666"/>
      <c r="F19" s="936"/>
      <c r="G19" s="666"/>
      <c r="H19" s="936"/>
      <c r="I19" s="666"/>
      <c r="J19" s="935"/>
      <c r="K19" s="935"/>
      <c r="L19" s="935"/>
      <c r="M19" s="935"/>
      <c r="N19" s="935"/>
      <c r="O19" s="956"/>
      <c r="P19" s="935"/>
      <c r="Q19" s="935"/>
      <c r="R19" s="935"/>
      <c r="S19" s="935"/>
      <c r="T19" s="935"/>
      <c r="U19" s="935"/>
      <c r="V19" s="935"/>
      <c r="W19" s="935"/>
      <c r="X19" s="935"/>
      <c r="Y19" s="935"/>
      <c r="Z19" s="935"/>
      <c r="AA19" s="935"/>
      <c r="AB19" s="935"/>
      <c r="AC19" s="935"/>
      <c r="AD19" s="935"/>
      <c r="AE19" s="935"/>
    </row>
    <row r="20" spans="1:31">
      <c r="A20" s="830" t="s">
        <v>89</v>
      </c>
      <c r="B20" s="936" t="s">
        <v>15</v>
      </c>
      <c r="C20" s="2100">
        <v>22065</v>
      </c>
      <c r="D20" s="904"/>
      <c r="E20" s="2100">
        <v>22840</v>
      </c>
      <c r="F20" s="669"/>
      <c r="G20" s="667">
        <f>+'Exhibit F'!AC26</f>
        <v>22807.5</v>
      </c>
      <c r="H20" s="669"/>
      <c r="I20" s="667">
        <f t="shared" ref="I20:I25" si="0">ROUND(SUM(G20)-SUM(C20),1)</f>
        <v>742.5</v>
      </c>
      <c r="J20" s="935"/>
      <c r="K20" s="667">
        <f>ROUND(SUM(G20)-SUM(E20),1)</f>
        <v>-32.5</v>
      </c>
      <c r="L20" s="980"/>
      <c r="M20" s="980"/>
      <c r="N20" s="981"/>
      <c r="O20" s="980"/>
      <c r="P20" s="982"/>
      <c r="Q20" s="935"/>
      <c r="R20" s="935"/>
      <c r="S20" s="935"/>
      <c r="T20" s="935"/>
      <c r="U20" s="935"/>
      <c r="V20" s="935"/>
      <c r="W20" s="935"/>
      <c r="X20" s="935"/>
      <c r="Y20" s="935"/>
      <c r="Z20" s="935"/>
      <c r="AA20" s="935"/>
      <c r="AB20" s="935"/>
      <c r="AC20" s="935"/>
      <c r="AD20" s="935"/>
      <c r="AE20" s="935"/>
    </row>
    <row r="21" spans="1:31">
      <c r="A21" s="830" t="s">
        <v>90</v>
      </c>
      <c r="B21" s="935" t="s">
        <v>15</v>
      </c>
      <c r="C21" s="1136">
        <v>7481</v>
      </c>
      <c r="D21" s="906"/>
      <c r="E21" s="1136">
        <v>7370</v>
      </c>
      <c r="F21" s="652"/>
      <c r="G21" s="906">
        <f>+'Exhibit F'!AC37</f>
        <v>7379.7</v>
      </c>
      <c r="H21" s="652"/>
      <c r="I21" s="652">
        <f t="shared" si="0"/>
        <v>-101.3</v>
      </c>
      <c r="J21" s="935"/>
      <c r="K21" s="1566">
        <f>ROUND(SUM(G21)-SUM(E21),1)</f>
        <v>9.6999999999999993</v>
      </c>
      <c r="L21" s="983"/>
      <c r="M21" s="954"/>
      <c r="N21" s="954"/>
      <c r="O21" s="954"/>
      <c r="P21" s="954"/>
      <c r="Q21" s="954"/>
      <c r="R21" s="954"/>
      <c r="S21" s="935"/>
      <c r="T21" s="935"/>
      <c r="U21" s="935"/>
      <c r="V21" s="935"/>
      <c r="W21" s="935"/>
      <c r="X21" s="935"/>
      <c r="Y21" s="935"/>
      <c r="Z21" s="935"/>
      <c r="AA21" s="935"/>
      <c r="AB21" s="935"/>
      <c r="AC21" s="935"/>
      <c r="AD21" s="935"/>
      <c r="AE21" s="935"/>
    </row>
    <row r="22" spans="1:31">
      <c r="A22" s="830" t="s">
        <v>91</v>
      </c>
      <c r="B22" s="936" t="s">
        <v>15</v>
      </c>
      <c r="C22" s="1136">
        <v>4261</v>
      </c>
      <c r="D22" s="693"/>
      <c r="E22" s="1136">
        <v>4442</v>
      </c>
      <c r="F22" s="690"/>
      <c r="G22" s="943">
        <f>+'Exhibit F'!AC44</f>
        <v>4432.3</v>
      </c>
      <c r="H22" s="690"/>
      <c r="I22" s="652">
        <f t="shared" si="0"/>
        <v>171.3</v>
      </c>
      <c r="J22" s="935"/>
      <c r="K22" s="1566">
        <f t="shared" ref="K22:K30" si="1">ROUND(SUM(G22)-SUM(E22),1)</f>
        <v>-9.6999999999999993</v>
      </c>
      <c r="L22" s="983"/>
      <c r="M22" s="955"/>
      <c r="N22" s="954"/>
      <c r="O22" s="955"/>
      <c r="P22" s="954"/>
      <c r="Q22" s="955"/>
      <c r="R22" s="954"/>
      <c r="S22" s="935"/>
      <c r="T22" s="956"/>
      <c r="U22" s="935"/>
      <c r="V22" s="956"/>
      <c r="W22" s="935"/>
      <c r="X22" s="935"/>
      <c r="Y22" s="956"/>
      <c r="Z22" s="935"/>
      <c r="AA22" s="935"/>
      <c r="AB22" s="956"/>
      <c r="AC22" s="203"/>
      <c r="AD22" s="956"/>
      <c r="AE22" s="935"/>
    </row>
    <row r="23" spans="1:31">
      <c r="A23" s="830" t="s">
        <v>92</v>
      </c>
      <c r="B23" s="935" t="s">
        <v>15</v>
      </c>
      <c r="C23" s="1136">
        <v>1020</v>
      </c>
      <c r="D23" s="906"/>
      <c r="E23" s="1136">
        <v>1040</v>
      </c>
      <c r="F23" s="652"/>
      <c r="G23" s="906">
        <f>+'Exhibit F'!AC53</f>
        <v>1039.2</v>
      </c>
      <c r="H23" s="652"/>
      <c r="I23" s="652">
        <f t="shared" si="0"/>
        <v>19.2</v>
      </c>
      <c r="J23" s="935"/>
      <c r="K23" s="1566">
        <f t="shared" si="1"/>
        <v>-0.8</v>
      </c>
      <c r="L23" s="984"/>
      <c r="M23" s="954"/>
      <c r="N23" s="954"/>
      <c r="O23" s="954"/>
      <c r="P23" s="954"/>
      <c r="Q23" s="954"/>
      <c r="R23" s="954"/>
      <c r="S23" s="935"/>
      <c r="T23" s="935"/>
      <c r="U23" s="935"/>
      <c r="V23" s="935"/>
      <c r="W23" s="935"/>
      <c r="X23" s="935"/>
      <c r="Y23" s="935"/>
      <c r="Z23" s="935"/>
      <c r="AA23" s="935"/>
      <c r="AB23" s="935"/>
      <c r="AC23" s="935"/>
      <c r="AD23" s="935"/>
      <c r="AE23" s="935"/>
    </row>
    <row r="24" spans="1:31" ht="15" customHeight="1">
      <c r="A24" s="830" t="s">
        <v>20</v>
      </c>
      <c r="B24" s="935" t="s">
        <v>15</v>
      </c>
      <c r="C24" s="1136">
        <v>2485</v>
      </c>
      <c r="D24" s="2018"/>
      <c r="E24" s="1136">
        <v>2678</v>
      </c>
      <c r="F24" s="953"/>
      <c r="G24" s="696">
        <f>+'Exhibit F'!AC93</f>
        <v>2800.2</v>
      </c>
      <c r="H24" s="652"/>
      <c r="I24" s="652">
        <f t="shared" si="0"/>
        <v>315.2</v>
      </c>
      <c r="J24" s="935"/>
      <c r="K24" s="1566">
        <f t="shared" si="1"/>
        <v>122.2</v>
      </c>
      <c r="L24" s="984"/>
      <c r="M24" s="954"/>
      <c r="N24" s="954"/>
      <c r="O24" s="954"/>
      <c r="P24" s="954"/>
      <c r="Q24" s="954"/>
      <c r="R24" s="954"/>
      <c r="S24" s="935"/>
      <c r="T24" s="935"/>
      <c r="U24" s="935"/>
      <c r="V24" s="935"/>
      <c r="W24" s="935"/>
      <c r="X24" s="935"/>
      <c r="Y24" s="935"/>
      <c r="Z24" s="935"/>
      <c r="AA24" s="935"/>
      <c r="AB24" s="935"/>
      <c r="AC24" s="935"/>
      <c r="AD24" s="935"/>
      <c r="AE24" s="935"/>
    </row>
    <row r="25" spans="1:31" ht="15" customHeight="1">
      <c r="A25" s="830" t="s">
        <v>21</v>
      </c>
      <c r="B25" s="935" t="s">
        <v>15</v>
      </c>
      <c r="C25" s="1136">
        <v>0</v>
      </c>
      <c r="D25" s="906"/>
      <c r="E25" s="1136">
        <v>0</v>
      </c>
      <c r="F25" s="652"/>
      <c r="G25" s="696">
        <f>+'Exhibit F'!AC95</f>
        <v>0.3</v>
      </c>
      <c r="H25" s="652"/>
      <c r="I25" s="652">
        <f t="shared" si="0"/>
        <v>0.3</v>
      </c>
      <c r="J25" s="935"/>
      <c r="K25" s="1566">
        <f t="shared" si="1"/>
        <v>0.3</v>
      </c>
      <c r="L25" s="983"/>
      <c r="M25" s="954"/>
      <c r="N25" s="954"/>
      <c r="O25" s="954"/>
      <c r="P25" s="954"/>
      <c r="Q25" s="954"/>
      <c r="R25" s="957"/>
      <c r="S25" s="958"/>
      <c r="T25" s="935"/>
      <c r="U25" s="958"/>
      <c r="V25" s="935"/>
      <c r="W25" s="958"/>
      <c r="X25" s="959"/>
      <c r="Y25" s="935"/>
      <c r="Z25" s="935"/>
      <c r="AA25" s="935"/>
      <c r="AB25" s="935"/>
      <c r="AC25" s="935"/>
      <c r="AD25" s="935"/>
      <c r="AE25" s="935"/>
    </row>
    <row r="26" spans="1:31" ht="18" customHeight="1">
      <c r="A26" s="830" t="s">
        <v>106</v>
      </c>
      <c r="B26" s="959"/>
      <c r="C26" s="668"/>
      <c r="D26" s="906"/>
      <c r="E26" s="668"/>
      <c r="F26" s="652"/>
      <c r="G26" s="2185"/>
      <c r="H26" s="652"/>
      <c r="I26" s="652"/>
      <c r="J26" s="959"/>
      <c r="K26" s="1566" t="s">
        <v>15</v>
      </c>
      <c r="L26" s="957"/>
      <c r="M26" s="954"/>
      <c r="N26" s="957"/>
      <c r="O26" s="954"/>
      <c r="P26" s="957"/>
      <c r="Q26" s="954"/>
      <c r="R26" s="957"/>
      <c r="S26" s="958"/>
      <c r="T26" s="935"/>
      <c r="U26" s="958"/>
      <c r="V26" s="935"/>
      <c r="W26" s="958"/>
      <c r="X26" s="959"/>
      <c r="Y26" s="935"/>
      <c r="Z26" s="935"/>
      <c r="AA26" s="935"/>
      <c r="AB26" s="935"/>
      <c r="AC26" s="935"/>
      <c r="AD26" s="935"/>
      <c r="AE26" s="935"/>
    </row>
    <row r="27" spans="1:31">
      <c r="A27" s="830" t="s">
        <v>1340</v>
      </c>
      <c r="B27" s="959" t="s">
        <v>15</v>
      </c>
      <c r="C27" s="1136">
        <v>21935</v>
      </c>
      <c r="D27" s="906"/>
      <c r="E27" s="1136">
        <v>23383</v>
      </c>
      <c r="F27" s="652"/>
      <c r="G27" s="906">
        <f>'Exhibit F'!AC124</f>
        <v>22552.2</v>
      </c>
      <c r="H27" s="652"/>
      <c r="I27" s="652">
        <f>ROUND(SUM(G27)-SUM(C27),1)</f>
        <v>617.20000000000005</v>
      </c>
      <c r="J27" s="959"/>
      <c r="K27" s="1566">
        <f t="shared" si="1"/>
        <v>-830.8</v>
      </c>
      <c r="L27" s="957"/>
      <c r="M27" s="954"/>
      <c r="N27" s="957"/>
      <c r="O27" s="954"/>
      <c r="P27" s="954"/>
      <c r="Q27" s="954"/>
      <c r="R27" s="957"/>
      <c r="S27" s="958"/>
      <c r="T27" s="935"/>
      <c r="U27" s="958"/>
      <c r="V27" s="935"/>
      <c r="W27" s="958"/>
      <c r="X27" s="959"/>
      <c r="Y27" s="935"/>
      <c r="Z27" s="935"/>
      <c r="AA27" s="935"/>
      <c r="AB27" s="935"/>
      <c r="AC27" s="935"/>
      <c r="AD27" s="935"/>
      <c r="AE27" s="935"/>
    </row>
    <row r="28" spans="1:31">
      <c r="A28" s="830" t="s">
        <v>1093</v>
      </c>
      <c r="B28" s="959" t="s">
        <v>15</v>
      </c>
      <c r="C28" s="1136">
        <v>5746</v>
      </c>
      <c r="D28" s="906"/>
      <c r="E28" s="1136">
        <v>6111</v>
      </c>
      <c r="F28" s="652"/>
      <c r="G28" s="1575">
        <f>'Exhibit F'!AC125</f>
        <v>5707.7</v>
      </c>
      <c r="H28" s="652"/>
      <c r="I28" s="652">
        <f>ROUND(SUM(G28)-SUM(C28),1)</f>
        <v>-38.299999999999997</v>
      </c>
      <c r="J28" s="959"/>
      <c r="K28" s="1566">
        <f t="shared" si="1"/>
        <v>-403.3</v>
      </c>
      <c r="L28" s="957"/>
      <c r="M28" s="954"/>
      <c r="N28" s="957"/>
      <c r="O28" s="954"/>
      <c r="P28" s="954"/>
      <c r="Q28" s="954"/>
      <c r="R28" s="957"/>
      <c r="S28" s="958"/>
      <c r="T28" s="935"/>
      <c r="U28" s="958"/>
      <c r="V28" s="935"/>
      <c r="W28" s="958"/>
      <c r="X28" s="959"/>
      <c r="Y28" s="935"/>
      <c r="Z28" s="935"/>
      <c r="AA28" s="935"/>
      <c r="AB28" s="935"/>
      <c r="AC28" s="935"/>
      <c r="AD28" s="935"/>
      <c r="AE28" s="935"/>
    </row>
    <row r="29" spans="1:31">
      <c r="A29" s="830" t="s">
        <v>107</v>
      </c>
      <c r="B29" s="959" t="s">
        <v>15</v>
      </c>
      <c r="C29" s="1136">
        <v>923</v>
      </c>
      <c r="D29" s="906"/>
      <c r="E29" s="1136">
        <v>891</v>
      </c>
      <c r="F29" s="652"/>
      <c r="G29" s="906">
        <f>'Exhibit F'!AC126</f>
        <v>878</v>
      </c>
      <c r="H29" s="652"/>
      <c r="I29" s="652">
        <f>ROUND(SUM(G29)-SUM(C29),1)</f>
        <v>-45</v>
      </c>
      <c r="J29" s="959"/>
      <c r="K29" s="1566">
        <f t="shared" si="1"/>
        <v>-13</v>
      </c>
      <c r="L29" s="957"/>
      <c r="M29" s="954"/>
      <c r="N29" s="957"/>
      <c r="O29" s="954"/>
      <c r="P29" s="954"/>
      <c r="Q29" s="954"/>
      <c r="R29" s="957"/>
      <c r="S29" s="958"/>
      <c r="T29" s="935"/>
      <c r="U29" s="958"/>
      <c r="V29" s="935"/>
      <c r="W29" s="958"/>
      <c r="X29" s="959"/>
      <c r="Y29" s="935"/>
      <c r="Z29" s="935"/>
      <c r="AA29" s="935"/>
      <c r="AB29" s="935"/>
      <c r="AC29" s="935"/>
      <c r="AD29" s="935"/>
      <c r="AE29" s="935"/>
    </row>
    <row r="30" spans="1:31">
      <c r="A30" s="830" t="s">
        <v>108</v>
      </c>
      <c r="B30" s="959" t="s">
        <v>15</v>
      </c>
      <c r="C30" s="1136">
        <v>1484</v>
      </c>
      <c r="D30" s="906"/>
      <c r="E30" s="1136">
        <v>2537</v>
      </c>
      <c r="F30" s="652"/>
      <c r="G30" s="1757">
        <f>'Exhibit F'!AC127</f>
        <v>1904.1000000000008</v>
      </c>
      <c r="H30" s="652"/>
      <c r="I30" s="652">
        <f>ROUND(SUM(G30)-SUM(C30),1)</f>
        <v>420.1</v>
      </c>
      <c r="J30" s="959"/>
      <c r="K30" s="1566">
        <f t="shared" si="1"/>
        <v>-632.9</v>
      </c>
      <c r="L30" s="985"/>
      <c r="M30" s="954"/>
      <c r="N30" s="955"/>
      <c r="O30" s="954"/>
      <c r="P30" s="954"/>
      <c r="Q30" s="954"/>
      <c r="R30" s="957"/>
      <c r="S30" s="958"/>
      <c r="T30" s="935"/>
      <c r="U30" s="958"/>
      <c r="V30" s="935"/>
      <c r="W30" s="958"/>
      <c r="X30" s="959"/>
      <c r="Y30" s="935"/>
      <c r="Z30" s="935"/>
      <c r="AA30" s="935"/>
      <c r="AB30" s="935"/>
      <c r="AC30" s="935"/>
      <c r="AD30" s="935"/>
      <c r="AE30" s="935"/>
    </row>
    <row r="31" spans="1:31" ht="18" customHeight="1">
      <c r="A31" s="173" t="s">
        <v>109</v>
      </c>
      <c r="B31" s="151" t="s">
        <v>15</v>
      </c>
      <c r="C31" s="1918">
        <f>ROUND(SUM(C20:C30),1)</f>
        <v>67400</v>
      </c>
      <c r="D31" s="112"/>
      <c r="E31" s="1918">
        <f>ROUND(SUM(E20:E30),1)</f>
        <v>71292</v>
      </c>
      <c r="F31" s="933"/>
      <c r="G31" s="215">
        <f>ROUND(SUM(G20:G30),1)</f>
        <v>69501.2</v>
      </c>
      <c r="H31" s="933"/>
      <c r="I31" s="296">
        <f>ROUND(SUM(I20:I30),1)</f>
        <v>2101.1999999999998</v>
      </c>
      <c r="J31" s="151"/>
      <c r="K31" s="296">
        <f>ROUND(SUM(K20:K30),1)</f>
        <v>-1790.8</v>
      </c>
      <c r="L31" s="76"/>
      <c r="M31" s="76"/>
      <c r="N31" s="76"/>
      <c r="O31" s="76"/>
      <c r="P31" s="76"/>
      <c r="Q31" s="76"/>
      <c r="R31" s="76"/>
      <c r="S31" s="151"/>
      <c r="T31" s="151"/>
      <c r="U31" s="151"/>
      <c r="V31" s="151"/>
      <c r="W31" s="151"/>
      <c r="X31" s="151"/>
      <c r="Y31" s="151"/>
      <c r="Z31" s="151"/>
      <c r="AA31" s="151"/>
      <c r="AB31" s="151"/>
      <c r="AC31" s="151"/>
      <c r="AD31" s="151"/>
      <c r="AE31" s="151"/>
    </row>
    <row r="32" spans="1:31">
      <c r="A32" s="699"/>
      <c r="B32" s="935"/>
      <c r="C32" s="1919"/>
      <c r="D32" s="906"/>
      <c r="E32" s="1919"/>
      <c r="F32" s="652"/>
      <c r="G32" s="697"/>
      <c r="H32" s="652"/>
      <c r="I32" s="954"/>
      <c r="J32" s="935"/>
      <c r="K32" s="954"/>
      <c r="L32" s="954"/>
      <c r="M32" s="954"/>
      <c r="N32" s="954"/>
      <c r="O32" s="954"/>
      <c r="P32" s="954"/>
      <c r="Q32" s="954"/>
      <c r="R32" s="954"/>
      <c r="S32" s="935"/>
      <c r="T32" s="935"/>
      <c r="U32" s="935"/>
      <c r="V32" s="935"/>
      <c r="W32" s="935"/>
      <c r="X32" s="935"/>
      <c r="Y32" s="935"/>
      <c r="Z32" s="935"/>
      <c r="AA32" s="935"/>
      <c r="AB32" s="935"/>
      <c r="AC32" s="935"/>
      <c r="AD32" s="935"/>
      <c r="AE32" s="935"/>
    </row>
    <row r="33" spans="1:31" ht="15.75">
      <c r="A33" s="29" t="s">
        <v>23</v>
      </c>
      <c r="B33" s="935"/>
      <c r="C33" s="906"/>
      <c r="D33" s="906"/>
      <c r="E33" s="906"/>
      <c r="F33" s="652"/>
      <c r="G33" s="652"/>
      <c r="H33" s="652"/>
      <c r="I33" s="652"/>
      <c r="J33" s="935"/>
      <c r="K33" s="954"/>
      <c r="L33" s="954"/>
      <c r="M33" s="954"/>
      <c r="N33" s="954"/>
      <c r="O33" s="954"/>
      <c r="P33" s="954"/>
      <c r="Q33" s="954"/>
      <c r="R33" s="954"/>
      <c r="S33" s="935"/>
      <c r="T33" s="935"/>
      <c r="U33" s="935"/>
      <c r="V33" s="935"/>
      <c r="W33" s="935"/>
      <c r="X33" s="935"/>
      <c r="Y33" s="935"/>
      <c r="Z33" s="935"/>
      <c r="AA33" s="935"/>
      <c r="AB33" s="935"/>
      <c r="AC33" s="935"/>
      <c r="AD33" s="935"/>
      <c r="AE33" s="935"/>
    </row>
    <row r="34" spans="1:31">
      <c r="A34" s="830" t="s">
        <v>94</v>
      </c>
      <c r="B34" s="956" t="s">
        <v>15</v>
      </c>
      <c r="C34" s="1136">
        <v>41421</v>
      </c>
      <c r="D34" s="906"/>
      <c r="E34" s="1136">
        <v>42253</v>
      </c>
      <c r="F34" s="652"/>
      <c r="G34" s="690">
        <f>+'Exhibit F'!AC111</f>
        <v>41704.200000000004</v>
      </c>
      <c r="H34" s="652"/>
      <c r="I34" s="652">
        <f>ROUND(SUM(G34)-SUM(C34),1)</f>
        <v>283.2</v>
      </c>
      <c r="J34" s="935"/>
      <c r="K34" s="1566">
        <f>ROUND(SUM(G34)-SUM(E34),1)</f>
        <v>-548.79999999999995</v>
      </c>
      <c r="L34" s="955"/>
      <c r="M34" s="954"/>
      <c r="N34" s="955"/>
      <c r="O34" s="954"/>
      <c r="P34" s="954"/>
      <c r="Q34" s="954"/>
      <c r="R34" s="957"/>
      <c r="S34" s="958"/>
      <c r="T34" s="935"/>
      <c r="U34" s="958"/>
      <c r="V34" s="935"/>
      <c r="W34" s="958"/>
      <c r="X34" s="959"/>
      <c r="Y34" s="935"/>
      <c r="Z34" s="935"/>
      <c r="AA34" s="935"/>
      <c r="AB34" s="935"/>
      <c r="AC34" s="935"/>
      <c r="AD34" s="935"/>
      <c r="AE34" s="935"/>
    </row>
    <row r="35" spans="1:31">
      <c r="A35" s="830" t="s">
        <v>95</v>
      </c>
      <c r="B35" s="956" t="s">
        <v>15</v>
      </c>
      <c r="C35" s="1136">
        <v>10937</v>
      </c>
      <c r="D35" s="906"/>
      <c r="E35" s="1136">
        <v>10625</v>
      </c>
      <c r="F35" s="652"/>
      <c r="G35" s="690">
        <f>+'Exhibit F'!AC113+'Exhibit F'!AC114</f>
        <v>10572.5</v>
      </c>
      <c r="H35" s="652"/>
      <c r="I35" s="652">
        <f>ROUND(SUM(G35)-SUM(C35),1)</f>
        <v>-364.5</v>
      </c>
      <c r="J35" s="935"/>
      <c r="K35" s="1566">
        <f t="shared" ref="K35:K42" si="2">ROUND(SUM(G35)-SUM(E35),1)</f>
        <v>-52.5</v>
      </c>
      <c r="L35" s="955"/>
      <c r="M35" s="954"/>
      <c r="N35" s="955"/>
      <c r="O35" s="954"/>
      <c r="P35" s="954"/>
      <c r="Q35" s="954"/>
      <c r="R35" s="955"/>
      <c r="S35" s="956"/>
      <c r="T35" s="935"/>
      <c r="U35" s="956"/>
      <c r="V35" s="935"/>
      <c r="W35" s="958"/>
      <c r="X35" s="935"/>
      <c r="Y35" s="935"/>
      <c r="Z35" s="958"/>
      <c r="AA35" s="958"/>
      <c r="AB35" s="935"/>
      <c r="AC35" s="958"/>
      <c r="AD35" s="935"/>
      <c r="AE35" s="958"/>
    </row>
    <row r="36" spans="1:31">
      <c r="A36" s="830" t="s">
        <v>70</v>
      </c>
      <c r="B36" s="956" t="s">
        <v>15</v>
      </c>
      <c r="C36" s="1136">
        <v>7086</v>
      </c>
      <c r="D36" s="906"/>
      <c r="E36" s="1136">
        <v>7037</v>
      </c>
      <c r="F36" s="652"/>
      <c r="G36" s="690">
        <f>+'Exhibit F'!AC115</f>
        <v>6981.1</v>
      </c>
      <c r="H36" s="652"/>
      <c r="I36" s="652">
        <f>ROUND(SUM(G36)-SUM(C36),1)</f>
        <v>-104.9</v>
      </c>
      <c r="J36" s="935"/>
      <c r="K36" s="1566">
        <f t="shared" si="2"/>
        <v>-55.9</v>
      </c>
      <c r="L36" s="955"/>
      <c r="M36" s="954"/>
      <c r="N36" s="955"/>
      <c r="O36" s="954"/>
      <c r="P36" s="954"/>
      <c r="Q36" s="954"/>
      <c r="R36" s="957"/>
      <c r="S36" s="958"/>
      <c r="T36" s="935"/>
      <c r="U36" s="958"/>
      <c r="V36" s="935"/>
      <c r="W36" s="958"/>
      <c r="X36" s="959"/>
      <c r="Y36" s="935"/>
      <c r="Z36" s="958"/>
      <c r="AA36" s="958"/>
      <c r="AB36" s="935"/>
      <c r="AC36" s="958"/>
      <c r="AD36" s="935"/>
      <c r="AE36" s="958"/>
    </row>
    <row r="37" spans="1:31" ht="18" customHeight="1">
      <c r="A37" s="830" t="s">
        <v>110</v>
      </c>
      <c r="B37" s="959"/>
      <c r="C37" s="668"/>
      <c r="D37" s="906"/>
      <c r="E37" s="668"/>
      <c r="F37" s="652"/>
      <c r="G37" s="668"/>
      <c r="H37" s="652"/>
      <c r="I37" s="652"/>
      <c r="J37" s="959"/>
      <c r="K37" s="1566" t="s">
        <v>15</v>
      </c>
      <c r="L37" s="985"/>
      <c r="M37" s="954"/>
      <c r="N37" s="985"/>
      <c r="O37" s="954"/>
      <c r="P37" s="954"/>
      <c r="Q37" s="954"/>
      <c r="R37" s="957"/>
      <c r="S37" s="958"/>
      <c r="T37" s="935"/>
      <c r="U37" s="958"/>
      <c r="V37" s="935"/>
      <c r="W37" s="958"/>
      <c r="X37" s="959"/>
      <c r="Y37" s="935"/>
      <c r="Z37" s="935"/>
      <c r="AA37" s="935"/>
      <c r="AB37" s="935"/>
      <c r="AC37" s="935"/>
      <c r="AD37" s="935"/>
      <c r="AE37" s="935"/>
    </row>
    <row r="38" spans="1:31">
      <c r="A38" s="830" t="s">
        <v>111</v>
      </c>
      <c r="B38" s="959" t="s">
        <v>15</v>
      </c>
      <c r="C38" s="1136">
        <v>586</v>
      </c>
      <c r="D38" s="906"/>
      <c r="E38" s="1136">
        <v>554</v>
      </c>
      <c r="F38" s="652"/>
      <c r="G38" s="694">
        <f>-'Exhibit F'!AC130</f>
        <v>525</v>
      </c>
      <c r="H38" s="652"/>
      <c r="I38" s="652">
        <f>ROUND(SUM(G38)-SUM(C38),1)</f>
        <v>-61</v>
      </c>
      <c r="J38" s="959"/>
      <c r="K38" s="1566">
        <f t="shared" si="2"/>
        <v>-29</v>
      </c>
      <c r="L38" s="957"/>
      <c r="M38" s="954"/>
      <c r="N38" s="957"/>
      <c r="O38" s="954"/>
      <c r="P38" s="954"/>
      <c r="Q38" s="954"/>
      <c r="R38" s="957"/>
      <c r="S38" s="958"/>
      <c r="T38" s="935"/>
      <c r="U38" s="958"/>
      <c r="V38" s="935"/>
      <c r="W38" s="958"/>
      <c r="X38" s="959"/>
      <c r="Y38" s="935"/>
      <c r="Z38" s="935"/>
      <c r="AA38" s="935"/>
      <c r="AB38" s="935"/>
      <c r="AC38" s="935"/>
      <c r="AD38" s="935"/>
      <c r="AE38" s="935"/>
    </row>
    <row r="39" spans="1:31">
      <c r="A39" s="830" t="s">
        <v>112</v>
      </c>
      <c r="B39" s="959" t="s">
        <v>15</v>
      </c>
      <c r="C39" s="1136">
        <v>2909</v>
      </c>
      <c r="D39" s="906"/>
      <c r="E39" s="1136">
        <v>3869</v>
      </c>
      <c r="F39" s="652"/>
      <c r="G39" s="694">
        <f>-'Exhibit F'!AC128-'Exhibit F'!AC129</f>
        <v>3864.6</v>
      </c>
      <c r="H39" s="1566" t="s">
        <v>15</v>
      </c>
      <c r="I39" s="652">
        <f>ROUND(SUM(G39)-SUM(C39),1)</f>
        <v>955.6</v>
      </c>
      <c r="J39" s="959"/>
      <c r="K39" s="1566">
        <f t="shared" si="2"/>
        <v>-4.4000000000000004</v>
      </c>
      <c r="L39" s="957"/>
      <c r="M39" s="954"/>
      <c r="N39" s="957"/>
      <c r="O39" s="954"/>
      <c r="P39" s="954"/>
      <c r="Q39" s="954"/>
      <c r="R39" s="957"/>
      <c r="S39" s="958"/>
      <c r="T39" s="935"/>
      <c r="U39" s="958"/>
      <c r="V39" s="935"/>
      <c r="W39" s="958"/>
      <c r="X39" s="959"/>
      <c r="Y39" s="935"/>
      <c r="Z39" s="935"/>
      <c r="AA39" s="935"/>
      <c r="AB39" s="935"/>
      <c r="AC39" s="935"/>
      <c r="AD39" s="935"/>
      <c r="AE39" s="935"/>
    </row>
    <row r="40" spans="1:31">
      <c r="A40" s="830" t="s">
        <v>113</v>
      </c>
      <c r="B40" s="959" t="s">
        <v>15</v>
      </c>
      <c r="C40" s="1136">
        <v>0</v>
      </c>
      <c r="D40" s="906"/>
      <c r="E40" s="1136">
        <v>0</v>
      </c>
      <c r="F40" s="652"/>
      <c r="G40" s="1575">
        <v>292.5</v>
      </c>
      <c r="H40" s="1566" t="s">
        <v>864</v>
      </c>
      <c r="I40" s="652">
        <f>ROUND(SUM(G40)-SUM(C40),1)</f>
        <v>292.5</v>
      </c>
      <c r="J40" s="959"/>
      <c r="K40" s="1566">
        <f t="shared" si="2"/>
        <v>292.5</v>
      </c>
      <c r="L40" s="957"/>
      <c r="M40" s="954"/>
      <c r="N40" s="957"/>
      <c r="O40" s="954"/>
      <c r="P40" s="954"/>
      <c r="Q40" s="954"/>
      <c r="R40" s="957"/>
      <c r="S40" s="958"/>
      <c r="T40" s="935"/>
      <c r="U40" s="958"/>
      <c r="V40" s="935"/>
      <c r="W40" s="958"/>
      <c r="X40" s="959"/>
      <c r="Y40" s="935"/>
      <c r="Z40" s="935"/>
      <c r="AA40" s="935"/>
      <c r="AB40" s="935"/>
      <c r="AC40" s="935"/>
      <c r="AD40" s="935"/>
      <c r="AE40" s="935"/>
    </row>
    <row r="41" spans="1:31">
      <c r="A41" s="830" t="s">
        <v>115</v>
      </c>
      <c r="B41" s="959" t="s">
        <v>116</v>
      </c>
      <c r="C41" s="1136">
        <v>1145</v>
      </c>
      <c r="D41" s="906"/>
      <c r="E41" s="1136">
        <v>1170</v>
      </c>
      <c r="F41" s="652"/>
      <c r="G41" s="1575">
        <v>1161.5</v>
      </c>
      <c r="H41" s="652"/>
      <c r="I41" s="652">
        <f>ROUND(SUM(G41)-SUM(C41),1)</f>
        <v>16.5</v>
      </c>
      <c r="J41" s="959"/>
      <c r="K41" s="1566">
        <f t="shared" si="2"/>
        <v>-8.5</v>
      </c>
      <c r="L41" s="957"/>
      <c r="M41" s="954"/>
      <c r="N41" s="957"/>
      <c r="O41" s="954"/>
      <c r="P41" s="954"/>
      <c r="Q41" s="954"/>
      <c r="R41" s="957"/>
      <c r="S41" s="958"/>
      <c r="T41" s="935"/>
      <c r="U41" s="958"/>
      <c r="V41" s="935"/>
      <c r="W41" s="958"/>
      <c r="X41" s="959"/>
      <c r="Y41" s="935"/>
      <c r="Z41" s="935"/>
      <c r="AA41" s="935"/>
      <c r="AB41" s="935"/>
      <c r="AC41" s="935"/>
      <c r="AD41" s="935"/>
      <c r="AE41" s="935"/>
    </row>
    <row r="42" spans="1:31">
      <c r="A42" s="830" t="s">
        <v>117</v>
      </c>
      <c r="B42" s="959" t="s">
        <v>15</v>
      </c>
      <c r="C42" s="1136">
        <v>801</v>
      </c>
      <c r="D42" s="906"/>
      <c r="E42" s="1136">
        <v>914</v>
      </c>
      <c r="F42" s="652"/>
      <c r="G42" s="694">
        <v>642.20000000000005</v>
      </c>
      <c r="H42" s="652"/>
      <c r="I42" s="652">
        <f>ROUND(SUM(G42)-SUM(C42),1)</f>
        <v>-158.80000000000001</v>
      </c>
      <c r="J42" s="959"/>
      <c r="K42" s="1566">
        <f t="shared" si="2"/>
        <v>-271.8</v>
      </c>
      <c r="L42" s="985"/>
      <c r="M42" s="954"/>
      <c r="N42" s="955"/>
      <c r="O42" s="954"/>
      <c r="P42" s="954"/>
      <c r="Q42" s="954"/>
      <c r="R42" s="957"/>
      <c r="S42" s="958"/>
      <c r="T42" s="935"/>
      <c r="U42" s="958"/>
      <c r="V42" s="935"/>
      <c r="W42" s="958"/>
      <c r="X42" s="959"/>
      <c r="Y42" s="935"/>
      <c r="Z42" s="935"/>
      <c r="AA42" s="935"/>
      <c r="AB42" s="935"/>
      <c r="AC42" s="935"/>
      <c r="AD42" s="935"/>
      <c r="AE42" s="935"/>
    </row>
    <row r="43" spans="1:31" ht="18" customHeight="1">
      <c r="A43" s="173" t="s">
        <v>118</v>
      </c>
      <c r="B43" s="151" t="s">
        <v>15</v>
      </c>
      <c r="C43" s="1918">
        <f>ROUND(SUM(C34:C42),1)</f>
        <v>64885</v>
      </c>
      <c r="D43" s="112"/>
      <c r="E43" s="1918">
        <f>ROUND(SUM(E34:E42),1)</f>
        <v>66422</v>
      </c>
      <c r="F43" s="933"/>
      <c r="G43" s="215">
        <f>ROUND(SUM(G34:G42),1)</f>
        <v>65743.600000000006</v>
      </c>
      <c r="H43" s="933"/>
      <c r="I43" s="296">
        <f>ROUND(SUM(I34:I42),1)</f>
        <v>858.6</v>
      </c>
      <c r="J43" s="151"/>
      <c r="K43" s="296">
        <f>ROUND(SUM(K34:K42),1)</f>
        <v>-678.4</v>
      </c>
      <c r="L43" s="76"/>
      <c r="M43" s="76"/>
      <c r="N43" s="76"/>
      <c r="O43" s="76"/>
      <c r="P43" s="76"/>
      <c r="Q43" s="76"/>
      <c r="R43" s="76"/>
      <c r="S43" s="151"/>
      <c r="T43" s="151"/>
      <c r="U43" s="151"/>
      <c r="V43" s="151"/>
      <c r="W43" s="151"/>
      <c r="X43" s="151"/>
      <c r="Y43" s="151"/>
      <c r="Z43" s="151"/>
      <c r="AA43" s="151"/>
      <c r="AB43" s="151"/>
      <c r="AC43" s="151"/>
      <c r="AD43" s="151"/>
      <c r="AE43" s="151"/>
    </row>
    <row r="44" spans="1:31">
      <c r="A44" s="699"/>
      <c r="B44" s="935"/>
      <c r="C44" s="1919"/>
      <c r="D44" s="906"/>
      <c r="E44" s="1919"/>
      <c r="F44" s="652"/>
      <c r="G44" s="697"/>
      <c r="H44" s="652"/>
      <c r="I44" s="954"/>
      <c r="J44" s="935"/>
      <c r="K44" s="954"/>
      <c r="L44" s="954"/>
      <c r="M44" s="954"/>
      <c r="N44" s="954"/>
      <c r="O44" s="954"/>
      <c r="P44" s="954"/>
      <c r="Q44" s="954"/>
      <c r="R44" s="954"/>
      <c r="S44" s="935"/>
      <c r="T44" s="935"/>
      <c r="U44" s="935"/>
      <c r="V44" s="935"/>
      <c r="W44" s="935"/>
      <c r="X44" s="935"/>
      <c r="Y44" s="935"/>
      <c r="Z44" s="935"/>
      <c r="AA44" s="935"/>
      <c r="AB44" s="935"/>
      <c r="AC44" s="935"/>
      <c r="AD44" s="935"/>
      <c r="AE44" s="935"/>
    </row>
    <row r="45" spans="1:31" ht="15.75">
      <c r="A45" s="29" t="s">
        <v>119</v>
      </c>
      <c r="B45" s="935"/>
      <c r="C45" s="906"/>
      <c r="D45" s="906"/>
      <c r="E45" s="906"/>
      <c r="F45" s="652"/>
      <c r="G45" s="652"/>
      <c r="H45" s="652"/>
      <c r="I45" s="652"/>
      <c r="J45" s="935"/>
      <c r="K45" s="954"/>
      <c r="L45" s="954"/>
      <c r="M45" s="954"/>
      <c r="N45" s="954"/>
      <c r="O45" s="954"/>
      <c r="P45" s="954"/>
      <c r="Q45" s="954"/>
      <c r="R45" s="954"/>
      <c r="S45" s="935"/>
      <c r="T45" s="935"/>
      <c r="U45" s="935"/>
      <c r="V45" s="935"/>
      <c r="W45" s="935"/>
      <c r="X45" s="935"/>
      <c r="Y45" s="935"/>
      <c r="Z45" s="935"/>
      <c r="AA45" s="935"/>
      <c r="AB45" s="935"/>
      <c r="AC45" s="935"/>
      <c r="AD45" s="935"/>
      <c r="AE45" s="935"/>
    </row>
    <row r="46" spans="1:31" ht="15.75">
      <c r="A46" s="29" t="s">
        <v>120</v>
      </c>
      <c r="B46" s="935"/>
      <c r="C46" s="906"/>
      <c r="D46" s="906"/>
      <c r="E46" s="906"/>
      <c r="F46" s="652"/>
      <c r="G46" s="652"/>
      <c r="H46" s="652"/>
      <c r="I46" s="652"/>
      <c r="J46" s="935"/>
      <c r="K46" s="954"/>
      <c r="L46" s="954"/>
      <c r="M46" s="954"/>
      <c r="N46" s="954"/>
      <c r="O46" s="954"/>
      <c r="P46" s="954"/>
      <c r="Q46" s="954"/>
      <c r="R46" s="954"/>
      <c r="S46" s="935"/>
      <c r="T46" s="935"/>
      <c r="U46" s="935"/>
      <c r="V46" s="935"/>
      <c r="W46" s="935"/>
      <c r="X46" s="935"/>
      <c r="Y46" s="935"/>
      <c r="Z46" s="935"/>
      <c r="AA46" s="935"/>
      <c r="AB46" s="935"/>
      <c r="AC46" s="935"/>
      <c r="AD46" s="935"/>
      <c r="AE46" s="935"/>
    </row>
    <row r="47" spans="1:31" ht="15.75">
      <c r="A47" s="173" t="s">
        <v>103</v>
      </c>
      <c r="B47" s="932" t="s">
        <v>15</v>
      </c>
      <c r="C47" s="115">
        <f>ROUND(SUM(C31)-SUM(C43),1)</f>
        <v>2515</v>
      </c>
      <c r="D47" s="1119"/>
      <c r="E47" s="115">
        <f>ROUND(SUM(E31)-SUM(E43),1)</f>
        <v>4870</v>
      </c>
      <c r="F47" s="84"/>
      <c r="G47" s="76">
        <f>ROUND(SUM(G31)-SUM(G43),1)</f>
        <v>3757.6</v>
      </c>
      <c r="H47" s="84"/>
      <c r="I47" s="76">
        <f>ROUND(SUM(I31)-SUM(I43),1)</f>
        <v>1242.5999999999999</v>
      </c>
      <c r="J47" s="151"/>
      <c r="K47" s="76">
        <f>ROUND(SUM(K31)-SUM(K43),1)</f>
        <v>-1112.4000000000001</v>
      </c>
      <c r="L47" s="76"/>
      <c r="M47" s="399"/>
      <c r="N47" s="76"/>
      <c r="O47" s="399"/>
      <c r="P47" s="76"/>
      <c r="Q47" s="399"/>
      <c r="R47" s="76"/>
      <c r="S47" s="151"/>
      <c r="T47" s="174"/>
      <c r="U47" s="151"/>
      <c r="V47" s="174"/>
      <c r="W47" s="151"/>
      <c r="X47" s="151"/>
      <c r="Y47" s="174"/>
      <c r="Z47" s="151"/>
      <c r="AA47" s="151"/>
      <c r="AB47" s="174"/>
      <c r="AC47" s="151"/>
      <c r="AD47" s="174"/>
      <c r="AE47" s="151"/>
    </row>
    <row r="48" spans="1:31" ht="15" customHeight="1">
      <c r="C48" s="1516"/>
      <c r="D48" s="1691"/>
      <c r="E48" s="1516"/>
      <c r="F48" s="943"/>
      <c r="G48" s="679"/>
      <c r="H48" s="943"/>
      <c r="I48" s="76"/>
      <c r="J48" s="151"/>
      <c r="K48" s="76"/>
      <c r="L48" s="679"/>
      <c r="M48" s="679"/>
      <c r="N48" s="679"/>
      <c r="O48" s="679"/>
      <c r="P48" s="679"/>
      <c r="Q48" s="679"/>
      <c r="R48" s="679"/>
    </row>
    <row r="49" spans="1:18" ht="15.75">
      <c r="A49" s="989" t="str">
        <f>'Exh D-Governmental  '!A49</f>
        <v>Fund Balances (Deficits) at April 1</v>
      </c>
      <c r="B49" s="631" t="s">
        <v>15</v>
      </c>
      <c r="C49" s="115">
        <f>ROUND('Exhibit F'!D12,0)</f>
        <v>7206</v>
      </c>
      <c r="D49" s="1691"/>
      <c r="E49" s="115">
        <f>ROUND('Exhibit F'!D12,0)</f>
        <v>7206</v>
      </c>
      <c r="F49" s="943"/>
      <c r="G49" s="76">
        <f>'Exhibit F'!AC12</f>
        <v>7205.7</v>
      </c>
      <c r="H49" s="943"/>
      <c r="I49" s="81">
        <f>ROUND(SUM(G49-C49),1)</f>
        <v>-0.3</v>
      </c>
      <c r="J49" s="151"/>
      <c r="K49" s="933">
        <f t="shared" ref="K49" si="3">ROUND(SUM(G49)-SUM(E49),1)</f>
        <v>-0.3</v>
      </c>
      <c r="L49" s="76"/>
      <c r="M49" s="679"/>
      <c r="N49" s="76"/>
      <c r="O49" s="679"/>
      <c r="P49" s="81"/>
      <c r="Q49" s="679"/>
      <c r="R49" s="679"/>
    </row>
    <row r="50" spans="1:18" ht="18" customHeight="1" thickBot="1">
      <c r="A50" s="173" t="str">
        <f>'Exh D-Governmental  '!A50</f>
        <v>Fund Balances (Deficits) at February 29, 2020</v>
      </c>
      <c r="B50" s="180" t="s">
        <v>15</v>
      </c>
      <c r="C50" s="2103">
        <f>ROUND(SUM(C47:C49),1)</f>
        <v>9721</v>
      </c>
      <c r="D50" s="2104"/>
      <c r="E50" s="2103">
        <f>ROUND(SUM(E47:E49),1)</f>
        <v>12076</v>
      </c>
      <c r="F50" s="181"/>
      <c r="G50" s="98">
        <f>ROUND(SUM(G47:G49),1)</f>
        <v>10963.3</v>
      </c>
      <c r="H50" s="181"/>
      <c r="I50" s="98">
        <f>ROUND(SUM(I47:I49),1)</f>
        <v>1242.3</v>
      </c>
      <c r="J50" s="151"/>
      <c r="K50" s="98">
        <f>ROUND(SUM(K47:K49),1)</f>
        <v>-1112.7</v>
      </c>
      <c r="L50" s="219"/>
      <c r="M50" s="986"/>
      <c r="N50" s="219"/>
      <c r="O50" s="986"/>
      <c r="P50" s="219"/>
    </row>
    <row r="51" spans="1:18" ht="15" customHeight="1" thickTop="1">
      <c r="A51" s="155"/>
      <c r="G51" s="631"/>
      <c r="J51" s="631"/>
      <c r="L51" s="698"/>
      <c r="M51" s="987"/>
      <c r="N51" s="987"/>
      <c r="O51" s="987"/>
      <c r="P51" s="987"/>
    </row>
    <row r="52" spans="1:18">
      <c r="A52" s="947" t="str">
        <f>'Exh D-Governmental  '!A52</f>
        <v>(*)    Source: 2019-20 Enacted Financial Plan dated May 13, 2019.</v>
      </c>
      <c r="M52" s="631"/>
      <c r="N52" s="631"/>
      <c r="O52" s="631"/>
      <c r="P52" s="631"/>
    </row>
    <row r="53" spans="1:18">
      <c r="A53" s="947" t="str">
        <f>'Exh D State Operating'!A52</f>
        <v>(**)   Source: 2020-21 Executive Budget with 30-day amendments dated February 24, 2020.</v>
      </c>
      <c r="M53" s="631"/>
      <c r="N53" s="631"/>
      <c r="O53" s="631"/>
      <c r="P53" s="631"/>
    </row>
    <row r="54" spans="1:18">
      <c r="A54" s="1530" t="s">
        <v>1454</v>
      </c>
      <c r="M54" s="631"/>
      <c r="N54" s="631"/>
      <c r="O54" s="631"/>
      <c r="P54" s="631"/>
    </row>
    <row r="55" spans="1:18">
      <c r="A55" s="1530" t="s">
        <v>1345</v>
      </c>
      <c r="M55" s="631"/>
      <c r="N55" s="631"/>
      <c r="O55" s="631"/>
      <c r="P55" s="631"/>
    </row>
    <row r="56" spans="1:18">
      <c r="A56" s="1530" t="s">
        <v>15</v>
      </c>
      <c r="M56" s="631"/>
      <c r="N56" s="631"/>
      <c r="O56" s="631"/>
      <c r="P56" s="631"/>
    </row>
    <row r="57" spans="1:18">
      <c r="A57" s="961"/>
      <c r="M57" s="631"/>
      <c r="N57" s="631"/>
      <c r="O57" s="631"/>
      <c r="P57" s="631"/>
    </row>
    <row r="58" spans="1:18">
      <c r="M58" s="631"/>
      <c r="N58" s="631"/>
      <c r="O58" s="631"/>
      <c r="P58" s="631"/>
    </row>
    <row r="59" spans="1:18">
      <c r="A59" s="3187"/>
      <c r="C59" s="2196"/>
      <c r="M59" s="631"/>
      <c r="N59" s="631"/>
      <c r="O59" s="631"/>
      <c r="P59" s="631"/>
    </row>
    <row r="60" spans="1:18">
      <c r="A60" s="204"/>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2020-03-16T19:51:35Z</dcterms:created>
  <dcterms:modified xsi:type="dcterms:W3CDTF">2020-03-16T20:18:22Z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